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10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4.xml.rels" ContentType="application/vnd.openxmlformats-package.relationships+xml"/>
  <Override PartName="/xl/worksheets/_rels/sheet7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6.jpeg" ContentType="image/jpeg"/>
  <Override PartName="/xl/media/image5.jpeg" ContentType="image/jpeg"/>
  <Override PartName="/xl/media/image7.png" ContentType="image/png"/>
  <Override PartName="/xl/media/image8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PL_ORC_SINT" sheetId="1" state="visible" r:id="rId2"/>
    <sheet name="PL_ORC_ANALIT" sheetId="2" state="visible" r:id="rId3"/>
    <sheet name="CRONO_FIS_FIN" sheetId="3" state="visible" r:id="rId4"/>
    <sheet name="BDI" sheetId="4" state="visible" r:id="rId5"/>
    <sheet name="ENC_SOCIAIS" sheetId="5" state="visible" r:id="rId6"/>
    <sheet name="CPUs" sheetId="6" state="hidden" r:id="rId7"/>
    <sheet name="DIMENS_EQUIP" sheetId="7" state="hidden" r:id="rId8"/>
    <sheet name="TAB_SAL" sheetId="8" state="hidden" r:id="rId9"/>
    <sheet name="HISTO" sheetId="9" state="hidden" r:id="rId10"/>
    <sheet name="CPU-01" sheetId="10" state="hidden" r:id="rId11"/>
    <sheet name="SETOP_10.23" sheetId="11" state="hidden" r:id="rId12"/>
    <sheet name="SUDECAP_10.23" sheetId="12" state="hidden" r:id="rId13"/>
    <sheet name="SUDECAP_INS_10.23" sheetId="13" state="hidden" r:id="rId14"/>
    <sheet name="FATOR K" sheetId="14" state="hidden" r:id="rId15"/>
  </sheets>
  <externalReferences>
    <externalReference r:id="rId16"/>
  </externalReferences>
  <definedNames>
    <definedName function="false" hidden="false" localSheetId="3" name="_xlnm.Print_Area" vbProcedure="false">BDI!$A$1:$I$43</definedName>
    <definedName function="false" hidden="false" localSheetId="6" name="_xlnm.Print_Area" vbProcedure="false">DIMENS_EQUIP!$A$2:$J$37</definedName>
    <definedName function="false" hidden="false" localSheetId="13" name="_xlnm.Print_Area" vbProcedure="false">'FATOR K'!$A$1:$H$40</definedName>
    <definedName function="false" hidden="false" localSheetId="1" name="_xlnm.Print_Area" vbProcedure="false">PL_ORC_ANALIT!$A$1:$M$48</definedName>
    <definedName function="false" hidden="false" localSheetId="1" name="_xlnm.Print_Titles" vbProcedure="false">PL_ORC_ANALIT!$1:$11</definedName>
    <definedName function="false" hidden="false" localSheetId="0" name="_xlnm.Print_Area" vbProcedure="false">PL_ORC_SINT!$A$1:$J$20</definedName>
    <definedName function="false" hidden="true" localSheetId="10" name="_xlnm._FilterDatabase" vbProcedure="false">'SETOP_10.23'!$A$8:$H$214</definedName>
    <definedName function="false" hidden="false" localSheetId="1" name="_xlnm.Print_Area" vbProcedure="false">PL_ORC_ANALIT!$A$1:$M$46</definedName>
    <definedName function="false" hidden="false" localSheetId="1" name="_xlnm.Print_Area_0" vbProcedure="false">PL_ORC_ANALIT!$B$2:$L$45</definedName>
  </definedNames>
  <calcPr iterateCount="100" refMode="A1" iterate="tru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<sst xmlns="http://schemas.openxmlformats.org/spreadsheetml/2006/main" count="4487" uniqueCount="2157">
  <si>
    <t xml:space="preserve">TRIBUNAL REGIONAL FEDERAL DA 6ª REGIÃO</t>
  </si>
  <si>
    <t xml:space="preserve">SECAM - SECRETARIA DE ADMINISTRAÇÃO E SERVIÇOS</t>
  </si>
  <si>
    <t xml:space="preserve">SUMES - SUBSECRETARIA DE MANUTENÇÃO, ENGENHARIA E SERVIÇOS GERAIS</t>
  </si>
  <si>
    <t xml:space="preserve">SEADI - SEÇÃO DE ADMINISTRAÇÃO PREDIAL</t>
  </si>
  <si>
    <t xml:space="preserve">ORÇAMENTO DE REFERÊNCIA - PLANILHA SINTÉTICA</t>
  </si>
  <si>
    <t xml:space="preserve">ORÇAMENTO DE REFERÊNCIA: </t>
  </si>
  <si>
    <t xml:space="preserve">DATA BASE: </t>
  </si>
  <si>
    <t xml:space="preserve">ITEM / DESCRIÇÃO</t>
  </si>
  <si>
    <t xml:space="preserve">QUANTIDADE</t>
  </si>
  <si>
    <t xml:space="preserve">UNIDADE</t>
  </si>
  <si>
    <t xml:space="preserve">CUSTO UNIT. 
ETAPA </t>
  </si>
  <si>
    <t xml:space="preserve">CUSTO TOT.
ETAPA</t>
  </si>
  <si>
    <t xml:space="preserve">VALOR TOTAL (R$)</t>
  </si>
  <si>
    <t xml:space="preserve">BDI</t>
  </si>
  <si>
    <t xml:space="preserve">SERVIÇOS DE PROJETO - EQUIPE TÉCNICA</t>
  </si>
  <si>
    <t xml:space="preserve">VALOR TOTAL</t>
  </si>
  <si>
    <t xml:space="preserve">ORÇAMENTO DE REFERÊNCIA - PLANILHA ANALÍTICA</t>
  </si>
  <si>
    <t xml:space="preserve">DATA BASE:</t>
  </si>
  <si>
    <t xml:space="preserve">Mar / 2024</t>
  </si>
  <si>
    <t xml:space="preserve">Contratação de serviços de manutenção corretiva em sistemas hidráulicos dos edifícios Antônio Fernando Pinheiro (AFP), Euclydes Reis Aguiar (ERA) e Oscar Dias Corrêa (ODC) do Tribunal Regional Federal da 6ª Região em Belo Horizonte/MG.</t>
  </si>
  <si>
    <t xml:space="preserve">DESONERADO</t>
  </si>
  <si>
    <t xml:space="preserve">ITEM</t>
  </si>
  <si>
    <t xml:space="preserve">FONTE</t>
  </si>
  <si>
    <t xml:space="preserve">CÓDIGO</t>
  </si>
  <si>
    <t xml:space="preserve">DATA</t>
  </si>
  <si>
    <t xml:space="preserve">DESCRIÇÃO</t>
  </si>
  <si>
    <t xml:space="preserve">CUSTO UNITÁRIO (R$)</t>
  </si>
  <si>
    <t xml:space="preserve">CUSTO TOTAL (R$)</t>
  </si>
  <si>
    <t xml:space="preserve">PREÇO TOTAL ESTIMADO (R$)</t>
  </si>
  <si>
    <t xml:space="preserve">SERVIÇO 1: REPARAÇÃO DE VAZAMENTO NA PRUMADA, EM SANITÁRIO 3º/4º ANDAR DO EDIFÍCIO AFP (SECRIM)</t>
  </si>
  <si>
    <t xml:space="preserve">01.01</t>
  </si>
  <si>
    <t xml:space="preserve">SINAPI</t>
  </si>
  <si>
    <t xml:space="preserve">PP_97622</t>
  </si>
  <si>
    <t xml:space="preserve">Demolição de alvenaria</t>
  </si>
  <si>
    <t xml:space="preserve">01.02</t>
  </si>
  <si>
    <t xml:space="preserve">PP_00026/ORSE</t>
  </si>
  <si>
    <t xml:space="preserve">Recolhimento e disposição de entulho de obra</t>
  </si>
  <si>
    <t xml:space="preserve">01.03</t>
  </si>
  <si>
    <t xml:space="preserve">PP_92335</t>
  </si>
  <si>
    <t xml:space="preserve">Remoção de tubulação de aço galvanizado</t>
  </si>
  <si>
    <t xml:space="preserve">01.04</t>
  </si>
  <si>
    <t xml:space="preserve">94793</t>
  </si>
  <si>
    <t xml:space="preserve">Substituição de registro de água fria</t>
  </si>
  <si>
    <t xml:space="preserve">01.05</t>
  </si>
  <si>
    <t xml:space="preserve">PP_89451</t>
  </si>
  <si>
    <t xml:space="preserve">Instalação de tubulação  em PVC </t>
  </si>
  <si>
    <t xml:space="preserve">01.06</t>
  </si>
  <si>
    <t xml:space="preserve">PP_103332</t>
  </si>
  <si>
    <t xml:space="preserve">Recomposição de alvenaria</t>
  </si>
  <si>
    <t xml:space="preserve">01.07</t>
  </si>
  <si>
    <t xml:space="preserve">PP_87527</t>
  </si>
  <si>
    <t xml:space="preserve">Execução de reboco em alvenaria</t>
  </si>
  <si>
    <t xml:space="preserve">01.08</t>
  </si>
  <si>
    <t xml:space="preserve">PP_88497</t>
  </si>
  <si>
    <t xml:space="preserve">aplicação de massa corrida, incluindo lixamento</t>
  </si>
  <si>
    <t xml:space="preserve">01.09</t>
  </si>
  <si>
    <t xml:space="preserve">PP_88485_88489</t>
  </si>
  <si>
    <t xml:space="preserve">pintura final em tinta PVA látex, incluindo aplicação de selador</t>
  </si>
  <si>
    <t xml:space="preserve">01.10</t>
  </si>
  <si>
    <t xml:space="preserve">limpeza final</t>
  </si>
  <si>
    <t xml:space="preserve">SERVIÇO 2: TROCA DOS REGISTROS DA PRUMADA DA CAIXA D'ÁGUA DO EDIFÍCIO ERA - PROBLEMA DE VAZAMENTO</t>
  </si>
  <si>
    <t xml:space="preserve">02.01</t>
  </si>
  <si>
    <t xml:space="preserve">PP_94500</t>
  </si>
  <si>
    <t xml:space="preserve">Desmontagem de registro 3”</t>
  </si>
  <si>
    <t xml:space="preserve">02.02</t>
  </si>
  <si>
    <t xml:space="preserve">PP_94499</t>
  </si>
  <si>
    <t xml:space="preserve">Desmontagem de registro 2.1/2”</t>
  </si>
  <si>
    <t xml:space="preserve">02.03</t>
  </si>
  <si>
    <t xml:space="preserve">94500</t>
  </si>
  <si>
    <t xml:space="preserve">Registro de 3”, fornecimento e instalação</t>
  </si>
  <si>
    <t xml:space="preserve">02.04</t>
  </si>
  <si>
    <t xml:space="preserve">PP_92343_92903</t>
  </si>
  <si>
    <t xml:space="preserve">Desmontagem e montagem de Tubulação de aço galvanizado 3”, com reaproveitamento e fornecimento eventual de tubos e conexões.</t>
  </si>
  <si>
    <t xml:space="preserve">02.05</t>
  </si>
  <si>
    <t xml:space="preserve">94499</t>
  </si>
  <si>
    <t xml:space="preserve">Registro de 2.1/2”, fornecimento e instalação</t>
  </si>
  <si>
    <t xml:space="preserve">02.06</t>
  </si>
  <si>
    <t xml:space="preserve">PP_92342_92902</t>
  </si>
  <si>
    <t xml:space="preserve">Desmontagem e montagem de Tubulação de aço galvanizado 2.1/2”, com reaproveitamento e fornecimento eventual de tubos e conexões.</t>
  </si>
  <si>
    <t xml:space="preserve">02.07</t>
  </si>
  <si>
    <t xml:space="preserve">Manutenção em registro gaveta 3”</t>
  </si>
  <si>
    <t xml:space="preserve">02.08</t>
  </si>
  <si>
    <t xml:space="preserve">SERVIÇO 3: APLICAÇÃO DE MANTA NO 12º ANDAR DO ED. ERA - PROBLEMA DE INFILTRAÇÃO.</t>
  </si>
  <si>
    <t xml:space="preserve">03.01</t>
  </si>
  <si>
    <t xml:space="preserve">PP_104981</t>
  </si>
  <si>
    <t xml:space="preserve">Sistema de segurança e linha de vida</t>
  </si>
  <si>
    <t xml:space="preserve">03.02</t>
  </si>
  <si>
    <t xml:space="preserve">PP_99824</t>
  </si>
  <si>
    <t xml:space="preserve">Limpeza de superfície</t>
  </si>
  <si>
    <t xml:space="preserve">03.03</t>
  </si>
  <si>
    <t xml:space="preserve">PP_98546</t>
  </si>
  <si>
    <t xml:space="preserve">Aplicação de manta de impermeabilização, inclusive fornecimento</t>
  </si>
  <si>
    <t xml:space="preserve">03.04</t>
  </si>
  <si>
    <t xml:space="preserve">PP_99804</t>
  </si>
  <si>
    <t xml:space="preserve">Limpeza final</t>
  </si>
  <si>
    <t xml:space="preserve">SERVIÇO 4: TROCA DA TUBULAÇÃO DA DESCIDA DA PRUMADA DE UMA TORRE DE RESFRIAMENTO DO ED. ODC</t>
  </si>
  <si>
    <t xml:space="preserve">04.01</t>
  </si>
  <si>
    <t xml:space="preserve">PP_92343_92903_A</t>
  </si>
  <si>
    <t xml:space="preserve">Desmontagem de Tubulação de aço galvanizado 3”, com reaproveitamento e fornecimento eventual de tubos e conexões.</t>
  </si>
  <si>
    <t xml:space="preserve">04.02</t>
  </si>
  <si>
    <t xml:space="preserve">Tubulação, pvc, soldável, dn 75mm, instalado em prumada de água, inclusive conexões - fornecimento e instalação</t>
  </si>
  <si>
    <t xml:space="preserve">04.03</t>
  </si>
  <si>
    <t xml:space="preserve">TOTAL</t>
  </si>
  <si>
    <t xml:space="preserve">células a serem preechidas</t>
  </si>
  <si>
    <t xml:space="preserve">Nota: Os prazos considerados são somente relativos ao prazo previsto para desenvolvimento, não foram considerados para critério de orçamento os prazos de análise e de eventuais correções. Ou seja considerar o cronograma do Termo de Referência como o prazo global da contratação</t>
  </si>
  <si>
    <t xml:space="preserve">CRONOGRAMA FÍSICO-FINANCEIRO</t>
  </si>
  <si>
    <t xml:space="preserve">Quant (%)</t>
  </si>
  <si>
    <t xml:space="preserve">VALOR (R$)</t>
  </si>
  <si>
    <t xml:space="preserve">QUANT</t>
  </si>
  <si>
    <t xml:space="preserve">VALOR</t>
  </si>
  <si>
    <t xml:space="preserve">Semana 01</t>
  </si>
  <si>
    <t xml:space="preserve">Semana 02</t>
  </si>
  <si>
    <t xml:space="preserve">Semana 03</t>
  </si>
  <si>
    <t xml:space="preserve">Semana 04</t>
  </si>
  <si>
    <t xml:space="preserve">Semana 05</t>
  </si>
  <si>
    <t xml:space="preserve">Semana 06</t>
  </si>
  <si>
    <t xml:space="preserve">Semana 07</t>
  </si>
  <si>
    <t xml:space="preserve">Semana 08</t>
  </si>
  <si>
    <t xml:space="preserve">Semana 09</t>
  </si>
  <si>
    <t xml:space="preserve">VALOR / PERCENTUAL ACUMULADO</t>
  </si>
  <si>
    <t xml:space="preserve">ÍNDICE DE REAJUSTE</t>
  </si>
  <si>
    <t xml:space="preserve">VALOR MENSAL COM REAJUSTE</t>
  </si>
  <si>
    <t xml:space="preserve">VALOR ACUMULADO COM REAJUSTE</t>
  </si>
  <si>
    <t xml:space="preserve">JUSTIÇA FEDERAL 
PLANILHA DE FORMAÇÃO DO BDI</t>
  </si>
  <si>
    <t xml:space="preserve">CÁLCULO DA TAXA DE BENEFÍCIOS E DESPESAS INDIRETA </t>
  </si>
  <si>
    <t xml:space="preserve">Em que:</t>
  </si>
  <si>
    <t xml:space="preserve">G = taxa representativa de Garantias;</t>
  </si>
  <si>
    <t xml:space="preserve">PV = Preço de Venda;</t>
  </si>
  <si>
    <t xml:space="preserve">AC = taxa representativa das despesas de rateio da Administração Central;</t>
  </si>
  <si>
    <t xml:space="preserve">DF = taxa representativa das Despesas Financeiras;</t>
  </si>
  <si>
    <t xml:space="preserve">CD = Custo Direto;</t>
  </si>
  <si>
    <t xml:space="preserve">S = taxa representativa de Seguros;</t>
  </si>
  <si>
    <t xml:space="preserve">L = taxa representativa do Lucro;</t>
  </si>
  <si>
    <t xml:space="preserve">BDI = Benefício e Despesas Indiretas (lucro e despesas indiretas);</t>
  </si>
  <si>
    <t xml:space="preserve">R = taxa representativa de Riscos;</t>
  </si>
  <si>
    <t xml:space="preserve">I = taxa representativa da incidência de Impostos.</t>
  </si>
  <si>
    <t xml:space="preserve">NOTA: A fórmula adotada para o cálculo do BDI é a desenvolvido pelo Tribunal de Contas da União - TCU, apresentado no âmbito do acórdão TC 2622/2013.</t>
  </si>
  <si>
    <t xml:space="preserve">PERCENTUAIS DOS COMPONENTES DO BDI SUGERIDOS PELO TCU</t>
  </si>
  <si>
    <t xml:space="preserve">1º QUARTIL</t>
  </si>
  <si>
    <t xml:space="preserve">3º QUARTIL</t>
  </si>
  <si>
    <t xml:space="preserve">MÉDIO</t>
  </si>
  <si>
    <t xml:space="preserve">ADOTADO</t>
  </si>
  <si>
    <t xml:space="preserve">ADMINISTRAÇÃO CENTRAL / LUCRO </t>
  </si>
  <si>
    <t xml:space="preserve">A. Central</t>
  </si>
  <si>
    <t xml:space="preserve">Lucro</t>
  </si>
  <si>
    <t xml:space="preserve">CONSTRUÇÃO DE EDIFÍCIOS </t>
  </si>
  <si>
    <t xml:space="preserve">DESPESAS FINANCEIRAS </t>
  </si>
  <si>
    <t xml:space="preserve">SEGURO + GARANTIAS </t>
  </si>
  <si>
    <t xml:space="preserve">RISCOS </t>
  </si>
  <si>
    <t xml:space="preserve">Recomendação TCU: Redução de 20% da alíquota do PIS e COFINS</t>
  </si>
  <si>
    <t xml:space="preserve">PERCENTUAL TOTAL DOS TRIBUTOS:</t>
  </si>
  <si>
    <t xml:space="preserve">ISS</t>
  </si>
  <si>
    <t xml:space="preserve">PIS</t>
  </si>
  <si>
    <t xml:space="preserve">N/A</t>
  </si>
  <si>
    <t xml:space="preserve">(80% de 1,65%)</t>
  </si>
  <si>
    <t xml:space="preserve">COFINS</t>
  </si>
  <si>
    <t xml:space="preserve">(80% de 7,60%)</t>
  </si>
  <si>
    <t xml:space="preserve">CPRB</t>
  </si>
  <si>
    <r>
      <rPr>
        <sz val="14"/>
        <color rgb="FF1F497D"/>
        <rFont val="Arial"/>
        <family val="2"/>
        <charset val="1"/>
      </rPr>
      <t xml:space="preserve">PERCENTUAL DE BDI CALCULADO </t>
    </r>
    <r>
      <rPr>
        <sz val="14"/>
        <color rgb="FF1F497D"/>
        <rFont val="Calibri"/>
        <family val="2"/>
        <charset val="1"/>
      </rPr>
      <t xml:space="preserve">=&gt;</t>
    </r>
  </si>
  <si>
    <t xml:space="preserve">(desonerado)</t>
  </si>
  <si>
    <t xml:space="preserve">RESUMO</t>
  </si>
  <si>
    <t xml:space="preserve">DESCRIÇÃO DOS ITENS</t>
  </si>
  <si>
    <t xml:space="preserve">SG = taxa representativa de Seguros + Garantias</t>
  </si>
  <si>
    <r>
      <rPr>
        <sz val="12"/>
        <color rgb="FF1F497D"/>
        <rFont val="Arial"/>
        <family val="2"/>
        <charset val="1"/>
      </rPr>
      <t xml:space="preserve">FÓRMULA:  BDI = [ ( (1+AC+SG+R) × (1+DF) × (1+L) ) </t>
    </r>
    <r>
      <rPr>
        <sz val="16"/>
        <color rgb="FF1F497D"/>
        <rFont val="Arial"/>
        <family val="2"/>
        <charset val="1"/>
      </rPr>
      <t xml:space="preserve">÷</t>
    </r>
    <r>
      <rPr>
        <sz val="12"/>
        <color rgb="FF1F497D"/>
        <rFont val="Arial"/>
        <family val="2"/>
        <charset val="1"/>
      </rPr>
      <t xml:space="preserve"> (1-I) ] -1 </t>
    </r>
  </si>
  <si>
    <t xml:space="preserve">Observações:</t>
  </si>
  <si>
    <r>
      <rPr>
        <sz val="10"/>
        <rFont val="Arial"/>
        <family val="2"/>
        <charset val="1"/>
      </rPr>
      <t xml:space="preserve">1 -  Os percentuais de PIS e COFINS adotados referem-se a pessoas jurídcas sujeitas ao </t>
    </r>
    <r>
      <rPr>
        <b val="true"/>
        <sz val="10"/>
        <rFont val="Arial"/>
        <family val="2"/>
        <charset val="1"/>
      </rPr>
      <t xml:space="preserve">regime de incidência não-cumulativa, </t>
    </r>
    <r>
      <rPr>
        <sz val="10"/>
        <rFont val="Arial"/>
        <family val="2"/>
        <charset val="1"/>
      </rPr>
      <t xml:space="preserve">considerando-se o </t>
    </r>
    <r>
      <rPr>
        <b val="true"/>
        <sz val="10"/>
        <rFont val="Arial"/>
        <family val="2"/>
        <charset val="1"/>
      </rPr>
      <t xml:space="preserve">desconto de 20%</t>
    </r>
    <r>
      <rPr>
        <sz val="10"/>
        <rFont val="Arial"/>
        <family val="2"/>
        <charset val="1"/>
      </rPr>
      <t xml:space="preserve"> indicado pelo SINAENCO (Acórdão TCU-Plenário N. 2.622/2013, Lei N. 2.622/2013, Lei 10.637/2002, Lei N. 10.833/2003 e publicação Orientações Para Elaboração de Planilhas Orçamentárias de Obras Públicas do TCU - pag. 92 . Eventuais ajustes nas alíquotas de PIS e COFINS devem ser feitos pelos lictantes de acordo com sua real situação tributária.</t>
    </r>
  </si>
  <si>
    <t xml:space="preserve">2 - O percentual do ISS a ser adotado para a execução de serviços de engenharia consultiva deverá observar a legislação tributária municipal onde serão prestados os serviços.</t>
  </si>
  <si>
    <t xml:space="preserve">3 - Para alterar os percentuais adotados para a composição de BDI, utllizar as células de cor :</t>
  </si>
  <si>
    <t xml:space="preserve">SINAPI – Cálculos e Parâmetros</t>
  </si>
  <si>
    <t xml:space="preserve">MINAS GERAIS</t>
  </si>
  <si>
    <t xml:space="preserve">DATA BASE MAR/24</t>
  </si>
  <si>
    <t xml:space="preserve">ENCARGOS SOCIAIS SOBRE A MÃO DE OBRA</t>
  </si>
  <si>
    <t xml:space="preserve">COM DESONERAÇÃO</t>
  </si>
  <si>
    <t xml:space="preserve">SEM DESONERAÇÃO</t>
  </si>
  <si>
    <t xml:space="preserve">HORISTA</t>
  </si>
  <si>
    <t xml:space="preserve">MENSALISTA</t>
  </si>
  <si>
    <t xml:space="preserve">%</t>
  </si>
  <si>
    <t xml:space="preserve">GRUPO A</t>
  </si>
  <si>
    <t xml:space="preserve">A1</t>
  </si>
  <si>
    <t xml:space="preserve">INSS</t>
  </si>
  <si>
    <t xml:space="preserve">A2</t>
  </si>
  <si>
    <t xml:space="preserve">SESI</t>
  </si>
  <si>
    <t xml:space="preserve">A3</t>
  </si>
  <si>
    <t xml:space="preserve">SENAI</t>
  </si>
  <si>
    <t xml:space="preserve">A4</t>
  </si>
  <si>
    <t xml:space="preserve">INCRA</t>
  </si>
  <si>
    <t xml:space="preserve">A5</t>
  </si>
  <si>
    <t xml:space="preserve">SEBRAE</t>
  </si>
  <si>
    <t xml:space="preserve">A6</t>
  </si>
  <si>
    <t xml:space="preserve">Salário Educação</t>
  </si>
  <si>
    <t xml:space="preserve">A7</t>
  </si>
  <si>
    <t xml:space="preserve">Seguro Contra Acidentes de Trabalho</t>
  </si>
  <si>
    <t xml:space="preserve">A8</t>
  </si>
  <si>
    <t xml:space="preserve">FGTS</t>
  </si>
  <si>
    <t xml:space="preserve">A9</t>
  </si>
  <si>
    <t xml:space="preserve">SECONCI</t>
  </si>
  <si>
    <t xml:space="preserve">A</t>
  </si>
  <si>
    <t xml:space="preserve">Total</t>
  </si>
  <si>
    <t xml:space="preserve">GRUPO B</t>
  </si>
  <si>
    <t xml:space="preserve">B1</t>
  </si>
  <si>
    <t xml:space="preserve">Repouso Semanal Remunerado</t>
  </si>
  <si>
    <t xml:space="preserve">B2</t>
  </si>
  <si>
    <t xml:space="preserve">Feriados</t>
  </si>
  <si>
    <t xml:space="preserve">B3</t>
  </si>
  <si>
    <t xml:space="preserve">Auxílio - Enfermidade</t>
  </si>
  <si>
    <t xml:space="preserve">B4</t>
  </si>
  <si>
    <t xml:space="preserve">13º Salário</t>
  </si>
  <si>
    <t xml:space="preserve">B5</t>
  </si>
  <si>
    <t xml:space="preserve">Licença Paternidade</t>
  </si>
  <si>
    <t xml:space="preserve">B6</t>
  </si>
  <si>
    <t xml:space="preserve">Faltas Justificadas</t>
  </si>
  <si>
    <t xml:space="preserve">B7</t>
  </si>
  <si>
    <t xml:space="preserve">Dias de Chuvas</t>
  </si>
  <si>
    <t xml:space="preserve">B8</t>
  </si>
  <si>
    <t xml:space="preserve">Auxílio Acidente de Trabalho</t>
  </si>
  <si>
    <t xml:space="preserve">B9</t>
  </si>
  <si>
    <t xml:space="preserve">Férias Gozadas</t>
  </si>
  <si>
    <t xml:space="preserve">B10</t>
  </si>
  <si>
    <t xml:space="preserve">Salário Maternidade</t>
  </si>
  <si>
    <t xml:space="preserve">B</t>
  </si>
  <si>
    <t xml:space="preserve">GRUPO C</t>
  </si>
  <si>
    <t xml:space="preserve">C1</t>
  </si>
  <si>
    <t xml:space="preserve">Aviso Prévio Indenizado</t>
  </si>
  <si>
    <t xml:space="preserve">C2</t>
  </si>
  <si>
    <t xml:space="preserve">Aviso Prévio Trabalhado</t>
  </si>
  <si>
    <t xml:space="preserve">C3</t>
  </si>
  <si>
    <t xml:space="preserve">Férias Indenizadas</t>
  </si>
  <si>
    <t xml:space="preserve">C4</t>
  </si>
  <si>
    <t xml:space="preserve">Depósito Rescisão Sem Justa Causa</t>
  </si>
  <si>
    <t xml:space="preserve">C5</t>
  </si>
  <si>
    <t xml:space="preserve">Indenização Adicional</t>
  </si>
  <si>
    <t xml:space="preserve">C</t>
  </si>
  <si>
    <t xml:space="preserve">GRUPO D</t>
  </si>
  <si>
    <t xml:space="preserve">D1</t>
  </si>
  <si>
    <t xml:space="preserve">Reincidência de Grupo A sobre Grupo B</t>
  </si>
  <si>
    <t xml:space="preserve">D2</t>
  </si>
  <si>
    <t xml:space="preserve">Reincidência de Grupo A sobre Aviso Prévio Trabalhado e Reincidência do FGTS sobre Aviso Reincidência de Grupo A sobre Aviso Prévio</t>
  </si>
  <si>
    <t xml:space="preserve">D</t>
  </si>
  <si>
    <t xml:space="preserve">TOTAL(A+B+C+D)</t>
  </si>
  <si>
    <t xml:space="preserve">Fonte: Informação Dias de Chuva – INMET</t>
  </si>
  <si>
    <t xml:space="preserve">células a serem preenchidas, de acordo com a opção do licitante Desonerado/Não desonerado</t>
  </si>
  <si>
    <t xml:space="preserve">COMPOSIÇÃO DE PREÇOS </t>
  </si>
  <si>
    <t xml:space="preserve">MANUTENÇÃO CORRETIVA EM SISTEMAS HIDRÁULICOS NO TRF-6 JUSTIÇA FEDERAL</t>
  </si>
  <si>
    <t xml:space="preserve">MACROCLASSE.CLASSE.GRUPO</t>
  </si>
  <si>
    <t xml:space="preserve">CÓDIGOS</t>
  </si>
  <si>
    <t xml:space="preserve">COEFIC.</t>
  </si>
  <si>
    <t xml:space="preserve">CUSTO UNIT.</t>
  </si>
  <si>
    <t xml:space="preserve">CUSTO TOT.</t>
  </si>
  <si>
    <t xml:space="preserve">QUANT.</t>
  </si>
  <si>
    <t xml:space="preserve">R$</t>
  </si>
  <si>
    <t xml:space="preserve">H</t>
  </si>
  <si>
    <t xml:space="preserve">01.SERP.DERE.001/01</t>
  </si>
  <si>
    <t xml:space="preserve">DEMOLIÇÃO DE ALVENARIA DE BLOCO FURADO, DE FORMA MANUAL, SEM REAPROVEITAMENTO. AF_09/2023</t>
  </si>
  <si>
    <t xml:space="preserve">M3</t>
  </si>
  <si>
    <t xml:space="preserve">COMPOSICAO</t>
  </si>
  <si>
    <t xml:space="preserve">PEDREIRO COM ENCARGOS COMPLEMENTARES</t>
  </si>
  <si>
    <t xml:space="preserve">SERVENTE COM ENCARGOS COMPLEMENTARES</t>
  </si>
  <si>
    <t xml:space="preserve">COLETA E CARGA MANUAIS DE ENTULHO</t>
  </si>
  <si>
    <t xml:space="preserve">SACO DE RAFIA PARA ENTULHO, NOVO, LISO (SEM CLICHE), *60 x 90* CM</t>
  </si>
  <si>
    <t xml:space="preserve">UN</t>
  </si>
  <si>
    <t xml:space="preserve">composição própria baseada no ORSE e inclusão de sacos de rafia.</t>
  </si>
  <si>
    <t xml:space="preserve">M</t>
  </si>
  <si>
    <t xml:space="preserve">02.INHI.IGAC.001/01</t>
  </si>
  <si>
    <t xml:space="preserve">TUBO DE AÇO GALVANIZADO COM COSTURA, CLASSE MÉDIA, CONEXÃO RANHURADA, DN 50 (2"), INSTALADO EM PRUMADAS - FORNECIMENTO E INSTALAÇÃO. AF_10/2020</t>
  </si>
  <si>
    <t xml:space="preserve">INSUMO</t>
  </si>
  <si>
    <t xml:space="preserve">TUBO ACO GALVANIZADO COM COSTURA, CLASSE MEDIA, DN 2", E = *3,65* MM, PESO *5,10* KG/M (NBR 5580)</t>
  </si>
  <si>
    <t xml:space="preserve">AUXILIAR DE ENCANADOR OU BOMBEIRO HIDRÁULICO COM ENCARGOS COMPLEMENTARES</t>
  </si>
  <si>
    <t xml:space="preserve">ENCANADOR OU BOMBEIRO HIDRÁULICO COM ENCARGOS COMPLEMENTARES</t>
  </si>
  <si>
    <t xml:space="preserve">02.INHI.IGAC.110/01</t>
  </si>
  <si>
    <t xml:space="preserve">TUBO DE AÇO GALVANIZADO COM COSTURA, CLASSE MÉDIA, CONEXÃO ROSQUEADA, DN 32 (1 1/4"), INSTALADO EM REDE DE ALIMENTAÇÃO PARA SPRINKLER - FORNECIMENTO E INSTALAÇÃO. AF_10/2020</t>
  </si>
  <si>
    <t xml:space="preserve">TUBO ACO GALVANIZADO COM COSTURA, CLASSE MEDIA, DN 1.1/4", E = *3,25* MM, PESO *3,14* KG/M (NBR 5580)</t>
  </si>
  <si>
    <t xml:space="preserve">02.INHI.IGAC.111/01</t>
  </si>
  <si>
    <t xml:space="preserve">TUBO DE AÇO GALVANIZADO COM COSTURA, CLASSE MÉDIA, CONEXÃO ROSQUEADA, DN 40 (1 1/2"), INSTALADO EM REDE DE ALIMENTAÇÃO PARA SPRINKLER - FORNECIMENTO E INSTALAÇÃO. AF_10/2020</t>
  </si>
  <si>
    <t xml:space="preserve">TUBO ACO GALVANIZADO COM COSTURA, CLASSE MEDIA, DN 1.1/2", E = *3,25* MM, PESO *3,61* KG/M (NBR 5580)</t>
  </si>
  <si>
    <t xml:space="preserve">02.INHI.VALV.013/01</t>
  </si>
  <si>
    <t xml:space="preserve">REGISTRO DE GAVETA BRUTO, LATÃO, ROSCÁVEL, 1 1/4", COM ACABAMENTO E CANOPLA CROMADOS - FORNECIMENTO E INSTALAÇÃO. AF_08/2021</t>
  </si>
  <si>
    <t xml:space="preserve">FITA VEDA ROSCA EM ROLOS DE 18 MM X 50 M (L X C)</t>
  </si>
  <si>
    <t xml:space="preserve">REGISTRO GAVETA COM ACABAMENTO E CANOPLA CROMADOS, SIMPLES, BITOLA 1 1/4 " (REF 1509)</t>
  </si>
  <si>
    <t xml:space="preserve">02.INHI.AGFR.030/01</t>
  </si>
  <si>
    <t xml:space="preserve">TUBO, PVC, SOLDÁVEL, DN 75MM, INSTALADO EM PRUMADA DE ÁGUA - FORNECIMENTO E INSTALAÇÃO. AF_06/2022</t>
  </si>
  <si>
    <t xml:space="preserve">TUBO PVC, SOLDAVEL, DE 75 MM, AGUA FRIA (NBR-5648)</t>
  </si>
  <si>
    <t xml:space="preserve">LIXA D'AGUA EM FOLHA, GRAO 100</t>
  </si>
  <si>
    <t xml:space="preserve">02.INHI.AGFR.037/01</t>
  </si>
  <si>
    <t xml:space="preserve">JOELHO 90 GRAUS, PVC, SOLDÁVEL, DN 75MM, INSTALADO EM PRUMADA DE ÁGUA - FORNECIMENTO E INSTALAÇÃO. AF_06/2022</t>
  </si>
  <si>
    <t xml:space="preserve">ADESIVO PLASTICO PARA PVC, FRASCO COM *850* GR</t>
  </si>
  <si>
    <t xml:space="preserve">JOELHO, PVC SOLDAVEL, 90 GRAUS, 75 MM, COR MARROM, PARA AGUA FRIA PREDIAL</t>
  </si>
  <si>
    <t xml:space="preserve">SOLUCAO PREPARADORA / LIMPADORA PARA PVC, FRASCO COM 1000 CM3</t>
  </si>
  <si>
    <t xml:space="preserve">02.INHI.AGFR.044/01</t>
  </si>
  <si>
    <t xml:space="preserve">LUVA, PVC, SOLDÁVEL, DN 75MM, INSTALADO EM PRUMADA DE ÁGUA - FORNECIMENTO E INSTALAÇÃO. AF_06/2022</t>
  </si>
  <si>
    <t xml:space="preserve">LUVA PVC SOLDAVEL, 75 MM, PARA AGUA FRIA PREDIAL</t>
  </si>
  <si>
    <t xml:space="preserve">01.PARE.ALVE.039/01</t>
  </si>
  <si>
    <t xml:space="preserve">ALVENARIA DE VEDAÇÃO DE BLOCOS CERÂMICOS FURADOS NA HORIZONTAL DE 9X14X19 CM (ESPESSURA 9 CM) E ARGAMASSA DE ASSENTAMENTO COM PREPARO EM BETONEIRA. AF_12/2021</t>
  </si>
  <si>
    <t xml:space="preserve">M2</t>
  </si>
  <si>
    <t xml:space="preserve">BLOCO CERAMICO / TIJOLO VAZADO PARA ALVENARIA DE VEDACAO, 6 FUROS NA HORIZONTAL DE 9 X 14 X 19 CM (L X A X C)</t>
  </si>
  <si>
    <t xml:space="preserve">TELA DE ACO SOLDADA GALVANIZADA/ZINCADA PARA ALVENARIA, FIO D = *1,20 A 1,70* MM, MALHA 15 X 15 MM, (C X L) *50 X 7,5* CM</t>
  </si>
  <si>
    <t xml:space="preserve">PINO DE ACO COM FURO, HASTE = 27 MM (ACAO DIRETA)</t>
  </si>
  <si>
    <t xml:space="preserve">CENTO</t>
  </si>
  <si>
    <t xml:space="preserve">ARGAMASSA TRAÇO 1:2:8 (EM VOLUME DE CIMENTO, CAL E AREIA MÉDIA ÚMIDA) PARA EMBOÇO/MASSA ÚNICA/ASSENTAMENTO DE ALVENARIA DE VEDAÇÃO, PREPARO MECÂNICO COM BETONEIRA 400 L. AF_08/2019</t>
  </si>
  <si>
    <t xml:space="preserve">01.REVE.MUEI.001/01</t>
  </si>
  <si>
    <t xml:space="preserve">EMBOÇO, EM ARGAMASSA TRAÇO 1:2:8, PREPARO MECÂNICO, APLICADO MANUALMENTE EM PAREDES INTERNAS DE AMBIENTES COM ÁREA MENOR QUE 5M², E =17,5MM, COM TALISCAS. AF_03/2024</t>
  </si>
  <si>
    <t xml:space="preserve">01.PINT.INTE.016/01</t>
  </si>
  <si>
    <t xml:space="preserve">EMASSAMENTO COM MASSA LÁTEX, APLICAÇÃO EM PAREDE, DUAS DEMÃOS, LIXAMENTO MANUAL. AF_04/2023</t>
  </si>
  <si>
    <t xml:space="preserve">LIXA EM FOLHA PARA PAREDE OU MADEIRA, NUMERO 120, COR VERMELHA</t>
  </si>
  <si>
    <t xml:space="preserve">MASSA CORRIDA PARA SUPERFICIES DE AMBIENTES INTERNOS</t>
  </si>
  <si>
    <t xml:space="preserve">KG</t>
  </si>
  <si>
    <t xml:space="preserve">PINTOR COM ENCARGOS COMPLEMENTARES</t>
  </si>
  <si>
    <t xml:space="preserve">PINTURA FINAL EM TINTA PVA LÁTEX, INCLUINDO APLICAÇÃO DE SELADOR</t>
  </si>
  <si>
    <t xml:space="preserve">01.PINT.INTE.004/01</t>
  </si>
  <si>
    <t xml:space="preserve">FUNDO SELADOR ACRÍLICO, APLICAÇÃO MANUAL EM PAREDE, UMA DEMÃO. AF_04/2023</t>
  </si>
  <si>
    <t xml:space="preserve">SELADOR ACRILICO OPACO PREMIUM INTERIOR/EXTERIOR</t>
  </si>
  <si>
    <t xml:space="preserve">L</t>
  </si>
  <si>
    <t xml:space="preserve">01.PINT.INTE.008/01</t>
  </si>
  <si>
    <t xml:space="preserve">PINTURA LÁTEX ACRÍLICA PREMIUM, APLICAÇÃO MANUAL EM PAREDES, DUAS DEMÃOS. AF_04/2023</t>
  </si>
  <si>
    <t xml:space="preserve">TINTA LATEX ACRILICA PREMIUM, COR BRANCO FOSCO</t>
  </si>
  <si>
    <t xml:space="preserve">01.SEDI.LIMP.004/01</t>
  </si>
  <si>
    <t xml:space="preserve">LIMPEZA DE PISO CERÂMICO OU PORCELANATO UTILIZANDO DETERGENTE NEUTRO E ESCOVAÇÃO MANUAL. AF_04/2019</t>
  </si>
  <si>
    <t xml:space="preserve">DETERGENTE NEUTRO USO GERAL, CONCENTRADO</t>
  </si>
  <si>
    <t xml:space="preserve">02.INHI.VALV.010/01</t>
  </si>
  <si>
    <t xml:space="preserve">REGISTRO DE GAVETA BRUTO, LATÃO, ROSCÁVEL, 3" - FORNECIMENTO E INSTALAÇÃO. AF_08/2021 – DESMONTAGEM</t>
  </si>
  <si>
    <t xml:space="preserve">REGISTRO GAVETA BRUTO EM LATAO FORJADO, BITOLA 3 " (REF 1509)</t>
  </si>
  <si>
    <t xml:space="preserve">02.INHI.VALV.009/01</t>
  </si>
  <si>
    <t xml:space="preserve">REGISTRO DE GAVETA BRUTO, LATÃO, ROSCÁVEL, 2 1/2" - FORNECIMENTO E INSTALAÇÃO. AF_08/2021</t>
  </si>
  <si>
    <t xml:space="preserve">REGISTRO GAVETA BRUTO EM LATAO FORJADO, BITOLA 2 1/2 " (REF 1509)</t>
  </si>
  <si>
    <t xml:space="preserve">DESMONTAGEM E MONTAGEM DE TUBULAÇÃO DE AÇO GALVANIZADO 3”, COM REAPROVEITAMENTO E FORNECIMENTO EVENTUAL DE TUBOS E CONEXÕES.</t>
  </si>
  <si>
    <t xml:space="preserve">02.INHI.IGAC.027/01</t>
  </si>
  <si>
    <t xml:space="preserve">TUBO DE AÇO GALVANIZADO COM COSTURA, CLASSE MÉDIA, DN 80 (3"), CONEXÃO ROSQUEADA, INSTALADO EM PRUMADAS - FORNECIMENTO E INSTALAÇÃO. AF_10/2020</t>
  </si>
  <si>
    <t xml:space="preserve">TUBO ACO GALVANIZADO COM COSTURA, CLASSE MEDIA, DN 3", E = *4,05* MM, PESO *8,47* KG/M (NBR 5580)</t>
  </si>
  <si>
    <t xml:space="preserve">02.INHI.IGAC.120/03</t>
  </si>
  <si>
    <t xml:space="preserve">UNIÃO, EM FERRO GALVANIZADO, CONEXÃO ROSQUEADA, DN 80 (3"), INSTALADO EM REDE DE ALIMENTAÇÃO PARA SPRINKLER - FORNECIMENTO E INSTALAÇÃO. AF_10/2020</t>
  </si>
  <si>
    <t xml:space="preserve">FUNDO ANTICORROSIVO PARA METAIS FERROSOS (ZARCAO)</t>
  </si>
  <si>
    <t xml:space="preserve">UNIAO DE FERRO GALVANIZADO, COM ROSCA BSP, COM ASSENTO PLANO, DE 3"</t>
  </si>
  <si>
    <t xml:space="preserve">02.INHI.IGAC.026/01</t>
  </si>
  <si>
    <t xml:space="preserve">TUBO DE AÇO GALVANIZADO COM COSTURA, CLASSE MÉDIA, DN 65 (2 1/2"), CONEXÃO ROSQUEADA, INSTALADO EM PRUMADAS - FORNECIMENTO E INSTALAÇÃO. AF_10/2020</t>
  </si>
  <si>
    <t xml:space="preserve">TUBO ACO GALVANIZADO COM COSTURA, CLASSE MEDIA, DN 2.1/2", E = *3,65* MM, PESO *6,51* KG/M (NBR 5580)</t>
  </si>
  <si>
    <t xml:space="preserve">02.INHI.IGAC.119/03</t>
  </si>
  <si>
    <t xml:space="preserve">UNIÃO, EM FERRO GALVANIZADO, CONEXÃO ROSQUEADA, DN 65 (2 1/2"), INSTALADO EM REDE DE ALIMENTAÇÃO PARA SPRINKLER - FORNECIMENTO E INSTALAÇÃO. AF_10/2020</t>
  </si>
  <si>
    <t xml:space="preserve">UNIAO DE FERRO GALVANIZADO, COM ROSCA BSP, COM ASSENTO PLANO, DE 2 1/2"</t>
  </si>
  <si>
    <t xml:space="preserve">Manutenção em registro bruto de gaveta 3”</t>
  </si>
  <si>
    <t xml:space="preserve">REGISTRO DE GAVETA BRUTO, LATÃO, ROSCÁVEL, 3" - FORNECIMENTO E INSTALAÇÃO. AF_08/2021</t>
  </si>
  <si>
    <t xml:space="preserve">REGISTRO GAVETA COM ACABAMENTO E CANOPLA CROMADOS, SIMPLES, BITOLA 1 " (REF 1509)</t>
  </si>
  <si>
    <t xml:space="preserve">TÉCNICO EM SEGURANÇA DO TRABALHO COM ENCARGOS COMPLEMENTARES</t>
  </si>
  <si>
    <t xml:space="preserve">AJUDANTE DE CARPINTEIRO COM ENCARGOS COMPLEMENTARES</t>
  </si>
  <si>
    <t xml:space="preserve">pp_41947</t>
  </si>
  <si>
    <r>
      <rPr>
        <sz val="10"/>
        <rFont val="Arial"/>
        <family val="2"/>
        <charset val="1"/>
      </rPr>
      <t xml:space="preserve">ESTICADOR FORJADO PARA CABO DE ACO DE DIAMETRO 12,7 MM (1/2"), TIPO </t>
    </r>
    <r>
      <rPr>
        <strike val="true"/>
        <sz val="10"/>
        <rFont val="Arial"/>
        <family val="2"/>
        <charset val="1"/>
      </rPr>
      <t xml:space="preserve">GANCHO</t>
    </r>
    <r>
      <rPr>
        <sz val="10"/>
        <rFont val="Arial"/>
        <family val="2"/>
        <charset val="1"/>
      </rPr>
      <t xml:space="preserve"> MANILHA X MANILHA </t>
    </r>
    <r>
      <rPr>
        <strike val="true"/>
        <sz val="10"/>
        <rFont val="Arial"/>
        <family val="2"/>
        <charset val="1"/>
      </rPr>
      <t xml:space="preserve">OLHAL</t>
    </r>
    <r>
      <rPr>
        <sz val="10"/>
        <rFont val="Arial"/>
        <family val="2"/>
        <charset val="1"/>
      </rPr>
      <t xml:space="preserve"> (DIN 1480)</t>
    </r>
  </si>
  <si>
    <t xml:space="preserve">Cotação</t>
  </si>
  <si>
    <t xml:space="preserve">GRAMPO PESADO FORJADO EM ACO CARBONO 1045 GALVANIZADO (CLIP'S) PARA CABO DE ACO DE DIAMETRO 12,7 MM (1/2") (FS FF-C-450D, TIPO 1, CLASSE 1)</t>
  </si>
  <si>
    <t xml:space="preserve">CARPINTEIRO DE FORMAS COM ENCARGOS COMPLEMENTARES</t>
  </si>
  <si>
    <t xml:space="preserve">CABO DE ACO GALVANIZADO, DIAMETRO 12,7 MM (1/2"), COM ALMA DE ACO CABO INDEPENDENTE 6 X 25 F</t>
  </si>
  <si>
    <t xml:space="preserve">ACO CA-50, 10,0 MM, OU 12,5 MM, OU 16,0 MM, OU 20,0 MM, DOBRADO E CORTADO</t>
  </si>
  <si>
    <t xml:space="preserve">01.SEDI.LIMP.024/01</t>
  </si>
  <si>
    <t xml:space="preserve">LIMPEZA DE PORTA EM AÇO/ALUMÍNIO. AF_04/2019</t>
  </si>
  <si>
    <t xml:space="preserve">DILUENTE AGUARRAS</t>
  </si>
  <si>
    <t xml:space="preserve">01.IMPE.MANT.001/01</t>
  </si>
  <si>
    <t xml:space="preserve">IMPERMEABILIZAÇÃO DE SUPERFÍCIE COM MANTA ASFÁLTICA, UMA CAMADA, INCLUSIVE APLICAÇÃO DE PRIMER ASFÁLTICO, E=4MM. AF_09/2023</t>
  </si>
  <si>
    <t xml:space="preserve">PRIMER PARA MANTA ASFALTICA A BASE DE ASFALTO MODIFICADO DILUIDO EM SOLVENTE, APLICACAO A FRIO</t>
  </si>
  <si>
    <t xml:space="preserve">MANTA ASFALTICA ELASTOMERICA EM POLIESTER 4 MM, TIPO III, CLASSE B, ACABAMENTO PP (NBR 9952)</t>
  </si>
  <si>
    <t xml:space="preserve">ajustar preço da manta que será utilizada</t>
  </si>
  <si>
    <t xml:space="preserve">GAS DE COZINHA - GLP</t>
  </si>
  <si>
    <t xml:space="preserve">AJUDANTE ESPECIALIZADO COM ENCARGOS COMPLEMENTARES</t>
  </si>
  <si>
    <t xml:space="preserve">IMPERMEABILIZADOR COM ENCARGOS COMPLEMENTARES</t>
  </si>
  <si>
    <t xml:space="preserve">TUBULAÇÃO, PVC, SOLDÁVEL, DN 75MM, INSTALADO EM PRUMADA DE ÁGUA, INCLUSIVE CONEXÕES - FORNECIMENTO E INSTALAÇÃO. AF_06/2022</t>
  </si>
  <si>
    <t xml:space="preserve">02.INHI.AGFR.044/03</t>
  </si>
  <si>
    <t xml:space="preserve">ADAPTADOR CURTO COM BOLSA E ROSCA PARA REGISTRO, PVC, SOLDÁVEL, DN 75MM X 2.1/2", INSTALADO EM PRUMADA DE ÁGUA - FORNECIMENTO E INSTALAÇÃO. AF_12/2014</t>
  </si>
  <si>
    <t xml:space="preserve">ADAPTADOR PVC SOLDAVEL CURTO COM BOLSA E ROSCA, 75 MM X 2 1/2", PARA AGUA FRIA</t>
  </si>
  <si>
    <t xml:space="preserve">02.INHI.GAC2.146/01</t>
  </si>
  <si>
    <t xml:space="preserve">LUVA, EM FERRO GALVANIZADO, CONEXÃO ROSQUEADA, DN 80 (3"), INSTALADO EM RESERVAÇÃO DE ÁGUA DE EDIFICAÇÃO QUE POSSUA RESERVATÓRIO DE FIBRA/FIBROCIMENTO - FORNECIMENTO E INSTALAÇÃO. AF_06/2016</t>
  </si>
  <si>
    <t xml:space="preserve">LUVA DE FERRO GALVANIZADO, COM ROSCA BSP, DE 3"</t>
  </si>
  <si>
    <t xml:space="preserve">PREMISSAS</t>
  </si>
  <si>
    <t xml:space="preserve">Itens a serem preechidos</t>
  </si>
  <si>
    <t xml:space="preserve">horas semanais</t>
  </si>
  <si>
    <t xml:space="preserve">dias/semana</t>
  </si>
  <si>
    <t xml:space="preserve">Horas/dia</t>
  </si>
  <si>
    <t xml:space="preserve">SEPOB - SEÇÃO DE PROJETOS, OBRAS E SERVIÇOS DE ENGENHARIA</t>
  </si>
  <si>
    <t xml:space="preserve">FASE DE PROJETOS</t>
  </si>
  <si>
    <t xml:space="preserve">dias por mês</t>
  </si>
  <si>
    <t xml:space="preserve">EP</t>
  </si>
  <si>
    <t xml:space="preserve">AP</t>
  </si>
  <si>
    <t xml:space="preserve">PB</t>
  </si>
  <si>
    <t xml:space="preserve">PE</t>
  </si>
  <si>
    <t xml:space="preserve">PL</t>
  </si>
  <si>
    <t xml:space="preserve">Horas mensal</t>
  </si>
  <si>
    <t xml:space="preserve">horas mensal (para cálculo de prazos)</t>
  </si>
  <si>
    <t xml:space="preserve">QUADRO DE DIMENSIONAMENTO TÉCNICO</t>
  </si>
  <si>
    <t xml:space="preserve">LEVANTAMENTO DAS HORAS TÉCNICAS</t>
  </si>
  <si>
    <t xml:space="preserve">ITENS</t>
  </si>
  <si>
    <t xml:space="preserve">FUNÇÕES</t>
  </si>
  <si>
    <t xml:space="preserve">Qte HORAS</t>
  </si>
  <si>
    <t xml:space="preserve">FASE 01</t>
  </si>
  <si>
    <t xml:space="preserve">FASE 02</t>
  </si>
  <si>
    <t xml:space="preserve">FASE 03</t>
  </si>
  <si>
    <t xml:space="preserve">FASE 04</t>
  </si>
  <si>
    <t xml:space="preserve">FASE 05</t>
  </si>
  <si>
    <t xml:space="preserve">Horas Totais</t>
  </si>
  <si>
    <t xml:space="preserve">Horas por dia</t>
  </si>
  <si>
    <t xml:space="preserve">Dias</t>
  </si>
  <si>
    <t xml:space="preserve">Meses</t>
  </si>
  <si>
    <t xml:space="preserve">GRADUADO NÍVEL I - PROJETO</t>
  </si>
  <si>
    <t xml:space="preserve">01.01.01</t>
  </si>
  <si>
    <t xml:space="preserve">ARQUITETO</t>
  </si>
  <si>
    <t xml:space="preserve">01.01.02</t>
  </si>
  <si>
    <t xml:space="preserve">ENGENHEIRO CIVIL</t>
  </si>
  <si>
    <t xml:space="preserve">01.01.03</t>
  </si>
  <si>
    <t xml:space="preserve">ENGENHEIRO ELETRICISTA</t>
  </si>
  <si>
    <t xml:space="preserve">GRADUADO NÍVEL II - PROJETO</t>
  </si>
  <si>
    <t xml:space="preserve">01.01.04</t>
  </si>
  <si>
    <t xml:space="preserve">ARQUITETO SENIOR</t>
  </si>
  <si>
    <t xml:space="preserve">01.01.05</t>
  </si>
  <si>
    <t xml:space="preserve">ENGENHEIRO CIVIL SENIOR</t>
  </si>
  <si>
    <t xml:space="preserve">NÍVEL TÉCNICO / ADMINISTRATIVO</t>
  </si>
  <si>
    <t xml:space="preserve">01.01.06</t>
  </si>
  <si>
    <t xml:space="preserve">DESENHISTA</t>
  </si>
  <si>
    <t xml:space="preserve">01.01.07</t>
  </si>
  <si>
    <t xml:space="preserve">AUXILIAR DE ESCRITÓRIO</t>
  </si>
  <si>
    <t xml:space="preserve">01.01.08</t>
  </si>
  <si>
    <t xml:space="preserve">AUXILIAR DE ENGENHARIA</t>
  </si>
  <si>
    <t xml:space="preserve">EQUIPE ESTIMADA:</t>
  </si>
  <si>
    <t xml:space="preserve">PRAZO CONSIDERADOS PARA CADA FASE</t>
  </si>
  <si>
    <t xml:space="preserve">horas totais</t>
  </si>
  <si>
    <t xml:space="preserve">meses / mês</t>
  </si>
  <si>
    <t xml:space="preserve">Coordenador</t>
  </si>
  <si>
    <t xml:space="preserve">DIAS</t>
  </si>
  <si>
    <t xml:space="preserve">MESES</t>
  </si>
  <si>
    <t xml:space="preserve">Nivel Superior</t>
  </si>
  <si>
    <t xml:space="preserve">Graduado I</t>
  </si>
  <si>
    <t xml:space="preserve">EP - ESTUDO PRELIMINAR</t>
  </si>
  <si>
    <t xml:space="preserve">Nivel Médio</t>
  </si>
  <si>
    <t xml:space="preserve">Graduado II</t>
  </si>
  <si>
    <t xml:space="preserve">AP - ANTEPROJETO</t>
  </si>
  <si>
    <t xml:space="preserve">Coef. = </t>
  </si>
  <si>
    <t xml:space="preserve">Técnico I</t>
  </si>
  <si>
    <t xml:space="preserve">PB - PROJETO BÁSICO</t>
  </si>
  <si>
    <t xml:space="preserve">Desenhista</t>
  </si>
  <si>
    <t xml:space="preserve">PE - PROJETO EXECUTIVO</t>
  </si>
  <si>
    <t xml:space="preserve">Qtde de Art Cargo e Função</t>
  </si>
  <si>
    <t xml:space="preserve">PL - PROJETO LEGAL</t>
  </si>
  <si>
    <t xml:space="preserve">Qtde de Art Fiscalização</t>
  </si>
  <si>
    <t xml:space="preserve">PRAZO TOTAL</t>
  </si>
  <si>
    <t xml:space="preserve">Qtde de Art Projeto</t>
  </si>
  <si>
    <t xml:space="preserve">NOTA: Os prazos considerados são relativos aoS prazo previstoS para desenvolvimento, análises e eventuais correções</t>
  </si>
  <si>
    <t xml:space="preserve">Contratação de empresa especializada em elaboração de projetos executivos arquitetônicos e complementares e de execução de ensaios técnicos em fachada, esquadrias e estruturas destinados à revitalização estética e estrutural do edifício sede III da Seção Judiciária de Minas Gerais.</t>
  </si>
  <si>
    <t xml:space="preserve">item</t>
  </si>
  <si>
    <t xml:space="preserve">Descrição</t>
  </si>
  <si>
    <t xml:space="preserve">FONTES DE CONSULTA / SINAPI E SICRO</t>
  </si>
  <si>
    <t xml:space="preserve">SALÁRIO MENSAL</t>
  </si>
  <si>
    <t xml:space="preserve">VALOR ADOTADO </t>
  </si>
  <si>
    <t xml:space="preserve">VALOR ADOTADO</t>
  </si>
  <si>
    <t xml:space="preserve">REFERÊNCIA</t>
  </si>
  <si>
    <t xml:space="preserve">Código</t>
  </si>
  <si>
    <t xml:space="preserve">Valor Hora s/ ES </t>
  </si>
  <si>
    <t xml:space="preserve">SINAPI (REF. 12/23)</t>
  </si>
  <si>
    <t xml:space="preserve">SINAPI(REF. 12/23)</t>
  </si>
  <si>
    <t xml:space="preserve">CONSULTOR TÉCNICO</t>
  </si>
  <si>
    <t xml:space="preserve">03.</t>
  </si>
  <si>
    <t xml:space="preserve">SINAPI 12/2023</t>
  </si>
  <si>
    <t xml:space="preserve">Encargos Sociais</t>
  </si>
  <si>
    <t xml:space="preserve">CODIGO</t>
  </si>
  <si>
    <t xml:space="preserve">DESCRICAO DA COMPOSICAO</t>
  </si>
  <si>
    <t xml:space="preserve">CUSTO TOTAL</t>
  </si>
  <si>
    <t xml:space="preserve">DESENHISTA DETALHISTA COM ENCARGOS COMPLEMENTARES</t>
  </si>
  <si>
    <t xml:space="preserve">MES</t>
  </si>
  <si>
    <t xml:space="preserve">DESENHISTA COPISTA COM ENCARGOS COMPLEMENTARES</t>
  </si>
  <si>
    <t xml:space="preserve">DESENHISTA PROJETISTA COM ENCARGOS COMPLEMENTARES</t>
  </si>
  <si>
    <t xml:space="preserve">AUXILIAR DE DESENHISTA COM ENCARGOS COMPLEMENTARES</t>
  </si>
  <si>
    <t xml:space="preserve">ENGENHEIRO CIVIL DE OBRA JUNIOR COM ENCARGOS COMPLEMENTARES</t>
  </si>
  <si>
    <t xml:space="preserve">AUXILIAR DE ESCRITORIO COM ENCARGOS COMPLEMENTARES</t>
  </si>
  <si>
    <t xml:space="preserve">ENGENHEIRO CIVIL DE OBRA PLENO COM ENCARGOS COMPLEMENTARES</t>
  </si>
  <si>
    <t xml:space="preserve">ENGENHEIRO CIVIL DE OBRA SENIOR COM ENCARGOS COMPLEMENTARES</t>
  </si>
  <si>
    <t xml:space="preserve">ARQUITETO JUNIOR COM ENCARGOS COMPLEMENTARES</t>
  </si>
  <si>
    <t xml:space="preserve">ARQUITETO PLENO COM ENCARGOS COMPLEMENTARES</t>
  </si>
  <si>
    <t xml:space="preserve">ARQUITETO SENIOR COM ENCARGOS COMPLEMENTARES</t>
  </si>
  <si>
    <t xml:space="preserve">TOPOGRAFO COM ENCARGOS COMPLEMENTARES</t>
  </si>
  <si>
    <t xml:space="preserve">TECNICO DE EDIFICACOES COM ENCARGOS COMPLEMENTARES</t>
  </si>
  <si>
    <t xml:space="preserve">AUXILIAR DE LABORATORISTA DE SOLOS E DE CONCRETO COM ENCARGOS COMPLEMENTARES</t>
  </si>
  <si>
    <t xml:space="preserve">AUXILIAR DE TOPÓGRAFO COM ENCARGOS COMPLEMENTARES</t>
  </si>
  <si>
    <t xml:space="preserve">AUXILIAR TÉCNICO / ASSISTENTE DE ENGENHARIA COM ENCARGOS COMPLEMENTARES</t>
  </si>
  <si>
    <t xml:space="preserve">TÉCNICO DE LABORATÓRIO E CAMPO DE CONSTRUÇÃO COM ENCARGOS COMPLEMENTARES</t>
  </si>
  <si>
    <t xml:space="preserve">TÉCNICO EM SONDAGEM COM ENCARGOS COMPLEMENTARES</t>
  </si>
  <si>
    <t xml:space="preserve">Contratação de empresa especializada em elaboração de projetos executivos arquitetônicos e complementares e de execução de ensaios técnicos em fachada, esquadrias e estruturas destinados à revitalização estética e estrutural do edifício sede III da Seção Judiciária de Minas Gerais</t>
  </si>
  <si>
    <t xml:space="preserve">HISTOGRAMA MÃO DE OBRA POR ETAPA (MÉDIA MENSAL)</t>
  </si>
  <si>
    <t xml:space="preserve">Quant horas (totais)</t>
  </si>
  <si>
    <t xml:space="preserve">Meses:</t>
  </si>
  <si>
    <t xml:space="preserve">EQUIPE TÉCNICA DE PROJETO</t>
  </si>
  <si>
    <t xml:space="preserve">Total em meses de H-H</t>
  </si>
  <si>
    <t xml:space="preserve">SOMA</t>
  </si>
  <si>
    <t xml:space="preserve">COMPOSIÇÃO  DE PREÇO UNITÁRIO</t>
  </si>
  <si>
    <t xml:space="preserve">Data:</t>
  </si>
  <si>
    <t xml:space="preserve">SERVIÇO:</t>
  </si>
  <si>
    <t xml:space="preserve">LEVANTAMENTO LASER SCANNER DE ÁREA FACHADA, ÁREA EXTERNA E PAVIMENTOS DE GARAGENS</t>
  </si>
  <si>
    <t xml:space="preserve">CPU-01</t>
  </si>
  <si>
    <t xml:space="preserve">EQUIPAMENTOS</t>
  </si>
  <si>
    <t xml:space="preserve">UND</t>
  </si>
  <si>
    <t xml:space="preserve">UTILIZAÇÃO OPERATIVA</t>
  </si>
  <si>
    <t xml:space="preserve">UTILIZAÇÃO IMPRODUTIVA</t>
  </si>
  <si>
    <t xml:space="preserve">CUSTO OPER</t>
  </si>
  <si>
    <t xml:space="preserve">CUSTO IMPROD</t>
  </si>
  <si>
    <t xml:space="preserve">CUSTO</t>
  </si>
  <si>
    <t xml:space="preserve">UNITÁRIO</t>
  </si>
  <si>
    <t xml:space="preserve">H019701008</t>
  </si>
  <si>
    <t xml:space="preserve">LOCAÇÃO DE VANT - VEÍCULO ÁEREO NÃO TRIPULADO (DRONE DJI MATRICE 200 OU SIMILAR), EXCLUSO OPERADOR - FONTE EMBASA</t>
  </si>
  <si>
    <t xml:space="preserve">35001180</t>
  </si>
  <si>
    <t xml:space="preserve">RECEPTOR GNSS L1L2 RTK MODELO TRIUMPH-1 JAVAD OU SIMILAR, COMPLETO - PAR</t>
  </si>
  <si>
    <t xml:space="preserve">DIA</t>
  </si>
  <si>
    <t xml:space="preserve">35001182</t>
  </si>
  <si>
    <t xml:space="preserve">LASER SCANNER TERRESTRE COM TAXA DE MEDICAO MINIMA DE 10000 PONTOS POR SEGUNDO MARCA REGL MODELO VZ1000 OU SIMILAR</t>
  </si>
  <si>
    <t xml:space="preserve">(A) CUSTO HORÁRIO DE EQUIPAMENTOS - SUBTOTAL</t>
  </si>
  <si>
    <t xml:space="preserve">TRDE</t>
  </si>
  <si>
    <t xml:space="preserve">(A) EQUIPAMENTOS TOTAL  + TRDE</t>
  </si>
  <si>
    <t xml:space="preserve">MÃO-DE-OBRA SUPLEMENTAR</t>
  </si>
  <si>
    <t xml:space="preserve">COEFICIENTE</t>
  </si>
  <si>
    <t xml:space="preserve">SALÁRIO </t>
  </si>
  <si>
    <t xml:space="preserve">BASE</t>
  </si>
  <si>
    <t xml:space="preserve">H-H</t>
  </si>
  <si>
    <t xml:space="preserve">(B) CUSTO HORÁRIO DE MÃO-DE-OBRA</t>
  </si>
  <si>
    <t xml:space="preserve">FATOR K</t>
  </si>
  <si>
    <t xml:space="preserve">(B) CUSTO UNITÁRIO DE MÃO DE OBRA</t>
  </si>
  <si>
    <t xml:space="preserve">CUSTO HORÁRIO TOTAL</t>
  </si>
  <si>
    <t xml:space="preserve">PRODUÇÃO DA EQUIPE (C )</t>
  </si>
  <si>
    <t xml:space="preserve">(D) CUSTO UNITÁRIO DE EXECUÇÃO  (A) + (B) / C</t>
  </si>
  <si>
    <t xml:space="preserve">MATERIAIS/SERVIÇOS</t>
  </si>
  <si>
    <t xml:space="preserve">CONSUMO</t>
  </si>
  <si>
    <t xml:space="preserve">CUSTO UNITÁRIO</t>
  </si>
  <si>
    <t xml:space="preserve">CUSTO </t>
  </si>
  <si>
    <t xml:space="preserve">(E) CUSTO DE MATERIAIS - TOTAL</t>
  </si>
  <si>
    <t xml:space="preserve">1) Composição baseada no pregrão 44/2022, da Justiça Federal do Ceará, baseado em item de Levantamento Cadastral</t>
  </si>
  <si>
    <t xml:space="preserve">CUSTO UNITÁRIO-TOTAL (A)+(D)+(E)</t>
  </si>
  <si>
    <t xml:space="preserve">PREÇO UNITÁRIO TOTAL</t>
  </si>
  <si>
    <t xml:space="preserve">COMPOSIÇÃO JFMG</t>
  </si>
  <si>
    <t xml:space="preserve">CUSTO M2</t>
  </si>
  <si>
    <t xml:space="preserve">NÚMERO DE DIAS</t>
  </si>
  <si>
    <t xml:space="preserve">DIAS PARA ÁREA EXTERNA</t>
  </si>
  <si>
    <t xml:space="preserve">DIAS PARA ÁREA INTERNA</t>
  </si>
  <si>
    <t xml:space="preserve">NRO DE DIAS PARA A LOCAÇÃO DE VANT</t>
  </si>
  <si>
    <t xml:space="preserve">DIAS DE LASER SCAN</t>
  </si>
  <si>
    <t xml:space="preserve">DIAS RECEPTOR LASER SCAN</t>
  </si>
  <si>
    <t xml:space="preserve">ARQ. JUNIOR</t>
  </si>
  <si>
    <t xml:space="preserve">ARQ. PLENO</t>
  </si>
  <si>
    <t xml:space="preserve">ARQ. SENIOR</t>
  </si>
  <si>
    <t xml:space="preserve">AUX. TECNICO</t>
  </si>
  <si>
    <t xml:space="preserve">COMPOSIÇÃO BASE</t>
  </si>
  <si>
    <t xml:space="preserve">LICITAÇÃO JFCE</t>
  </si>
  <si>
    <t xml:space="preserve">JFMG</t>
  </si>
  <si>
    <t xml:space="preserve">m2</t>
  </si>
  <si>
    <t xml:space="preserve">ÁREA DE FACHADA</t>
  </si>
  <si>
    <t xml:space="preserve">ÁREA DE GARAGEM</t>
  </si>
  <si>
    <t xml:space="preserve">RELAÇÃO</t>
  </si>
  <si>
    <t xml:space="preserve">COEF</t>
  </si>
  <si>
    <t xml:space="preserve">COEF * ÁREA</t>
  </si>
  <si>
    <t xml:space="preserve">PRAZO EM DIAS</t>
  </si>
  <si>
    <t xml:space="preserve">DIAS JF</t>
  </si>
  <si>
    <t xml:space="preserve">UTILIZAR JF</t>
  </si>
  <si>
    <t xml:space="preserve">EMBASA - LOCAÇÃO DE VANT</t>
  </si>
  <si>
    <t xml:space="preserve">DATA-BASE 01/2023</t>
  </si>
  <si>
    <t xml:space="preserve">COPASA CUSTOS</t>
  </si>
  <si>
    <t xml:space="preserve">EQUIPE PARA LEVANTAMENTOS COM LASER SCANNER</t>
  </si>
  <si>
    <t xml:space="preserve">6.268,34</t>
  </si>
  <si>
    <t xml:space="preserve">Código Material</t>
  </si>
  <si>
    <t xml:space="preserve">Unidade</t>
  </si>
  <si>
    <t xml:space="preserve">Quantidade</t>
  </si>
  <si>
    <t xml:space="preserve">Preço Unitário</t>
  </si>
  <si>
    <t xml:space="preserve">Valor</t>
  </si>
  <si>
    <t xml:space="preserve">250,00</t>
  </si>
  <si>
    <t xml:space="preserve">SUPERVISOR TECNICO INCLUSIVE ES E ENCARGOS COMPLEMENTARES</t>
  </si>
  <si>
    <t xml:space="preserve">0,059651</t>
  </si>
  <si>
    <t xml:space="preserve">9.773,78</t>
  </si>
  <si>
    <t xml:space="preserve">583,02</t>
  </si>
  <si>
    <t xml:space="preserve">AUXILIAR TECNICO INCLUSIVE ES E ENCARGOS COMPLEMENTARES</t>
  </si>
  <si>
    <t xml:space="preserve">5.414,04</t>
  </si>
  <si>
    <t xml:space="preserve">322,95</t>
  </si>
  <si>
    <t xml:space="preserve">933,00</t>
  </si>
  <si>
    <t xml:space="preserve">DESENHISTA TECNICO (CADISTA) INCLUSIVE ES E ENCARGOS COMPLEMENTARES</t>
  </si>
  <si>
    <t xml:space="preserve">0,238603</t>
  </si>
  <si>
    <t xml:space="preserve">5.398,91</t>
  </si>
  <si>
    <t xml:space="preserve">1.288,20</t>
  </si>
  <si>
    <t xml:space="preserve">SOFTWARE PARA ELABORACAO DE DESENHOS, TIPO CAD, COMPATIVEL COM O AUTOCAD 2010 OU SUPERIOR - LICENCA DE UTILIZACAO</t>
  </si>
  <si>
    <t xml:space="preserve">0,008333</t>
  </si>
  <si>
    <t xml:space="preserve">7.500,00</t>
  </si>
  <si>
    <t xml:space="preserve">62,50</t>
  </si>
  <si>
    <t xml:space="preserve">CAMINHONETE CABINE DUPLA, MOTOR DIESEL POTENCIA MINIMA DE 160CV, 4X4 - MES</t>
  </si>
  <si>
    <t xml:space="preserve">0,066667</t>
  </si>
  <si>
    <t xml:space="preserve">6.272,61</t>
  </si>
  <si>
    <t xml:space="preserve">418,18</t>
  </si>
  <si>
    <t xml:space="preserve">CAMINHONETE CABINE DUPLA, MOTOR DIESEL POTENCIA MINIMA DE 160CV, 4X4 - KM</t>
  </si>
  <si>
    <t xml:space="preserve">KM</t>
  </si>
  <si>
    <t xml:space="preserve">1,45</t>
  </si>
  <si>
    <t xml:space="preserve">696,00</t>
  </si>
  <si>
    <t xml:space="preserve">HOSPEDAGEM E ALIMENTACAO</t>
  </si>
  <si>
    <t xml:space="preserve">260,40</t>
  </si>
  <si>
    <t xml:space="preserve">1.562,40</t>
  </si>
  <si>
    <t xml:space="preserve">MARCO DE CONCRETO - FORNECIMENTO E INSTALACAO</t>
  </si>
  <si>
    <t xml:space="preserve">76,03</t>
  </si>
  <si>
    <t xml:space="preserve">152,06</t>
  </si>
  <si>
    <t xml:space="preserve">ÁREA DE FACHADA + GARAGENS</t>
  </si>
  <si>
    <t xml:space="preserve">Estimativa de custos por método sem ser o laser scan</t>
  </si>
  <si>
    <t xml:space="preserve">CUSTO / UNIDADE</t>
  </si>
  <si>
    <t xml:space="preserve">CO-27369</t>
  </si>
  <si>
    <t xml:space="preserve">LEVANTAMENTO PLANIALTIMÉTRICO E CADASTRAL - TERRENO MAIOR QUE 50.001 M2</t>
  </si>
  <si>
    <t xml:space="preserve">QTD.</t>
  </si>
  <si>
    <t xml:space="preserve">CO-27361</t>
  </si>
  <si>
    <t xml:space="preserve">LEVANTAMENTO PLANIALTIMÉTRICO E CADASTRAL -TERRENO ATÉ 2.000 M2</t>
  </si>
  <si>
    <t xml:space="preserve">un</t>
  </si>
  <si>
    <t xml:space="preserve">pavimentos + torre</t>
  </si>
  <si>
    <t xml:space="preserve">CO-27367</t>
  </si>
  <si>
    <t xml:space="preserve">LEVANTAMENTO PLANIALTIMÉTRICO E CADASTRAL -TERRENO DE 10.001 A 50.000 M2</t>
  </si>
  <si>
    <t xml:space="preserve">CO-27363</t>
  </si>
  <si>
    <t xml:space="preserve">LEVANTAMENTO PLANIALTIMÉTRICO E CADASTRAL -TERRENO DE 2.001 A 10.000 M2</t>
  </si>
  <si>
    <t xml:space="preserve">CO-27423</t>
  </si>
  <si>
    <t xml:space="preserve">DESENVOLVIMENTO E DETALHAMENTO DE PROJETO ARQUITETÔNICO</t>
  </si>
  <si>
    <t xml:space="preserve">PR A1</t>
  </si>
  <si>
    <t xml:space="preserve">17 PROJETOS COMPLEMENTARES EM PAPEL - Referentes a detalhamentos da fachada - removidos os de detalhamento das garagens</t>
  </si>
  <si>
    <t xml:space="preserve">CO-27379</t>
  </si>
  <si>
    <t xml:space="preserve">COMO CONSTRUÍDO ("AS BUILT") DE PROJETOS COM ACIMA DE 1000.000 M2</t>
  </si>
  <si>
    <t xml:space="preserve">CO-27389</t>
  </si>
  <si>
    <t xml:space="preserve">COMO CONSTRUÍDO ("AS BUILT") DE PROJETOS COM ÁREA ATÉ 10.000 M2</t>
  </si>
  <si>
    <t xml:space="preserve">CO-27387</t>
  </si>
  <si>
    <t xml:space="preserve">COMO CONSTRUÍDO ("AS BUILT") DE PROJETOS COM ÁREA DE 10.001 M2 ATÉ 20.000 M2</t>
  </si>
  <si>
    <t xml:space="preserve">CO-27386</t>
  </si>
  <si>
    <t xml:space="preserve">COMO CONSTRUÍDO ("AS BUILT") DE PROJETOS COM ÁREA DE 20.001 M2 ATÉ 40.000 M2</t>
  </si>
  <si>
    <t xml:space="preserve">CO-27384</t>
  </si>
  <si>
    <t xml:space="preserve">COMO CONSTRUÍDO ("AS BUILT") DE PROJETOS COM ÁREA DE 40.001 M2 ATÉ 60.000 M2</t>
  </si>
  <si>
    <t xml:space="preserve">CO-27383</t>
  </si>
  <si>
    <t xml:space="preserve">COMO CONSTRUÍDO ("AS BUILT") DE PROJETOS COM ÁREA DE 60.001 M2 ATÉ 80.000 M2</t>
  </si>
  <si>
    <t xml:space="preserve">CO-27381</t>
  </si>
  <si>
    <t xml:space="preserve">COMO CONSTRUÍDO ("AS BUILT") DE PROJETOS COM ÁREA DE 80.001 M2 ATÉ 1000.000 M2</t>
  </si>
  <si>
    <t xml:space="preserve">CO-27447</t>
  </si>
  <si>
    <t xml:space="preserve">ESPECIFICAÇÃO DOS MATERIAIS COM MEMORIAL DESCRITIVO DE CADA AMBIENTE E EQUIPAMENTOS PARA REFORMA E/OU AMPLIAÇÃO DE EDIFICAÇÕES EXISTENTES - ÁREA ACIMA DE 10.000 M2</t>
  </si>
  <si>
    <t xml:space="preserve">CO-27452</t>
  </si>
  <si>
    <t xml:space="preserve">ESPECIFICAÇÃO DOS MATERIAIS COM MEMORIAL DESCRITIVO DE CADA AMBIENTE E EQUIPAMENTOS PARA REFORMA E/OU AMPLIAÇÃO DE EDIFICAÇÕES EXISTENTES - ÁREA DE 1.001 M2 A 2.000 M2</t>
  </si>
  <si>
    <t xml:space="preserve">CO-27451</t>
  </si>
  <si>
    <t xml:space="preserve">ESPECIFICAÇÃO DOS MATERIAIS COM MEMORIAL DESCRITIVO DE CADA AMBIENTE E EQUIPAMENTOS PARA REFORMA E/OU AMPLIAÇÃO DE EDIFICAÇÕES EXISTENTES - ÁREA DE 2.001 M2 A 4.000 M2</t>
  </si>
  <si>
    <t xml:space="preserve">CO-27450</t>
  </si>
  <si>
    <t xml:space="preserve">ESPECIFICAÇÃO DOS MATERIAIS COM MEMORIAL DESCRITIVO DE CADA AMBIENTE E EQUIPAMENTOS PARA REFORMA E/OU AMPLIAÇÃO DE EDIFICAÇÕES EXISTENTES - ÁREA DE 4.001 M2 A 6.000 M2</t>
  </si>
  <si>
    <t xml:space="preserve">CO-27449</t>
  </si>
  <si>
    <t xml:space="preserve">ESPECIFICAÇÃO DOS MATERIAIS COM MEMORIAL DESCRITIVO DE CADA AMBIENTE E EQUIPAMENTOS PARA REFORMA E/OU AMPLIAÇÃO DE EDIFICAÇÕES EXISTENTES - ÁREA DE 6.001 M2 A 8.000 M2</t>
  </si>
  <si>
    <t xml:space="preserve">CO-27448</t>
  </si>
  <si>
    <t xml:space="preserve">ESPECIFICAÇÃO DOS MATERIAIS COM MEMORIAL DESCRITIVO DE CADA AMBIENTE E EQUIPAMENTOS PARA REFORMA E/OU AMPLIAÇÃO DE EDIFICAÇÕES EXISTENTES - ÁREA DE 8.001 M2 A 10.000 M2</t>
  </si>
  <si>
    <t xml:space="preserve">CO-27453</t>
  </si>
  <si>
    <t xml:space="preserve">ESPECIFICAÇÃO DOS MATERIAIS COM MEMORIAL DESCRITIVO DE CADA AMBIENTE E EQUIPAMENTOS PARA REFORMA E/OU AMPLIAÇÃO DE EDIFICAÇÕES EXISTENTES- ÁREA ATÉ 1.000 M2</t>
  </si>
  <si>
    <t xml:space="preserve">SUBTOTAL</t>
  </si>
  <si>
    <t xml:space="preserve">Diante da maior precisão, prazos mais enxutos e valores próximos, optou-se pelo sistema de laser scan. Dado que no sistema convencional surgirão dificuldades de detalhamento e de precisão que serão resolvidas com o sistema por Laser Scan</t>
  </si>
  <si>
    <t xml:space="preserve">TABELA REFERENCIAL DE PREÇOS UNITÁRIOS PARA CONSULTORIA E PROJETOS</t>
  </si>
  <si>
    <t xml:space="preserve">Região Central - S/ Desoneração</t>
  </si>
  <si>
    <t xml:space="preserve">DESCRIÇÃO DO SERVIÇO</t>
  </si>
  <si>
    <t xml:space="preserve">CONSULTORIA</t>
  </si>
  <si>
    <t xml:space="preserve">PROFISSIONAIS/CONSULTORES</t>
  </si>
  <si>
    <t xml:space="preserve">CO-33060</t>
  </si>
  <si>
    <t xml:space="preserve">ADVOGADO, NÍVEL JÚNIOR, INCLUSIVE ENCARGOS COMPLEMENTARES</t>
  </si>
  <si>
    <t xml:space="preserve">hora</t>
  </si>
  <si>
    <t xml:space="preserve">CO-33061</t>
  </si>
  <si>
    <t xml:space="preserve">ADVOGADO, NÍVEL PLENO, INCLUSIVE ENCARGOS COMPLEMENTARES</t>
  </si>
  <si>
    <t xml:space="preserve">CO-33062</t>
  </si>
  <si>
    <t xml:space="preserve">ADVOGADO, NÍVEL SÊNIOR, INCLUSIVE ENCARGOS COMPLEMENTARES</t>
  </si>
  <si>
    <t xml:space="preserve">CO-33116</t>
  </si>
  <si>
    <t xml:space="preserve">AJUDANTE DE TOPÓGRAFO/BALIZA, INCLUSIVE ENCARGOS COMPLEMENTARES</t>
  </si>
  <si>
    <t xml:space="preserve">CO-28409</t>
  </si>
  <si>
    <t xml:space="preserve">AJUDANTE ESPECIALIZADO, INCLUSIVE ENCARGOS COMPLEMENTARES</t>
  </si>
  <si>
    <t xml:space="preserve">CO-33089</t>
  </si>
  <si>
    <t xml:space="preserve">ANTROPÓLOGO, NÍVEL JÚNIOR, INCLUSIVE ENCARGOS COMPLEMENTARES</t>
  </si>
  <si>
    <t xml:space="preserve">CO-33090</t>
  </si>
  <si>
    <t xml:space="preserve">ANTROPÓLOGO, NÍVEL PLENO, INCLUSIVE ENCARGOS COMPLEMENTARES</t>
  </si>
  <si>
    <t xml:space="preserve">CO-33091</t>
  </si>
  <si>
    <t xml:space="preserve">ANTROPÓLOGO, NÍVEL SÊNIOR, INCLUSIVE ENCARGOS COMPLEMENTARES</t>
  </si>
  <si>
    <t xml:space="preserve">CO-33092</t>
  </si>
  <si>
    <t xml:space="preserve">ARQUEÓLOGO, NÍVEL JÚNIOR, INCLUSIVE ENCARGOS COMPLEMENTARES</t>
  </si>
  <si>
    <t xml:space="preserve">CO-33093</t>
  </si>
  <si>
    <t xml:space="preserve">ARQUEÓLOGO, NÍVEL PLENO, INCLUSIVE ENCARGOS COMPLEMENTARES</t>
  </si>
  <si>
    <t xml:space="preserve">CO-33095</t>
  </si>
  <si>
    <t xml:space="preserve">ARQUEÓLOGO, NÍVEL SÊNIOR, INCLUSIVE ENCARGOS COMPLEMENTARES</t>
  </si>
  <si>
    <t xml:space="preserve">CO-33063</t>
  </si>
  <si>
    <t xml:space="preserve">ASSISTENTE SOCIAL, NÍVEL JÚNIOR, INCLUSIVE ENCARGOS COMPLEMENTARES</t>
  </si>
  <si>
    <t xml:space="preserve">CO-33064</t>
  </si>
  <si>
    <t xml:space="preserve">ASSISTENTE SOCIAL, NÍVEL PLENO, INCLUSIVE ENCARGOS COMPLEMENTARES</t>
  </si>
  <si>
    <t xml:space="preserve">CO-33065</t>
  </si>
  <si>
    <t xml:space="preserve">ASSISTENTE SOCIAL, NÍVEL SÊNIOR, INCLUSIVE ENCARGOS COMPLEMENTARES</t>
  </si>
  <si>
    <t xml:space="preserve">CO-33067</t>
  </si>
  <si>
    <t xml:space="preserve">AUXILIAR ADMINISTRATIVO, INCLUSIVE ENCARGOS COMPLEMENTARES</t>
  </si>
  <si>
    <t xml:space="preserve">CO-33068</t>
  </si>
  <si>
    <t xml:space="preserve">AUXILIAR DE LABORATÓRIO, INCLUSIVE ENCARGOS COMPLEMENTARES</t>
  </si>
  <si>
    <t xml:space="preserve">CO-33069</t>
  </si>
  <si>
    <t xml:space="preserve">AUXILIAR DE TOPOGRAFIA, INCLUSIVE ENCARGOS COMPLEMENTARES</t>
  </si>
  <si>
    <t xml:space="preserve">CO-33066</t>
  </si>
  <si>
    <t xml:space="preserve">AUXILIAR/AJUDANTE DE OBRA, INCLUSIVE ENCARGOS COMPLEMENTARES</t>
  </si>
  <si>
    <t xml:space="preserve">CO-33070</t>
  </si>
  <si>
    <t xml:space="preserve">BIÓLOGO, NÍVEL JÚNIOR, INCLUSIVE ENCARGOS COMPLEMENTARES</t>
  </si>
  <si>
    <t xml:space="preserve">CO-33071</t>
  </si>
  <si>
    <t xml:space="preserve">BIÓLOGO, NÍVEL PLENO, INCLUSIVE ENCARGOS COMPLEMENTARES</t>
  </si>
  <si>
    <t xml:space="preserve">CO-33072</t>
  </si>
  <si>
    <t xml:space="preserve">BIÓLOGO, NÍVEL SÊNIOR, INCLUSIVE ENCARGOS COMPLEMENTARES</t>
  </si>
  <si>
    <t xml:space="preserve">CO-33073</t>
  </si>
  <si>
    <t xml:space="preserve">COORDENADOR AMBIENTAL, NÍVEL JÚNIOR, INCLUSIVE ENCARGOS COMPLEMENTARES</t>
  </si>
  <si>
    <t xml:space="preserve">CO-33107</t>
  </si>
  <si>
    <t xml:space="preserve">DESENHISTA TÉCNICO/CADISTA, INCLUSIVE ENCARGOS COMPLEMENTARES</t>
  </si>
  <si>
    <t xml:space="preserve">CO-33074</t>
  </si>
  <si>
    <t xml:space="preserve">ENGENHEIRO AGRIMENSOR, NÍVEL JÚNIOR, INCLUSIVE ENCARGOS COMPLEMENTARES</t>
  </si>
  <si>
    <t xml:space="preserve">CO-33075</t>
  </si>
  <si>
    <t xml:space="preserve">ENGENHEIRO AGRIMENSOR, NÍVEL PLENO, INCLUSIVE ENCARGOS COMPLEMENTARES</t>
  </si>
  <si>
    <t xml:space="preserve">CO-33076</t>
  </si>
  <si>
    <t xml:space="preserve">ENGENHEIRO AGRIMENSOR, NÍVEL SÊNIOR, INCLUSIVE ENCARGOS COMPLEMENTARES</t>
  </si>
  <si>
    <t xml:space="preserve">CO-33077</t>
  </si>
  <si>
    <t xml:space="preserve">ENGENHEIRO AGRÔNOMO, NÍVEL JÚNIOR, INCLUSIVE ENCARGOS COMPLEMENTARES</t>
  </si>
  <si>
    <t xml:space="preserve">CO-33078</t>
  </si>
  <si>
    <t xml:space="preserve">ENGENHEIRO AGRÔNOMO, NÍVEL PLENO, INCLUSIVE ENCARGOS COMPLEMENTARES</t>
  </si>
  <si>
    <t xml:space="preserve">CO-33079</t>
  </si>
  <si>
    <t xml:space="preserve">ENGENHEIRO AGRÔNOMO, NÍVEL SÊNIOR, INCLUSIVE ENCARGOS COMPLEMENTARES</t>
  </si>
  <si>
    <t xml:space="preserve">CO-33080</t>
  </si>
  <si>
    <t xml:space="preserve">ENGENHEIRO AMBIENTAL, NÍVEL JÚNIOR, INCLUSIVE ENCARGOS COMPLEMENTARES</t>
  </si>
  <si>
    <t xml:space="preserve">CO-33081</t>
  </si>
  <si>
    <t xml:space="preserve">ENGENHEIRO AMBIENTAL, NÍVEL PLENO, INCLUSIVE ENCARGOS COMPLEMENTARES</t>
  </si>
  <si>
    <t xml:space="preserve">CO-33082</t>
  </si>
  <si>
    <t xml:space="preserve">ENGENHEIRO AMBIENTAL, NÍVEL SÊNIOR, INCLUSIVE ENCARGOS COMPLEMENTARES</t>
  </si>
  <si>
    <t xml:space="preserve">CO-27337</t>
  </si>
  <si>
    <t xml:space="preserve">ENGENHEIRO/ARQUITETO, NÍVEL CONSULTOR ESPECIAL, INCLUSIVE ENCARGOS COMPLEMENTARES</t>
  </si>
  <si>
    <t xml:space="preserve">CO-27339</t>
  </si>
  <si>
    <t xml:space="preserve">ENGENHEIRO/ARQUITETO, NÍVEL CONSULTOR, INCLUSIVE ENCARGOS COMPLEMENTARES</t>
  </si>
  <si>
    <t xml:space="preserve">CO-27342</t>
  </si>
  <si>
    <t xml:space="preserve">ENGENHEIRO/ARQUITETO, NÍVEL COORDENADOR, INCLUSIVE ENCARGOS COMPLEMENTARES</t>
  </si>
  <si>
    <t xml:space="preserve">CO-27348</t>
  </si>
  <si>
    <t xml:space="preserve">ENGENHEIRO/ARQUITETO, NÍVEL JÚNIOR, INCLUSIVE ENCARGOS COMPLEMENTARES</t>
  </si>
  <si>
    <t xml:space="preserve">CO-27347</t>
  </si>
  <si>
    <t xml:space="preserve">ENGENHEIRO/ARQUITETO, NÍVEL PLENO, INCLUSIVE ENCARGOS COMPLEMENTARES</t>
  </si>
  <si>
    <t xml:space="preserve">CO-27344</t>
  </si>
  <si>
    <t xml:space="preserve">ENGENHEIRO/ARQUITETO, NÍVEL SÊNIOR, INCLUSIVE ENCARGOS COMPLEMENTARES</t>
  </si>
  <si>
    <t xml:space="preserve">DIÁRIA</t>
  </si>
  <si>
    <t xml:space="preserve">CO-24324</t>
  </si>
  <si>
    <t xml:space="preserve">DIÁRIA DE VIAGEM, INCLUSIVE PERNOITE E ALIMENTAÇÃO</t>
  </si>
  <si>
    <t xml:space="preserve">VEÍCULOS PARA VISTÓRIA/SUPERVISÃO</t>
  </si>
  <si>
    <t xml:space="preserve">CO-27674</t>
  </si>
  <si>
    <t xml:space="preserve">VEÍCULO TIPO MINIVAN, COM CAPACIDADE PARA SETE (7) LUGARES, OBEDECIDOS OS SEGUINTES REQUISITOS MÍNIMOS: TER NO MÁXIMO UM (1) ANO DE USO, ATÉ 20.000KM RODADOS, POTÊNCIA MÍNIMA DE 110CV, DIREÇÃO ASSISTIDA, AR CONDICIONADO, DESEMBAÇADOR DE VIDROS, RÁDIO AM/FM, EMPLACADO, COM SEGURO TOTAL (CUSTO FIXO), EXCLUSIVE QUILÔMETRO RODADO (CUSTO VARIÁVEL)</t>
  </si>
  <si>
    <t xml:space="preserve">mês</t>
  </si>
  <si>
    <t xml:space="preserve">CO-27675</t>
  </si>
  <si>
    <t xml:space="preserve">VEÍCULO TIPO MINIVAN, COM CAPACIDADE PARA SETE (7) LUGARES, OBEDECIDOS OS SEGUINTES REQUISITOS MÍNIMOS: TER NO MÁXIMO UM (1) ANO DE USO, ATÉ 20.000KM RODADOS, POTÊNCIA MÍNIMA DE 110CV, DIREÇÃO ASSISTIDA, AR CONDICIONADO, DESEMBAÇADOR DE VIDROS, RÁDIO AM/FM, EMPLACADO, COM SEGURO TOTAL, INCLUSIVE MANUTENÇÃO E COMBUSTÍVEL (CUSTO VARIÁVEL)</t>
  </si>
  <si>
    <t xml:space="preserve">km</t>
  </si>
  <si>
    <t xml:space="preserve">CO-28364</t>
  </si>
  <si>
    <t xml:space="preserve">VEÍCULO TIPO PICAPE LEVE, COM CAPACIDADE PARA CINCO (5) LUGARES, OBEDECIDOS OS SEGUINTES REQUISITOS MÍNIMOS: TER NO MÁXIMO UM (1) ANO DE USO, ATÉ 20.000KM RODADOS, POTÊNCIA MÍNIMA DE 100CV, DIREÇÃO ASSISTIDA, AR CONDICIONADO, DESEMBAÇADOR DE VIDROS, RÁDIO AM/FM, EMPLACADO, COM SEGURO TOTAL (CUSTO FIXO), EXCLUSIVE QUILÔMETRO RODADO (CUSTO VARIÁVEL)</t>
  </si>
  <si>
    <t xml:space="preserve">CO-28366</t>
  </si>
  <si>
    <t xml:space="preserve">VEÍCULO TIPO PICAPE LEVE, COM CAPACIDADE PARA CINCO (5) LUGARES, OBEDECIDOS OS SEGUINTES REQUISITOS MÍNIMOS: TER NO MÁXIMO UM (1) ANO DE USO, ATÉ 20.000KM RODADOS, POTÊNCIA MÍNIMA DE 100CV, DIREÇÃO ASSISTIDA, AR CONDICIONADO, DESEMBAÇADOR DE VIDROS, RÁDIO AM/FM, EMPLACADO, COM SEGURO TOTAL, INCLUSIVE MANUTENÇÃO E COMBUSTÍVEL (CUSTO VARIÁVEL)</t>
  </si>
  <si>
    <t xml:space="preserve">CO-27676</t>
  </si>
  <si>
    <t xml:space="preserve">VEÍCULO TIPO VAN, COM CAPACIDADE PARA QUINZE (15) LUGARES, OBEDECIDOS OS SEGUINTES REQUISITOS MÍNIMOS: TER NO MÁXIMO UM (1) ANO DE USO, ATÉ 20.000KM RODADOS, POTÊNCIA MÍNIMA DE 130CV, DIREÇÃO ASSISTIDA, AR CONDICIONADO, DESEMBAÇADOR DE VIDROS, RÁDIO AM/FM, EMPLACADO, COM SEGURO TOTAL (CUSTO FIXO), EXCLUSIVE QUILÔMETRO RODADO (CUSTO VARIÁVEL)</t>
  </si>
  <si>
    <t xml:space="preserve">CO-27677</t>
  </si>
  <si>
    <t xml:space="preserve">VEÍCULO TIPO VAN, COM CAPACIDADE PARA QUINZE (15) LUGARES, OBEDECIDOS OS SEGUINTES REQUISITOS MÍNIMOS: TER NO MÁXIMO UM (1) ANO DE USO, ATÉ 20.000KM RODADOS, POTÊNCIA MÍNIMA DE 130CV, DIREÇÃO ASSISTIDA, AR CONDICIONADO, DESEMBAÇADOR DE VIDROS, RÁDIO AM/FM, EMPLACADO, COM SEGURO TOTAL, INCLUSIVE MANUTENÇÃO E COMBUSTÍVEL (CUSTO VARIÁVEL)</t>
  </si>
  <si>
    <t xml:space="preserve">PROJETO</t>
  </si>
  <si>
    <t xml:space="preserve">LEVANTAMENTO PLANIALTIMÉTRICO</t>
  </si>
  <si>
    <t xml:space="preserve">PLANILHAS ORÇAMENTÁRIAS</t>
  </si>
  <si>
    <t xml:space="preserve">CO-27397</t>
  </si>
  <si>
    <t xml:space="preserve">PLANILHA ORÇAMENTÁRIA PARA CONSTRUÇÕES NOVAS - ÁREA ACIMA DE 10.000 M2</t>
  </si>
  <si>
    <t xml:space="preserve">CO-27390</t>
  </si>
  <si>
    <t xml:space="preserve">PLANILHA ORÇAMENTÁRIA PARA CONSTRUÇÕES NOVAS - ÁREA ATÉ 1.000 M2</t>
  </si>
  <si>
    <t xml:space="preserve">CO-27391</t>
  </si>
  <si>
    <t xml:space="preserve">PLANILHA ORÇAMENTÁRIA PARA CONSTRUÇÕES NOVAS - ÁREA DE 1.001 M2 A 2.000 M2</t>
  </si>
  <si>
    <t xml:space="preserve">CO-27392</t>
  </si>
  <si>
    <t xml:space="preserve">PLANILHA ORÇAMENTÁRIA PARA CONSTRUÇÕES NOVAS - ÁREA DE 2.001 M2 A 4.000 M2</t>
  </si>
  <si>
    <t xml:space="preserve">CO-27394</t>
  </si>
  <si>
    <t xml:space="preserve">PLANILHA ORÇAMENTÁRIA PARA CONSTRUÇÕES NOVAS - ÁREA DE 4.001 M2 A 6.000 M2</t>
  </si>
  <si>
    <t xml:space="preserve">CO-27395</t>
  </si>
  <si>
    <t xml:space="preserve">PLANILHA ORÇAMENTÁRIA PARA CONSTRUÇÕES NOVAS - ÁREA DE 6.001 M2 A 8.000 M2</t>
  </si>
  <si>
    <t xml:space="preserve">CO-27396</t>
  </si>
  <si>
    <t xml:space="preserve">PLANILHA ORÇAMENTÁRIA PARA CONSTRUÇÕES NOVAS - ÁREA DE 8.001 M2 A 10.000 M2</t>
  </si>
  <si>
    <t xml:space="preserve">CO-27413</t>
  </si>
  <si>
    <t xml:space="preserve">PLANILHA ORÇAMENTÁRIA PARA OBRAS DE INFRAESTRUTURA</t>
  </si>
  <si>
    <t xml:space="preserve">CO-27388</t>
  </si>
  <si>
    <t xml:space="preserve">PLANILHA ORÇAMENTÁRIA PARA PROJETOS DE IMPLANTAÇÃO DE EDIFICAÇÃO - ÁREA ACIMA DE 16.000 M2</t>
  </si>
  <si>
    <t xml:space="preserve">CO-27382</t>
  </si>
  <si>
    <t xml:space="preserve">PLANILHA ORÇAMENTÁRIA PARA PROJETOS DE IMPLANTAÇÃO DE EDIFICAÇÃO - ÁREA DE 11.001 M2 ATÉ 13.000 M2</t>
  </si>
  <si>
    <t xml:space="preserve">CO-27385</t>
  </si>
  <si>
    <t xml:space="preserve">PLANILHA ORÇAMENTÁRIA PARA PROJETOS DE IMPLANTAÇÃO DE EDIFICAÇÃO - ÁREA DE 13.001 M2 ATÉ 16.000 M2</t>
  </si>
  <si>
    <t xml:space="preserve">CO-27375</t>
  </si>
  <si>
    <t xml:space="preserve">PLANILHA ORÇAMENTÁRIA PARA PROJETOS DE IMPLANTAÇÃO DE EDIFICAÇÃO - ÁREA DE 6.001 M2 ATÉ 7.000 M2</t>
  </si>
  <si>
    <t xml:space="preserve">CO-27378</t>
  </si>
  <si>
    <t xml:space="preserve">PLANILHA ORÇAMENTÁRIA PARA PROJETOS DE IMPLANTAÇÃO DE EDIFICAÇÃO - ÁREA DE 7.001 M2 ATÉ 9.000 M2</t>
  </si>
  <si>
    <t xml:space="preserve">CO-27380</t>
  </si>
  <si>
    <t xml:space="preserve">PLANILHA ORÇAMENTÁRIA PARA PROJETOS DE IMPLANTAÇÃO DE EDIFICAÇÃO - ÁREA DE 9.001 M2 ATÉ 11.000 M2</t>
  </si>
  <si>
    <t xml:space="preserve">CO-27372</t>
  </si>
  <si>
    <t xml:space="preserve">PLANILHA ORÇAMENTÁRIA PARA PROJETOS DE IMPLANTAÇÃO DE EDIFICAÇÃO ÁREA ATÉ 6.000 M2</t>
  </si>
  <si>
    <t xml:space="preserve">CO-27405</t>
  </si>
  <si>
    <t xml:space="preserve">PLANILHA ORÇAMENTÁRIA PARA REFORMA E/OU AMPLIAÇÃO DE EDIFICAÇÕES EXISTENTES - ÁREA ACIMA DE 10.000 M2</t>
  </si>
  <si>
    <t xml:space="preserve">CO-27400</t>
  </si>
  <si>
    <t xml:space="preserve">PLANILHA ORÇAMENTÁRIA PARA REFORMA E/OU AMPLIAÇÃO DE EDIFICAÇÕES EXISTENTES - ÁREA DE 1.001 M2 A 2.000 M2</t>
  </si>
  <si>
    <t xml:space="preserve">CO-27401</t>
  </si>
  <si>
    <t xml:space="preserve">PLANILHA ORÇAMENTÁRIA PARA REFORMA E/OU AMPLIAÇÃO DE EDIFICAÇÕES EXISTENTES - ÁREA DE 2.001 M2 A 4.000 M2</t>
  </si>
  <si>
    <t xml:space="preserve">CO-27402</t>
  </si>
  <si>
    <t xml:space="preserve">PLANILHA ORÇAMENTÁRIA PARA REFORMA E/OU AMPLIAÇÃO DE EDIFICAÇÕES EXISTENTES - ÁREA DE 4.001 M2 A 6.000 M2</t>
  </si>
  <si>
    <t xml:space="preserve">CO-27403</t>
  </si>
  <si>
    <t xml:space="preserve">PLANILHA ORÇAMENTÁRIA PARA REFORMA E/OU AMPLIAÇÃO DE EDIFICAÇÕES EXISTENTES - ÁREA DE 6.001 M2 A 8.000 M2</t>
  </si>
  <si>
    <t xml:space="preserve">CO-27404</t>
  </si>
  <si>
    <t xml:space="preserve">PLANILHA ORÇAMENTÁRIA PARA REFORMA E/OU AMPLIAÇÃO DE EDIFICAÇÕES EXISTENTES - ÁREA DE 8.001 M2 A 10.000 M2</t>
  </si>
  <si>
    <t xml:space="preserve">CO-27399</t>
  </si>
  <si>
    <t xml:space="preserve">PLANILHA ORÇAMENTÁRIA PARA REFORMA E/OU AMPLIAÇÃO DE EDIFICAÇÕES EXISTENTES- ÁREA ATÉ 1.000 M2</t>
  </si>
  <si>
    <t xml:space="preserve">CO-27412</t>
  </si>
  <si>
    <t xml:space="preserve">PLANILHA ORÇAMENTÁRIA PARA REFORMA E/OU AMPLIAÇÃO DE PATRIMÔNIOS HISTÓRICOS - ÁREA ACIMA DE 10.000 M2</t>
  </si>
  <si>
    <t xml:space="preserve">CO-27406</t>
  </si>
  <si>
    <t xml:space="preserve">PLANILHA ORÇAMENTÁRIA PARA REFORMA E/OU AMPLIAÇÃO DE PATRIMÔNIOS HISTÓRICOS - ÁREA ATÉ 1.000 M2</t>
  </si>
  <si>
    <t xml:space="preserve">CO-27407</t>
  </si>
  <si>
    <t xml:space="preserve">PLANILHA ORÇAMENTÁRIA PARA REFORMA E/OU AMPLIAÇÃO DE PATRIMÔNIOS HISTÓRICOS - ÁREA DE 1.001 M2 A 2.000 M2</t>
  </si>
  <si>
    <t xml:space="preserve">CO-27408</t>
  </si>
  <si>
    <t xml:space="preserve">PLANILHA ORÇAMENTÁRIA PARA REFORMA E/OU AMPLIAÇÃO DE PATRIMÔNIOS HISTÓRICOS - ÁREA DE 2.001 M2 A 4.000 M2</t>
  </si>
  <si>
    <t xml:space="preserve">CO-27409</t>
  </si>
  <si>
    <t xml:space="preserve">PLANILHA ORÇAMENTÁRIA PARA REFORMA E/OU AMPLIAÇÃO DE PATRIMÔNIOS HISTÓRICOS - ÁREA DE 4.001 M2 A 6.000 M2</t>
  </si>
  <si>
    <t xml:space="preserve">CO-27410</t>
  </si>
  <si>
    <t xml:space="preserve">PLANILHA ORÇAMENTÁRIA PARA REFORMA E/OU AMPLIAÇÃO DE PATRIMÔNIOS HISTÓRICOS - ÁREA DE 6.001 M2 A 8.000 M2</t>
  </si>
  <si>
    <t xml:space="preserve">CO-27411</t>
  </si>
  <si>
    <t xml:space="preserve">PLANILHA ORÇAMENTÁRIA PARA REFORMA E/OU AMPLIAÇÃO DE PATRIMÔNIOS HISTÓRICOS - ÁREA DE 8.001 M2 A 10.000 M2</t>
  </si>
  <si>
    <t xml:space="preserve">PROJETOS DE EDIFICAÇÃO</t>
  </si>
  <si>
    <t xml:space="preserve">CO-27417</t>
  </si>
  <si>
    <t xml:space="preserve">ANTEPROJETO DE EDIFICAÇÃO - ÁREA &gt; 3.000 M2</t>
  </si>
  <si>
    <t xml:space="preserve">CO-27414</t>
  </si>
  <si>
    <t xml:space="preserve">ANTEPROJETO DE EDIFICAÇÃO - ÁREA &lt;= 600 M2</t>
  </si>
  <si>
    <t xml:space="preserve">CO-27416</t>
  </si>
  <si>
    <t xml:space="preserve">ANTEPROJETO DE EDIFICAÇÃO - 1.500 M2 &lt; ÁREA &lt;= 3.000 M2</t>
  </si>
  <si>
    <t xml:space="preserve">CO-27415</t>
  </si>
  <si>
    <t xml:space="preserve">ANTEPROJETO DE EDIFICAÇÃO - 600 M2 &lt; ÁREA &lt;= 1.500 M2</t>
  </si>
  <si>
    <t xml:space="preserve">CO-27418</t>
  </si>
  <si>
    <t xml:space="preserve">ANTEPROJETO DE IMPLANTAÇÃO DE EDIFICAÇÃO PADRÃO COM ÁREA DE PROJEÇÃO &lt; = 600 M2</t>
  </si>
  <si>
    <t xml:space="preserve">CO-27421</t>
  </si>
  <si>
    <t xml:space="preserve">ANTEPROJETO DE IMPLANTAÇÃO DE EDIFICAÇÃO PADRÃO COM ÁREA DE PROJEÇÃO &gt; 3.000 M2</t>
  </si>
  <si>
    <t xml:space="preserve">CO-27420</t>
  </si>
  <si>
    <t xml:space="preserve">ANTEPROJETO DE IMPLANTAÇÃO DE EDIFICAÇÃO PADRÃO COM 1.500 &lt; ÁREA DE PROJEÇÃO &lt;= 3.000 M2</t>
  </si>
  <si>
    <t xml:space="preserve">CO-27419</t>
  </si>
  <si>
    <t xml:space="preserve">ANTEPROJETO DE IMPLANTAÇÃO DE EDIFICAÇÃO PADRÃO COM 600 M2 &lt; ÁREA DE PROJEÇÃO = 1.500 M2</t>
  </si>
  <si>
    <t xml:space="preserve">CO-27493</t>
  </si>
  <si>
    <t xml:space="preserve">COMPATIBILIZAÇÃO DE PROJETOS COM ACIMA DE 100.000 M2</t>
  </si>
  <si>
    <t xml:space="preserve">CO-27487</t>
  </si>
  <si>
    <t xml:space="preserve">COMPATIBILIZAÇÃO DE PROJETOS COM ÁREA ATÉ 10.000 M2</t>
  </si>
  <si>
    <t xml:space="preserve">CO-27488</t>
  </si>
  <si>
    <t xml:space="preserve">COMPATIBILIZAÇÃO DE PROJETOS COM ÁREA DE 10.001 M2 ATÉ 20.000 M2</t>
  </si>
  <si>
    <t xml:space="preserve">CO-27489</t>
  </si>
  <si>
    <t xml:space="preserve">COMPATIBILIZAÇÃO DE PROJETOS COM ÁREA DE 20.001 M2 ATÉ 40.000 M2</t>
  </si>
  <si>
    <t xml:space="preserve">CO-27490</t>
  </si>
  <si>
    <t xml:space="preserve">COMPATIBILIZAÇÃO DE PROJETOS COM ÁREA DE 40.001 M2 ATÉ 60.000 M2</t>
  </si>
  <si>
    <t xml:space="preserve">CO-27491</t>
  </si>
  <si>
    <t xml:space="preserve">COMPATIBILIZAÇÃO DE PROJETOS COM ÁREA DE 60.001 M2 ATÉ 80.000 M2</t>
  </si>
  <si>
    <t xml:space="preserve">CO-27492</t>
  </si>
  <si>
    <t xml:space="preserve">COMPATIBILIZAÇÃO DE PROJETOS COM ÁREA DE 80.001 M2 ATÉ 100.000 M2</t>
  </si>
  <si>
    <t xml:space="preserve">CO-27494</t>
  </si>
  <si>
    <t xml:space="preserve">COORDENAÇÃO DE PROJETOS</t>
  </si>
  <si>
    <t xml:space="preserve">CO-27486</t>
  </si>
  <si>
    <t xml:space="preserve">DESENHO DE CADASTRO DE CONSTRUÇÕES EXISTENTES</t>
  </si>
  <si>
    <t xml:space="preserve">CO-27470</t>
  </si>
  <si>
    <t xml:space="preserve">DESENHO E CÓPIA DE PROJETOS</t>
  </si>
  <si>
    <t xml:space="preserve">CO-27482</t>
  </si>
  <si>
    <t xml:space="preserve">DESENVOLVIMENTO E DETALHAMENTO DE PROJETOS COMPLEMENTARES</t>
  </si>
  <si>
    <t xml:space="preserve">CO-27483</t>
  </si>
  <si>
    <t xml:space="preserve">PERSPECTIVA COLORIDA (50X70)CM</t>
  </si>
  <si>
    <t xml:space="preserve">CO-27485</t>
  </si>
  <si>
    <t xml:space="preserve">PLANTA HUMANIZADA COLORIDA (50X70)CM</t>
  </si>
  <si>
    <t xml:space="preserve">CO-27471</t>
  </si>
  <si>
    <t xml:space="preserve">PROJETO DE LAYOUT</t>
  </si>
  <si>
    <t xml:space="preserve">CO-27477</t>
  </si>
  <si>
    <t xml:space="preserve">PROJETO EXECUTIVO DE ACÚSTICA</t>
  </si>
  <si>
    <t xml:space="preserve">CO-27478</t>
  </si>
  <si>
    <t xml:space="preserve">PROJETO EXECUTIVO DE AQUECIMENTO SOLAR E REDE DE ÁGUA QUENTE</t>
  </si>
  <si>
    <t xml:space="preserve">CO-27429</t>
  </si>
  <si>
    <t xml:space="preserve">PROJETO EXECUTIVO DE AR CONDICIONADO/VENTILAÇÃO/CLIMATIZAÇÃO</t>
  </si>
  <si>
    <t xml:space="preserve">CO-27422</t>
  </si>
  <si>
    <t xml:space="preserve">PROJETO EXECUTIVO DE ARQUITETURA</t>
  </si>
  <si>
    <t xml:space="preserve">CO-27432</t>
  </si>
  <si>
    <t xml:space="preserve">PROJETO EXECUTIVO DE CABEAMENTO ESTRUTURADO</t>
  </si>
  <si>
    <t xml:space="preserve">CO-27426</t>
  </si>
  <si>
    <t xml:space="preserve">PROJETO EXECUTIVO DE DRENAGEM PLUVIAL</t>
  </si>
  <si>
    <t xml:space="preserve">CO-27473</t>
  </si>
  <si>
    <t xml:space="preserve">PROJETO EXECUTIVO DE ENGRADAMENTO METÁLICO</t>
  </si>
  <si>
    <t xml:space="preserve">CO-27427</t>
  </si>
  <si>
    <t xml:space="preserve">PROJETO EXECUTIVO DE ESTRUTURA DE CONCRETO</t>
  </si>
  <si>
    <t xml:space="preserve">CO-27428</t>
  </si>
  <si>
    <t xml:space="preserve">PROJETO EXECUTIVO DE ESTRUTURA METÁLICA</t>
  </si>
  <si>
    <t xml:space="preserve">CO-27480</t>
  </si>
  <si>
    <t xml:space="preserve">PROJETO EXECUTIVO DE GASES MEDICINAIS</t>
  </si>
  <si>
    <t xml:space="preserve">CO-27481</t>
  </si>
  <si>
    <t xml:space="preserve">PROJETO EXECUTIVO DE GLP</t>
  </si>
  <si>
    <t xml:space="preserve">CO-27475</t>
  </si>
  <si>
    <t xml:space="preserve">PROJETO EXECUTIVO DE IMPERMEABILIZAÇÃO</t>
  </si>
  <si>
    <t xml:space="preserve">CO-27433</t>
  </si>
  <si>
    <t xml:space="preserve">PROJETO EXECUTIVO DE INFRAESTRUTURA DE CABEAMENTO ESTRUTURADO/CFTV/ALARME/SEGURANÇA/SONORIZAÇÃO</t>
  </si>
  <si>
    <t xml:space="preserve">CO-27431</t>
  </si>
  <si>
    <t xml:space="preserve">PROJETO EXECUTIVO DE INSTALAÇÕES ELÉTRICAS</t>
  </si>
  <si>
    <t xml:space="preserve">CO-27479</t>
  </si>
  <si>
    <t xml:space="preserve">PROJETO EXECUTIVO DE INSTALAÇÕES FLUIDO MECÂNICAS</t>
  </si>
  <si>
    <t xml:space="preserve">CO-27430</t>
  </si>
  <si>
    <t xml:space="preserve">PROJETO EXECUTIVO DE INSTALAÇÕES HIDRO SANITÁRIAS</t>
  </si>
  <si>
    <t xml:space="preserve">CO-27474</t>
  </si>
  <si>
    <t xml:space="preserve">PROJETO EXECUTIVO DE IRRIGAÇÃO</t>
  </si>
  <si>
    <t xml:space="preserve">CO-27476</t>
  </si>
  <si>
    <t xml:space="preserve">PROJETO EXECUTIVO DE PAISAGISMO</t>
  </si>
  <si>
    <t xml:space="preserve">CO-27468</t>
  </si>
  <si>
    <t xml:space="preserve">PROJETO EXECUTIVO DE PREVENÇÃO E COMBATE A INCÊNDIO</t>
  </si>
  <si>
    <t xml:space="preserve">CO-27469</t>
  </si>
  <si>
    <t xml:space="preserve">PROJETO EXECUTIVO DE PROGRAMAÇÃO VISUAL</t>
  </si>
  <si>
    <t xml:space="preserve">CO-27434</t>
  </si>
  <si>
    <t xml:space="preserve">PROJETO EXECUTIVO DE SPDA</t>
  </si>
  <si>
    <t xml:space="preserve">CO-27424</t>
  </si>
  <si>
    <t xml:space="preserve">PROJETO EXECUTIVO DE TERRAPLENAGEM - PLANTA</t>
  </si>
  <si>
    <t xml:space="preserve">CO-27425</t>
  </si>
  <si>
    <t xml:space="preserve">PROJETO EXECUTIVO DE TERRAPLENAGEM - SEÇÕES</t>
  </si>
  <si>
    <t xml:space="preserve">CO-27472</t>
  </si>
  <si>
    <t xml:space="preserve">PROJETO EXECUTIVO LUMINOTÉCNICO</t>
  </si>
  <si>
    <t xml:space="preserve">CO-27484</t>
  </si>
  <si>
    <t xml:space="preserve">VISTA TRATADA COLORIDA (50X70)CM</t>
  </si>
  <si>
    <t xml:space="preserve">VISTORIA E CADASTRO</t>
  </si>
  <si>
    <t xml:space="preserve">CO-27499</t>
  </si>
  <si>
    <t xml:space="preserve">DESLOCAMENTO INTERMUNICIPAL</t>
  </si>
  <si>
    <t xml:space="preserve">CO-27498</t>
  </si>
  <si>
    <t xml:space="preserve">TÉCNICO DE NÍVEL MÉDIO, INCLUSIVE ENCARGOS COMPLEMENTARES</t>
  </si>
  <si>
    <t xml:space="preserve">RELATÓRIO TÉCNICO</t>
  </si>
  <si>
    <t xml:space="preserve">COMO CONSTRUÍDO ("AS BUILT") DE PROJETOS COM  ACIMA DE 100.000 M2</t>
  </si>
  <si>
    <t xml:space="preserve">COMO CONSTRUÍDO ("AS BUILT") DE PROJETOS COM ÁREA DE 80.001 M2 ATÉ 100.000 M2</t>
  </si>
  <si>
    <t xml:space="preserve">CO-27439</t>
  </si>
  <si>
    <t xml:space="preserve">ESPECIFICAÇÃO DOS MATERIAIS COM MEMORIAL DESCRITIVO  PARA OBRAS DE INFRAESTRUTURA</t>
  </si>
  <si>
    <t xml:space="preserve">CO-27454</t>
  </si>
  <si>
    <t xml:space="preserve">ESPECIFICAÇÃO DOS MATERIAIS COM MEMORIAL DESCRITIVO DE CADA AMBIENTE E EQUIPAMENTOS PARA CONSTRUÇÕES NOVAS - ÁREA ACIMA DE 10.000 M2</t>
  </si>
  <si>
    <t xml:space="preserve">CO-27460</t>
  </si>
  <si>
    <t xml:space="preserve">ESPECIFICAÇÃO DOS MATERIAIS COM MEMORIAL DESCRITIVO DE CADA AMBIENTE E EQUIPAMENTOS PARA CONSTRUÇÕES NOVAS - ÁREA ATÉ 1.000 M2</t>
  </si>
  <si>
    <t xml:space="preserve">CO-27459</t>
  </si>
  <si>
    <t xml:space="preserve">ESPECIFICAÇÃO DOS MATERIAIS COM MEMORIAL DESCRITIVO DE CADA AMBIENTE E EQUIPAMENTOS PARA CONSTRUÇÕES NOVAS - ÁREA DE 1.001 M2 A 2.000 M2</t>
  </si>
  <si>
    <t xml:space="preserve">CO-27458</t>
  </si>
  <si>
    <t xml:space="preserve">ESPECIFICAÇÃO DOS MATERIAIS COM MEMORIAL DESCRITIVO DE CADA AMBIENTE E EQUIPAMENTOS PARA CONSTRUÇÕES NOVAS - ÁREA DE 2.001 M2 A 4.000 M2</t>
  </si>
  <si>
    <t xml:space="preserve">CO-27457</t>
  </si>
  <si>
    <t xml:space="preserve">ESPECIFICAÇÃO DOS MATERIAIS COM MEMORIAL DESCRITIVO DE CADA AMBIENTE E EQUIPAMENTOS PARA CONSTRUÇÕES NOVAS - ÁREA DE 4.001 M2 A 6.000 M2</t>
  </si>
  <si>
    <t xml:space="preserve">CO-27456</t>
  </si>
  <si>
    <t xml:space="preserve">ESPECIFICAÇÃO DOS MATERIAIS COM MEMORIAL DESCRITIVO DE CADA AMBIENTE E EQUIPAMENTOS PARA CONSTRUÇÕES NOVAS - ÁREA DE 6.001 M2 A 8.000 M2</t>
  </si>
  <si>
    <t xml:space="preserve">CO-27455</t>
  </si>
  <si>
    <t xml:space="preserve">ESPECIFICAÇÃO DOS MATERIAIS COM MEMORIAL DESCRITIVO DE CADA AMBIENTE E EQUIPAMENTOS PARA CONSTRUÇÕES NOVAS - ÁREA DE 8.001 M2 A 10.000 M2</t>
  </si>
  <si>
    <t xml:space="preserve">CO-27461</t>
  </si>
  <si>
    <t xml:space="preserve">ESPECIFICAÇÃO DOS MATERIAIS COM MEMORIAL DESCRITIVO DE CADA AMBIENTE E EQUIPAMENTOS PARA PROJETOS DE IMPLANTAÇÃO DE EDIFICAÇÃO - ÁREA ACIMA DE 16.000 M2</t>
  </si>
  <si>
    <t xml:space="preserve">CO-27463</t>
  </si>
  <si>
    <t xml:space="preserve">ESPECIFICAÇÃO DOS MATERIAIS COM MEMORIAL DESCRITIVO DE CADA AMBIENTE E EQUIPAMENTOS PARA PROJETOS DE IMPLANTAÇÃO DE EDIFICAÇÃO - ÁREA DE 11.001 M2 ATÉ 13.000 M2</t>
  </si>
  <si>
    <t xml:space="preserve">CO-27462</t>
  </si>
  <si>
    <t xml:space="preserve">ESPECIFICAÇÃO DOS MATERIAIS COM MEMORIAL DESCRITIVO DE CADA AMBIENTE E EQUIPAMENTOS PARA PROJETOS DE IMPLANTAÇÃO DE EDIFICAÇÃO - ÁREA DE 13.001 M2 ATÉ 16.000 M2</t>
  </si>
  <si>
    <t xml:space="preserve">CO-27466</t>
  </si>
  <si>
    <t xml:space="preserve">ESPECIFICAÇÃO DOS MATERIAIS COM MEMORIAL DESCRITIVO DE CADA AMBIENTE E EQUIPAMENTOS PARA PROJETOS DE IMPLANTAÇÃO DE EDIFICAÇÃO - ÁREA DE 6.001 M2 ATÉ 7.000 M2</t>
  </si>
  <si>
    <t xml:space="preserve">CO-27465</t>
  </si>
  <si>
    <t xml:space="preserve">ESPECIFICAÇÃO DOS MATERIAIS COM MEMORIAL DESCRITIVO DE CADA AMBIENTE E EQUIPAMENTOS PARA PROJETOS DE IMPLANTAÇÃO DE EDIFICAÇÃO - ÁREA DE 7.001 M2 ATÉ 9.000 M2</t>
  </si>
  <si>
    <t xml:space="preserve">CO-27464</t>
  </si>
  <si>
    <t xml:space="preserve">ESPECIFICAÇÃO DOS MATERIAIS COM MEMORIAL DESCRITIVO DE CADA AMBIENTE E EQUIPAMENTOS PARA PROJETOS DE IMPLANTAÇÃO DE EDIFICAÇÃO - ÁREA DE 9.001 M2 ATÉ 11.000 M2</t>
  </si>
  <si>
    <t xml:space="preserve">CO-27467</t>
  </si>
  <si>
    <t xml:space="preserve">ESPECIFICAÇÃO DOS MATERIAIS COM MEMORIAL DESCRITIVO DE CADA AMBIENTE E EQUIPAMENTOS PARA PROJETOS DE IMPLANTAÇÃO DE EDIFICAÇÃO ÁREA ATÉ 6.000 M2</t>
  </si>
  <si>
    <t xml:space="preserve">CO-27440</t>
  </si>
  <si>
    <t xml:space="preserve">ESPECIFICAÇÃO DOS MATERIAIS COM MEMORIAL DESCRITIVO DE CADA AMBIENTE E EQUIPAMENTOS PARA REFORMA E/OU AMPLIAÇÃO DE PATRIMÔNIOS HISTÓRICOS - ÁREA ACIMA DE 10.000 M2</t>
  </si>
  <si>
    <t xml:space="preserve">CO-27446</t>
  </si>
  <si>
    <t xml:space="preserve">ESPECIFICAÇÃO DOS MATERIAIS COM MEMORIAL DESCRITIVO DE CADA AMBIENTE E EQUIPAMENTOS PARA REFORMA E/OU AMPLIAÇÃO DE PATRIMÔNIOS HISTÓRICOS - ÁREA ATÉ 1.000 M2</t>
  </si>
  <si>
    <t xml:space="preserve">CO-27445</t>
  </si>
  <si>
    <t xml:space="preserve">ESPECIFICAÇÃO DOS MATERIAIS COM MEMORIAL DESCRITIVO DE CADA AMBIENTE E EQUIPAMENTOS PARA REFORMA E/OU AMPLIAÇÃO DE PATRIMÔNIOS HISTÓRICOS - ÁREA DE 1.001 M2 A 2.000 M2</t>
  </si>
  <si>
    <t xml:space="preserve">CO-27444</t>
  </si>
  <si>
    <t xml:space="preserve">ESPECIFICAÇÃO DOS MATERIAIS COM MEMORIAL DESCRITIVO DE CADA AMBIENTE E EQUIPAMENTOS PARA REFORMA E/OU AMPLIAÇÃO DE PATRIMÔNIOS HISTÓRICOS - ÁREA DE 2.001 M2 A 4.000 M2</t>
  </si>
  <si>
    <t xml:space="preserve">CO-27443</t>
  </si>
  <si>
    <t xml:space="preserve">ESPECIFICAÇÃO DOS MATERIAIS COM MEMORIAL DESCRITIVO DE CADA AMBIENTE E EQUIPAMENTOS PARA REFORMA E/OU AMPLIAÇÃO DE PATRIMÔNIOS HISTÓRICOS - ÁREA DE 4.001 M2 A 6.000 M2</t>
  </si>
  <si>
    <t xml:space="preserve">CO-27442</t>
  </si>
  <si>
    <t xml:space="preserve">ESPECIFICAÇÃO DOS MATERIAIS COM MEMORIAL DESCRITIVO DE CADA AMBIENTE E EQUIPAMENTOS PARA REFORMA E/OU AMPLIAÇÃO DE PATRIMÔNIOS HISTÓRICOS - ÁREA DE 6.001 M2 A 8.000 M2</t>
  </si>
  <si>
    <t xml:space="preserve">CO-27441</t>
  </si>
  <si>
    <t xml:space="preserve">ESPECIFICAÇÃO DOS MATERIAIS COM MEMORIAL DESCRITIVO DE CADA AMBIENTE E EQUIPAMENTOS PARA REFORMA E/OU AMPLIAÇÃO DE PATRIMÔNIOS HISTÓRICOS - ÁREA DE 8.001 M2 A 10.000 M2</t>
  </si>
  <si>
    <t xml:space="preserve">CO-27368</t>
  </si>
  <si>
    <t xml:space="preserve">MANUAL DE USO, OPERAÇÃO E MANUTENÇÃO DAS EDIFICAÇÕES PARA CONSTRUÇÕES NOVAS - ÁREA ACIMA DE 10.000 M2</t>
  </si>
  <si>
    <t xml:space="preserve">CO-27377</t>
  </si>
  <si>
    <t xml:space="preserve">MANUAL DE USO, OPERAÇÃO E MANUTENÇÃO DAS EDIFICAÇÕES PARA CONSTRUÇÕES NOVAS - ÁREA ATÉ 1.000 M2</t>
  </si>
  <si>
    <t xml:space="preserve">CO-27376</t>
  </si>
  <si>
    <t xml:space="preserve">MANUAL DE USO, OPERAÇÃO E MANUTENÇÃO DAS EDIFICAÇÕES PARA CONSTRUÇÕES NOVAS - ÁREA DE 1.001 M2 A 2.000 M2</t>
  </si>
  <si>
    <t xml:space="preserve">CO-27374</t>
  </si>
  <si>
    <t xml:space="preserve">MANUAL DE USO, OPERAÇÃO E MANUTENÇÃO DAS EDIFICAÇÕES PARA CONSTRUÇÕES NOVAS - ÁREA DE 2.001 M2 A 4.000 M2</t>
  </si>
  <si>
    <t xml:space="preserve">CO-27373</t>
  </si>
  <si>
    <t xml:space="preserve">MANUAL DE USO, OPERAÇÃO E MANUTENÇÃO DAS EDIFICAÇÕES PARA CONSTRUÇÕES NOVAS - ÁREA DE 4.001 M2 A 6.000 M2</t>
  </si>
  <si>
    <t xml:space="preserve">CO-27371</t>
  </si>
  <si>
    <t xml:space="preserve">MANUAL DE USO, OPERAÇÃO E MANUTENÇÃO DAS EDIFICAÇÕES PARA CONSTRUÇÕES NOVAS - ÁREA DE 6.001 M2 A 8.000 M2</t>
  </si>
  <si>
    <t xml:space="preserve">CO-27370</t>
  </si>
  <si>
    <t xml:space="preserve">MANUAL DE USO, OPERAÇÃO E MANUTENÇÃO DAS EDIFICAÇÕES PARA CONSTRUÇÕES NOVAS - ÁREA DE 8.001 M2 A 10.000 M2</t>
  </si>
  <si>
    <t xml:space="preserve">CO-27349</t>
  </si>
  <si>
    <t xml:space="preserve">MANUAL DE USO, OPERAÇÃO E MANUTENÇÃO DAS EDIFICAÇÕES PARA PARA REFORMA E/OU AMPLIAÇÃO DE EDIFICAÇÕES EXISTENTES - ÁREA ACIMA DE 10.000 M2</t>
  </si>
  <si>
    <t xml:space="preserve">CO-27365</t>
  </si>
  <si>
    <t xml:space="preserve">MANUAL DE USO, OPERAÇÃO E MANUTENÇÃO DAS EDIFICAÇÕES PARA PARA REFORMA E/OU AMPLIAÇÃO DE EDIFICAÇÕES EXISTENTES - ÁREA DE 1.001 M2 A 2.000 M2</t>
  </si>
  <si>
    <t xml:space="preserve">CO-27364</t>
  </si>
  <si>
    <t xml:space="preserve">MANUAL DE USO, OPERAÇÃO E MANUTENÇÃO DAS EDIFICAÇÕES PARA PARA REFORMA E/OU AMPLIAÇÃO DE EDIFICAÇÕES EXISTENTES - ÁREA DE 2.001 M2 A 4.000 M2</t>
  </si>
  <si>
    <t xml:space="preserve">CO-27362</t>
  </si>
  <si>
    <t xml:space="preserve">MANUAL DE USO, OPERAÇÃO E MANUTENÇÃO DAS EDIFICAÇÕES PARA PARA REFORMA E/OU AMPLIAÇÃO DE EDIFICAÇÕES EXISTENTES - ÁREA DE 4.001 M2 A 6.000 M2</t>
  </si>
  <si>
    <t xml:space="preserve">CO-27359</t>
  </si>
  <si>
    <t xml:space="preserve">MANUAL DE USO, OPERAÇÃO E MANUTENÇÃO DAS EDIFICAÇÕES PARA PARA REFORMA E/OU AMPLIAÇÃO DE EDIFICAÇÕES EXISTENTES - ÁREA DE 6.001 M2 A 8.000 M2</t>
  </si>
  <si>
    <t xml:space="preserve">CO-27353</t>
  </si>
  <si>
    <t xml:space="preserve">MANUAL DE USO, OPERAÇÃO E MANUTENÇÃO DAS EDIFICAÇÕES PARA PARA REFORMA E/OU AMPLIAÇÃO DE EDIFICAÇÕES EXISTENTES - ÁREA DE 8.001 M2 A 10.000 M2</t>
  </si>
  <si>
    <t xml:space="preserve">CO-27366</t>
  </si>
  <si>
    <t xml:space="preserve">MANUAL DE USO, OPERAÇÃO E MANUTENÇÃO DAS EDIFICAÇÕES PARA PARA REFORMA E/OU AMPLIAÇÃO DE EDIFICAÇÕES EXISTENTES- ÁREA ATÉ 1.000 M2</t>
  </si>
  <si>
    <t xml:space="preserve">CO-27336</t>
  </si>
  <si>
    <t xml:space="preserve">MANUAL DE USO, OPERAÇÃO E MANUTENÇÃO DAS EDIFICAÇÕES PARA REFORMA E/OU AMPLIAÇÃO DE PATRIMÔNIOS HISTÓRICOS - ÁREA ACIMA DE 10.000 M2</t>
  </si>
  <si>
    <t xml:space="preserve">CO-27345</t>
  </si>
  <si>
    <t xml:space="preserve">MANUAL DE USO, OPERAÇÃO E MANUTENÇÃO DAS EDIFICAÇÕES PARA REFORMA E/OU AMPLIAÇÃO DE PATRIMÔNIOS HISTÓRICOS - ÁREA DE 1.001 M2 A 2.000 M2</t>
  </si>
  <si>
    <t xml:space="preserve">CO-27341</t>
  </si>
  <si>
    <t xml:space="preserve">MANUAL DE USO, OPERAÇÃO E MANUTENÇÃO DAS EDIFICAÇÕES PARA REFORMA E/OU AMPLIAÇÃO DE PATRIMÔNIOS HISTÓRICOS - ÁREA DE 4.001 M2 A 6.000 M2</t>
  </si>
  <si>
    <t xml:space="preserve">CO-27340</t>
  </si>
  <si>
    <t xml:space="preserve">MANUAL DE USO, OPERAÇÃO E MANUTENÇÃO DAS EDIFICAÇÕES PARA REFORMA E/OU AMPLIAÇÃO DE PATRIMÔNIOS HISTÓRICOS - ÁREA DE 6.001 M2 A 8.000 M2</t>
  </si>
  <si>
    <t xml:space="preserve">CO-27338</t>
  </si>
  <si>
    <t xml:space="preserve">MANUAL DE USO, OPERAÇÃO E MANUTENÇÃO DAS EDIFICAÇÕES PARA REFORMA E/OU AMPLIAÇÃO DE PATRIMÔNIOS HISTÓRICOS - ÁREA DE 8.001 M2 A 10.000 M2</t>
  </si>
  <si>
    <t xml:space="preserve">CO-27346</t>
  </si>
  <si>
    <t xml:space="preserve">MANUAL DE USO, OPERAÇÃO E MANUTENÇÃO DAS EDIFICAÇÕES PARA REFORMA E/OU AMPLIAÇÃO DE PATRIMÔNIOS HISTÓRICOS- ÁREA ATÉ 1.000 M2</t>
  </si>
  <si>
    <t xml:space="preserve">CO-27343</t>
  </si>
  <si>
    <t xml:space="preserve">MANUAL DE USO, OPERAÇÃO E MANUTENÇÃO DAS EDIFICAÇÕES PARA REFORMA E/OU AMPLIAÇÃO DE PATRIMÔNIOS HISTÓRICOS- ÁREA DE 2.001 M2 A 4.000 M2</t>
  </si>
  <si>
    <t xml:space="preserve">CRITÉRIOS PARA PAGAMENTO DE PRANCHA</t>
  </si>
  <si>
    <t xml:space="preserve">CO-27352</t>
  </si>
  <si>
    <t xml:space="preserve">CRITÉRIOS P/ PAGAMENTO DE PRANCHAS - A0</t>
  </si>
  <si>
    <t xml:space="preserve">% A1</t>
  </si>
  <si>
    <t xml:space="preserve">CO-27355</t>
  </si>
  <si>
    <t xml:space="preserve">CRITÉRIOS P/ PAGAMENTO DE PRANCHAS - A1 ALONGADO</t>
  </si>
  <si>
    <t xml:space="preserve">CO-27356</t>
  </si>
  <si>
    <t xml:space="preserve">CRITÉRIOS P/ PAGAMENTO DE PRANCHAS - A2</t>
  </si>
  <si>
    <t xml:space="preserve">CO-27358</t>
  </si>
  <si>
    <t xml:space="preserve">CRITÉRIOS P/ PAGAMENTO DE PRANCHAS - A3</t>
  </si>
  <si>
    <t xml:space="preserve">SONDAGEM</t>
  </si>
  <si>
    <t xml:space="preserve">CO-28390</t>
  </si>
  <si>
    <t xml:space="preserve">MOBILIZAÇÃO E DESMOBILIZAÇÃO DE EQUIPAMENTO DE SONDAGEM A PERCUSSÃO COM ENSAIO DE PENETRAÇÃO PADRÃO (SPT) - (CUSTO FIXO)</t>
  </si>
  <si>
    <t xml:space="preserve">CO-28389</t>
  </si>
  <si>
    <t xml:space="preserve">MOBILIZAÇÃO E DESMOBILIZAÇÃO DE EQUIPAMENTO DE SONDAGEM A PERCUSSÃO COM ENSAIO DE PENETRAÇÃO PADRÃO (SPT) - (CUSTO VARIÁVEL), EXCLUSIVE CUSTO FIXO</t>
  </si>
  <si>
    <t xml:space="preserve">CO-28388</t>
  </si>
  <si>
    <t xml:space="preserve">SONDAGEM A PERCUSSÃO COM ENSAIO DE PENETRAÇÃO PADRÃO (SPT), DIÂMETRO 2.1/2", EXCLUSIVE MOBILIZAÇÃO E DESMOBILIZAÇÃO</t>
  </si>
  <si>
    <t xml:space="preserve">m</t>
  </si>
  <si>
    <t xml:space="preserve">SEINFRA</t>
  </si>
  <si>
    <t xml:space="preserve">DER-MG</t>
  </si>
  <si>
    <t xml:space="preserve">Rod. Papa João Paulo II, nº 4.143. Prédio Minas, 7º andar 
Serra Verde - CEP: 31630-901 - BH/MG 
Fone: (31) 3915-8309 | Fax: 3915-9352 
www.transportes.mg.gov.br</t>
  </si>
  <si>
    <t xml:space="preserve">Av. dos Andradas, 1.120 - Centro 
BH/MG - CEP: 30120-016 
Fone: (31) 3235-1272 
Email: custos@der.mg.gov.br</t>
  </si>
  <si>
    <t xml:space="preserve">ORIGEM</t>
  </si>
  <si>
    <t xml:space="preserve">DESCRICAO</t>
  </si>
  <si>
    <t xml:space="preserve">PREÇO DE VENDA</t>
  </si>
  <si>
    <t xml:space="preserve">FATOR MULTIPLICADOR</t>
  </si>
  <si>
    <t xml:space="preserve">61</t>
  </si>
  <si>
    <t xml:space="preserve">PESSOAL</t>
  </si>
  <si>
    <t xml:space="preserve">61.11</t>
  </si>
  <si>
    <t xml:space="preserve">SUDECAP</t>
  </si>
  <si>
    <t xml:space="preserve">ENGENHEIRO/ARQUITETO PARA ELABORACAO DE PROJETOS</t>
  </si>
  <si>
    <t xml:space="preserve">61.11.01</t>
  </si>
  <si>
    <t xml:space="preserve">ENGENHEIRO CONSULTOR ESPECIAL</t>
  </si>
  <si>
    <t xml:space="preserve">61.11.02</t>
  </si>
  <si>
    <t xml:space="preserve">ENGENHEIRO CONSULTOR</t>
  </si>
  <si>
    <t xml:space="preserve">61.11.03</t>
  </si>
  <si>
    <t xml:space="preserve">ENGENHEIRO COORDENADOR</t>
  </si>
  <si>
    <t xml:space="preserve">61.11.04</t>
  </si>
  <si>
    <t xml:space="preserve">ENGENHEIRO SENIOR</t>
  </si>
  <si>
    <t xml:space="preserve">61.11.05</t>
  </si>
  <si>
    <t xml:space="preserve">ENGENHEIRO INTERMEDIARIO</t>
  </si>
  <si>
    <t xml:space="preserve">61.11.06</t>
  </si>
  <si>
    <t xml:space="preserve">ENGENHEIRO JUNIOR</t>
  </si>
  <si>
    <t xml:space="preserve">61.11.07</t>
  </si>
  <si>
    <t xml:space="preserve">ENGENHEIRO TRAINEE</t>
  </si>
  <si>
    <t xml:space="preserve">61.11.08</t>
  </si>
  <si>
    <t xml:space="preserve">ARQUITETO CONSULTOR ESPECIAL</t>
  </si>
  <si>
    <t xml:space="preserve">61.11.09</t>
  </si>
  <si>
    <t xml:space="preserve">ARQUITETO CONSULTOR</t>
  </si>
  <si>
    <t xml:space="preserve">61.11.10</t>
  </si>
  <si>
    <t xml:space="preserve">ARQUITETO COORDENADOR</t>
  </si>
  <si>
    <t xml:space="preserve">61.11.11</t>
  </si>
  <si>
    <t xml:space="preserve">ARQUITETO SÊNIOR</t>
  </si>
  <si>
    <t xml:space="preserve">61.11.12</t>
  </si>
  <si>
    <t xml:space="preserve">ARQUITETO INTERMEDIÁRIO</t>
  </si>
  <si>
    <t xml:space="preserve">61.11.13</t>
  </si>
  <si>
    <t xml:space="preserve">ARQUITETO JÚNIOR</t>
  </si>
  <si>
    <t xml:space="preserve">61.11.14</t>
  </si>
  <si>
    <t xml:space="preserve">ARQUITETO TRAINEE</t>
  </si>
  <si>
    <t xml:space="preserve">61.11.15</t>
  </si>
  <si>
    <t xml:space="preserve">BIÓLOGO ATÉ 5 ANOS DE EXPERIÊNCIA</t>
  </si>
  <si>
    <t xml:space="preserve">61.11.16</t>
  </si>
  <si>
    <t xml:space="preserve">BIÓLOGO ACIMA DE 5 ANOS DE EXPERIÊNCIA</t>
  </si>
  <si>
    <t xml:space="preserve">61.11.17</t>
  </si>
  <si>
    <t xml:space="preserve">ESTAGIÁRIO DE NÍVEL SUPERIOR - 04 HORAS</t>
  </si>
  <si>
    <t xml:space="preserve">61.12</t>
  </si>
  <si>
    <t xml:space="preserve">AUXILIAR DE ENGENHARIA/ARQUITETURA</t>
  </si>
  <si>
    <t xml:space="preserve">61.12.01</t>
  </si>
  <si>
    <t xml:space="preserve">AUXILIAR DE ENGENHARIA PARA PROJETOS</t>
  </si>
  <si>
    <t xml:space="preserve">61.12.02</t>
  </si>
  <si>
    <t xml:space="preserve">AUXILIAR DE ARQUITETURA PARA PROJETOS</t>
  </si>
  <si>
    <t xml:space="preserve">61.13</t>
  </si>
  <si>
    <t xml:space="preserve">PROJETISTA PARA ELABORACAO DE PROJETOS</t>
  </si>
  <si>
    <t xml:space="preserve">61.13.01</t>
  </si>
  <si>
    <t xml:space="preserve">PROJETISTA SENIOR</t>
  </si>
  <si>
    <t xml:space="preserve">61.13.02</t>
  </si>
  <si>
    <t xml:space="preserve">PROJETISTA INTERMEDIARIO</t>
  </si>
  <si>
    <t xml:space="preserve">61.13.03</t>
  </si>
  <si>
    <t xml:space="preserve">PROJETISTA JUNIOR</t>
  </si>
  <si>
    <t xml:space="preserve">61.13.04</t>
  </si>
  <si>
    <t xml:space="preserve">PROJETISTA CADISTA</t>
  </si>
  <si>
    <t xml:space="preserve">61.14</t>
  </si>
  <si>
    <t xml:space="preserve">TECNICO PARA ELABORACAO DE PROJETOS</t>
  </si>
  <si>
    <t xml:space="preserve">61.14.01</t>
  </si>
  <si>
    <t xml:space="preserve">TECNICO SENIOR</t>
  </si>
  <si>
    <t xml:space="preserve">61.14.02</t>
  </si>
  <si>
    <t xml:space="preserve">TECNICO INTERMEDIARIO</t>
  </si>
  <si>
    <t xml:space="preserve">61.14.03</t>
  </si>
  <si>
    <t xml:space="preserve">TECNICO JUNIOR</t>
  </si>
  <si>
    <t xml:space="preserve">61.15</t>
  </si>
  <si>
    <t xml:space="preserve">DESENHISTA PARA ELABORACAO DE PROJETOS</t>
  </si>
  <si>
    <t xml:space="preserve">61.15.01</t>
  </si>
  <si>
    <t xml:space="preserve">DESENHISTA PROJETISTA</t>
  </si>
  <si>
    <t xml:space="preserve">61.15.02</t>
  </si>
  <si>
    <t xml:space="preserve">DESENHISTA TECNICO / CADISTA</t>
  </si>
  <si>
    <t xml:space="preserve">61.15.03</t>
  </si>
  <si>
    <t xml:space="preserve">DESENHISTA COPISTA</t>
  </si>
  <si>
    <t xml:space="preserve">61.16</t>
  </si>
  <si>
    <t xml:space="preserve">SERVICOS ADMINISTRATIVOS</t>
  </si>
  <si>
    <t xml:space="preserve">61.16.01</t>
  </si>
  <si>
    <t xml:space="preserve">AUXILIAR ADMINISTRATIVO SENIOR</t>
  </si>
  <si>
    <t xml:space="preserve">61.16.02</t>
  </si>
  <si>
    <t xml:space="preserve">AUXILIAR ADMINISTRATIVO INTERMEDIARIO</t>
  </si>
  <si>
    <t xml:space="preserve">61.16.03</t>
  </si>
  <si>
    <t xml:space="preserve">AUXILIAR ADMINISTRATIVO JUNIOR</t>
  </si>
  <si>
    <t xml:space="preserve">61.21</t>
  </si>
  <si>
    <t xml:space="preserve">ENGENHEIRO/ARQUITETO PARA SUPERVISAO DE OBRAS</t>
  </si>
  <si>
    <t xml:space="preserve">61.21.01</t>
  </si>
  <si>
    <t xml:space="preserve">61.21.02</t>
  </si>
  <si>
    <t xml:space="preserve">61.21.03</t>
  </si>
  <si>
    <t xml:space="preserve">61.21.04</t>
  </si>
  <si>
    <t xml:space="preserve">61.21.05</t>
  </si>
  <si>
    <t xml:space="preserve">61.21.06</t>
  </si>
  <si>
    <t xml:space="preserve">61.21.07</t>
  </si>
  <si>
    <t xml:space="preserve">61.21.08</t>
  </si>
  <si>
    <t xml:space="preserve">61.21.09</t>
  </si>
  <si>
    <t xml:space="preserve">61.21.10</t>
  </si>
  <si>
    <t xml:space="preserve">61.21.11</t>
  </si>
  <si>
    <t xml:space="preserve">61.21.12</t>
  </si>
  <si>
    <t xml:space="preserve">61.22</t>
  </si>
  <si>
    <t xml:space="preserve">61.22.01</t>
  </si>
  <si>
    <t xml:space="preserve">AUXILIAR DE ENGENHARIA PARA OBRAS</t>
  </si>
  <si>
    <t xml:space="preserve">61.22.02</t>
  </si>
  <si>
    <t xml:space="preserve">AUXILIAR DE ARQUITETURA PARA OBRAS</t>
  </si>
  <si>
    <t xml:space="preserve">61.23</t>
  </si>
  <si>
    <t xml:space="preserve">TECNICO PARA SUPERVISAO DE OBRAS</t>
  </si>
  <si>
    <t xml:space="preserve">61.23.01</t>
  </si>
  <si>
    <t xml:space="preserve">61.23.02</t>
  </si>
  <si>
    <t xml:space="preserve">61.23.03</t>
  </si>
  <si>
    <t xml:space="preserve">61.24</t>
  </si>
  <si>
    <t xml:space="preserve">DESENHISTA PARA SUPERVISAO DE OBRAS</t>
  </si>
  <si>
    <t xml:space="preserve">61.24.01</t>
  </si>
  <si>
    <t xml:space="preserve">61.24.02</t>
  </si>
  <si>
    <t xml:space="preserve">61.24.03</t>
  </si>
  <si>
    <t xml:space="preserve">61.31</t>
  </si>
  <si>
    <t xml:space="preserve">TOPOGRAFIA</t>
  </si>
  <si>
    <t xml:space="preserve">61.31.01</t>
  </si>
  <si>
    <t xml:space="preserve">TOPOGRAFO SENIOR</t>
  </si>
  <si>
    <t xml:space="preserve">61.31.02</t>
  </si>
  <si>
    <t xml:space="preserve">TOPOGRAFO INTERMEDIARIO</t>
  </si>
  <si>
    <t xml:space="preserve">61.31.03</t>
  </si>
  <si>
    <t xml:space="preserve">TOPOGRAFO JUNIOR</t>
  </si>
  <si>
    <t xml:space="preserve">61.31.04</t>
  </si>
  <si>
    <t xml:space="preserve">NIVELADOR</t>
  </si>
  <si>
    <t xml:space="preserve">61.31.05</t>
  </si>
  <si>
    <t xml:space="preserve">BALIZA</t>
  </si>
  <si>
    <t xml:space="preserve">61.31.06</t>
  </si>
  <si>
    <t xml:space="preserve">AJUDANTE DE TOPOGRAFIA</t>
  </si>
  <si>
    <t xml:space="preserve">61.32</t>
  </si>
  <si>
    <t xml:space="preserve">LABORATORIO</t>
  </si>
  <si>
    <t xml:space="preserve">61.32.01</t>
  </si>
  <si>
    <t xml:space="preserve">LABORATORISTA SENIOR</t>
  </si>
  <si>
    <t xml:space="preserve">61.32.02</t>
  </si>
  <si>
    <t xml:space="preserve">LABORATORISTA JUNIOR</t>
  </si>
  <si>
    <t xml:space="preserve">61.32.03</t>
  </si>
  <si>
    <t xml:space="preserve">AUXILIAR DE LABORATORIO</t>
  </si>
  <si>
    <t xml:space="preserve">61.34</t>
  </si>
  <si>
    <t xml:space="preserve">AUXILIARES DE APOIO</t>
  </si>
  <si>
    <t xml:space="preserve">61.34.01</t>
  </si>
  <si>
    <t xml:space="preserve">MOTORISTA</t>
  </si>
  <si>
    <t xml:space="preserve">61.34.02</t>
  </si>
  <si>
    <t xml:space="preserve">APONTADOR</t>
  </si>
  <si>
    <t xml:space="preserve">61.34.03</t>
  </si>
  <si>
    <t xml:space="preserve">SERVENTE</t>
  </si>
  <si>
    <t xml:space="preserve">62</t>
  </si>
  <si>
    <t xml:space="preserve">PROJETOS</t>
  </si>
  <si>
    <t xml:space="preserve">62.01</t>
  </si>
  <si>
    <t xml:space="preserve">PROJETOS DE EDIFICACOES</t>
  </si>
  <si>
    <t xml:space="preserve">62.01.04</t>
  </si>
  <si>
    <t xml:space="preserve">PROJETO ARQUITETONICO - EXECUTIVO EXCLUSIVE PAPEL VEGETAL</t>
  </si>
  <si>
    <t xml:space="preserve">62.01.10</t>
  </si>
  <si>
    <t xml:space="preserve">PROJETO DE TERRAPLENAGEM (PLANTA) EXCLUSIVE PAPEL VEGETAL</t>
  </si>
  <si>
    <t xml:space="preserve">62.01.11</t>
  </si>
  <si>
    <t xml:space="preserve">PROJETO DE TERRAPLENAGEM (SEÇOES) EXCLUSIVE PAPEL VEGETAL</t>
  </si>
  <si>
    <t xml:space="preserve">62.01.12</t>
  </si>
  <si>
    <t xml:space="preserve">PROJETO DE DRENAGEM PLUVIAL EXCLUSIVE PAPEL VEGETAL</t>
  </si>
  <si>
    <t xml:space="preserve">62.01.13</t>
  </si>
  <si>
    <t xml:space="preserve">PROJETO PAISAGISTICO PRAÇA, PARQUE E AREA DE LAZER EXCLUSIVE PAPEL VEGETAL</t>
  </si>
  <si>
    <t xml:space="preserve">62.01.14</t>
  </si>
  <si>
    <t xml:space="preserve">PROJETO PAISAGISTICO AREAS LIVRES OBRAS EDIFICAÇAO EXCLUSIVE PAPEL VEGETAL</t>
  </si>
  <si>
    <t xml:space="preserve">62.01.15</t>
  </si>
  <si>
    <t xml:space="preserve">PROJETO GEOMETRICO DE CONTENÇAO EXCLUSIVE PAPEL VEGETAL</t>
  </si>
  <si>
    <t xml:space="preserve">62.01.16</t>
  </si>
  <si>
    <t xml:space="preserve">PROJETO DE ESTRUTURA DE CONCRETO EXCLUSIVE PAPEL VEGETAL</t>
  </si>
  <si>
    <t xml:space="preserve">62.01.17</t>
  </si>
  <si>
    <t xml:space="preserve">PROJETO ESTRUTURAL DE CONTENÇAO / CANAL EXCLUSIVE PAPEL VEGETAL</t>
  </si>
  <si>
    <t xml:space="preserve">62.01.19</t>
  </si>
  <si>
    <t xml:space="preserve">PROJETO ELETRICO EXCLUSIVE PAPEL VEGETAL</t>
  </si>
  <si>
    <t xml:space="preserve">62.01.20</t>
  </si>
  <si>
    <t xml:space="preserve">PROJETO DE CABEAMENTO ESTRUTURADO EXCLUSIVE PAPEL VEGETAL</t>
  </si>
  <si>
    <t xml:space="preserve">62.01.21</t>
  </si>
  <si>
    <t xml:space="preserve">PROJETO DE ESTRUTURA METALICA EXCLUSIVE PAPEL VEGETAL</t>
  </si>
  <si>
    <t xml:space="preserve">62.01.22</t>
  </si>
  <si>
    <t xml:space="preserve">PROJETO HIDRAULICO / SANITARIO EXCLUSIVE PAPEL VEGETAL</t>
  </si>
  <si>
    <t xml:space="preserve">62.01.23</t>
  </si>
  <si>
    <t xml:space="preserve">PROJETO DE PREVENÇAO E COMBATE A INCENDIO EXCLUSIVE PAPEL VEGETAL</t>
  </si>
  <si>
    <t xml:space="preserve">62.01.24</t>
  </si>
  <si>
    <t xml:space="preserve">PROJETO DE COMUNICAÇAO VISUAL EXCLUSIVE PAPEL VEGETAL</t>
  </si>
  <si>
    <t xml:space="preserve">62.01.25</t>
  </si>
  <si>
    <t xml:space="preserve">PROJETO DE PROTEÇAO CONTRA DESCARGAS ATMOSFERICAS EXCLUSIVE PAPEL VEGETAL</t>
  </si>
  <si>
    <t xml:space="preserve">62.01.26</t>
  </si>
  <si>
    <t xml:space="preserve">PROJETO DE IRRIGAÇAO EXCLUSIVE PAPEL VEGETAL</t>
  </si>
  <si>
    <t xml:space="preserve">62.01.28</t>
  </si>
  <si>
    <t xml:space="preserve">PROJETO DE AR CONDICIONADO EXCLUSIVE PAPEL VEGETAL</t>
  </si>
  <si>
    <t xml:space="preserve">62.01.29</t>
  </si>
  <si>
    <t xml:space="preserve">DESENVOLVIMENTO E DETALH. PROJ. ARQUIT. E ESTRURAL EXCLUSIVE PAPEL VEGETAL</t>
  </si>
  <si>
    <t xml:space="preserve">62.01.30</t>
  </si>
  <si>
    <t xml:space="preserve">DESENVOLVIMENTO E DETALH.DE PROJETO COMPLEMENTARES EXCLUSIVE PAPEL VEGETAL</t>
  </si>
  <si>
    <t xml:space="preserve">62.01.31</t>
  </si>
  <si>
    <t xml:space="preserve">DESENHO E COPIA - ARQUITETURA/ESTRUTURAL/METALICA EXCLUSIVE PAPEL VEGETAL</t>
  </si>
  <si>
    <t xml:space="preserve">62.01.32</t>
  </si>
  <si>
    <t xml:space="preserve">DESENHO E COPIA - PROJETOS COMPLEMENTARES EXCLUSIVE PAPEL VEGETAL</t>
  </si>
  <si>
    <t xml:space="preserve">62.01.33</t>
  </si>
  <si>
    <t xml:space="preserve">PROJETO ELETRICO/TV A CABO/ANTENA EXTERNA EXCLUSIVE PAPEL VEGETAL</t>
  </si>
  <si>
    <t xml:space="preserve">62.01.34</t>
  </si>
  <si>
    <t xml:space="preserve">PROJETO DE SONORIZACAO/ALARME/CFTV EXCLUSIVE PAPEL VEGETAL</t>
  </si>
  <si>
    <t xml:space="preserve">62.01.35</t>
  </si>
  <si>
    <t xml:space="preserve">PROJETO DE AR CONDICIONADO MECANICO/ELETRICO EXCLUSIVE PAPEL VEGETAL</t>
  </si>
  <si>
    <t xml:space="preserve">62.01.38</t>
  </si>
  <si>
    <t xml:space="preserve">PROJETO LUMINOTECNICO EXCLUSIVE PAPEL VEGETAL</t>
  </si>
  <si>
    <t xml:space="preserve">62.01.40</t>
  </si>
  <si>
    <t xml:space="preserve">COMPATIBILIZACAO DE PROJETOS DE EDIFICACAO</t>
  </si>
  <si>
    <t xml:space="preserve">62.01.42</t>
  </si>
  <si>
    <t xml:space="preserve">PERSPECTIVA COLORIDA 50X70 CM EXCLUSIVE PAPEL VEGETAL</t>
  </si>
  <si>
    <t xml:space="preserve">62.01.43</t>
  </si>
  <si>
    <t xml:space="preserve">VISTA COLORIDA 50X70 CM EXCLUSIVE PAPEL VEGETAL</t>
  </si>
  <si>
    <t xml:space="preserve">62.01.44</t>
  </si>
  <si>
    <t xml:space="preserve">PLANTA HUMANIZADA COLORIDA 50X70 CM EXCLUSIVE PAPEL VEGETAL</t>
  </si>
  <si>
    <t xml:space="preserve">62.01.45</t>
  </si>
  <si>
    <t xml:space="preserve">PROJETO DE IMPERMEABILIZACAO EXCLUSIVE PAPEL VEGETAL</t>
  </si>
  <si>
    <t xml:space="preserve">62.01.46</t>
  </si>
  <si>
    <t xml:space="preserve">PROJETO DE ENGRADAMENTO METALICO EXCLUSIVE PAPEL VEGETAL</t>
  </si>
  <si>
    <t xml:space="preserve">62.01.47</t>
  </si>
  <si>
    <t xml:space="preserve">LEVANTAMENTO CADASTRAL DE EDIFICAÇÃO EXCLUSIVE PAPEL VEGETAL</t>
  </si>
  <si>
    <t xml:space="preserve">62.02</t>
  </si>
  <si>
    <t xml:space="preserve">ESTUDO PRELIMINAR</t>
  </si>
  <si>
    <t xml:space="preserve">62.02.01</t>
  </si>
  <si>
    <t xml:space="preserve">DE EDIFICACAO - AREA &lt;= 600M2 EXCLUSIVE PAPEL VEGETAL</t>
  </si>
  <si>
    <t xml:space="preserve">62.02.02</t>
  </si>
  <si>
    <t xml:space="preserve">DE EDIFICACAO - 600 M2 &lt; AREA &lt;= 1.500 M2 EXCLUSIVE PAPEL VEGETAL</t>
  </si>
  <si>
    <t xml:space="preserve">62.02.03</t>
  </si>
  <si>
    <t xml:space="preserve">DE EDIFICACAO - AREA &gt; 1500 M2 EXCLUSIVE PAPEL VEGETAL</t>
  </si>
  <si>
    <t xml:space="preserve">62.02.04</t>
  </si>
  <si>
    <t xml:space="preserve">DE IMPLANT. DE EDIFICACAO PADRAO COM AREA &lt;= 600M2 EXCLUSIVE PAPEL VEGETAL</t>
  </si>
  <si>
    <t xml:space="preserve">62.02.05</t>
  </si>
  <si>
    <t xml:space="preserve">DE IMPLAN. EDIFIC. PADRAO C/ AREA 600&lt;AREA&lt;=1500M2 EXCLUSIVE PAPEL VEGETAL</t>
  </si>
  <si>
    <t xml:space="preserve">62.02.06</t>
  </si>
  <si>
    <t xml:space="preserve">DE IMPLANTACAO EDIFICACAO PADRAO C/ AREA &gt; 1500M2 EXCLUSIVE PAPEL VEGETAL</t>
  </si>
  <si>
    <t xml:space="preserve">62.02.07</t>
  </si>
  <si>
    <t xml:space="preserve">DE IMPLAN. PRACA,PARQUE,AREA LAZER AREA&lt;=10.000M2 EXCLUSIVE PAPEL VEGETAL</t>
  </si>
  <si>
    <t xml:space="preserve">62.02.08</t>
  </si>
  <si>
    <t xml:space="preserve">DE IMPLAN. PRACA,PARQUE,AREA LAZER AREA &gt; 10.000M2 EXCLUSIVE PAPEL VEGETAL</t>
  </si>
  <si>
    <t xml:space="preserve">62.02.09</t>
  </si>
  <si>
    <t xml:space="preserve">ESTUDO PRELIMINAR DE URBANISMO</t>
  </si>
  <si>
    <t xml:space="preserve">62.03</t>
  </si>
  <si>
    <t xml:space="preserve">PROJETOS DE INFRA ESTRUTURA URBANA</t>
  </si>
  <si>
    <t xml:space="preserve">62.03.01</t>
  </si>
  <si>
    <t xml:space="preserve">PROJETO GEOMETRICO EXCLUSIVE PAPEL VEGETAL</t>
  </si>
  <si>
    <t xml:space="preserve">62.03.02</t>
  </si>
  <si>
    <t xml:space="preserve">PROJETO DE TERRAPLENAGEM</t>
  </si>
  <si>
    <t xml:space="preserve">62.03.03</t>
  </si>
  <si>
    <t xml:space="preserve">PROJETO DE CANALIZAÇAO EXCLUSIVE PAPEL VEGETAL</t>
  </si>
  <si>
    <t xml:space="preserve">62.03.04</t>
  </si>
  <si>
    <t xml:space="preserve">PROJETO DE DRENAGEM EXCLUSIVE PAPEL VEGETAL</t>
  </si>
  <si>
    <t xml:space="preserve">62.03.06</t>
  </si>
  <si>
    <t xml:space="preserve">62.03.07</t>
  </si>
  <si>
    <t xml:space="preserve">PROJETO ESTRUTURAL DE CONTENCAO / CANAL EXCLUSIVE PAPEL VEGETAL</t>
  </si>
  <si>
    <t xml:space="preserve">62.03.08</t>
  </si>
  <si>
    <t xml:space="preserve">PROJETO DE PAVIMENTAÇAO - VIA LOCAL EXCLUSIVE PAPEL VEGETAL</t>
  </si>
  <si>
    <t xml:space="preserve">62.03.09</t>
  </si>
  <si>
    <t xml:space="preserve">PROJETO DE PAVIMENTAÇAO - VIA COLETORA E PRIMARIA EXCLUSIVE PAPEL VEGETAL</t>
  </si>
  <si>
    <t xml:space="preserve">62.03.11</t>
  </si>
  <si>
    <t xml:space="preserve">PROJETO DE SINALIZAÇAO / DESVIO EXCLUSIVE PAPEL VEGETAL</t>
  </si>
  <si>
    <t xml:space="preserve">62.03.12</t>
  </si>
  <si>
    <t xml:space="preserve">PROJETO PAISAGISTICO EXCLUSIVE PAPEL VEGETAL</t>
  </si>
  <si>
    <t xml:space="preserve">62.03.13</t>
  </si>
  <si>
    <t xml:space="preserve">62.03.14</t>
  </si>
  <si>
    <t xml:space="preserve">PROJETO OBRAS ARTES ESPECIAIS-PONTES,VIADUTOS,ETC EXCLUSIVE PAPEL VEGETAL</t>
  </si>
  <si>
    <t xml:space="preserve">62.03.15</t>
  </si>
  <si>
    <t xml:space="preserve">62.03.16</t>
  </si>
  <si>
    <t xml:space="preserve">PROJETO ELETRICO / TELEFONIA / LOGICA EXCLUSIVE PAPEL VEGETAL</t>
  </si>
  <si>
    <t xml:space="preserve">62.03.17</t>
  </si>
  <si>
    <t xml:space="preserve">PROJETO DE INTERSEÇAO - SIMPLIFICADO EXCLUSIVE PAPEL VEGETAL</t>
  </si>
  <si>
    <t xml:space="preserve">62.03.18</t>
  </si>
  <si>
    <t xml:space="preserve">PROJETO DE INTERSEÇAO - ESPECIAL EXCLUSIVE PAPEL VEGETAL</t>
  </si>
  <si>
    <t xml:space="preserve">62.03.19</t>
  </si>
  <si>
    <t xml:space="preserve">COMPATIBILIZACAO DE PROJETOS DE INFRA ESTRUTURA</t>
  </si>
  <si>
    <t xml:space="preserve">62.03.20</t>
  </si>
  <si>
    <t xml:space="preserve">ESTUDO HIDRAULICO DE CANAL EXISTENTE</t>
  </si>
  <si>
    <t xml:space="preserve">62.04</t>
  </si>
  <si>
    <t xml:space="preserve">LAUDOS TECNICOS</t>
  </si>
  <si>
    <t xml:space="preserve">62.04.01</t>
  </si>
  <si>
    <t xml:space="preserve">LAUDO GEOTECNICO PARA FINS DE LICENCIAMENTO</t>
  </si>
  <si>
    <t xml:space="preserve">62.04.02</t>
  </si>
  <si>
    <t xml:space="preserve">PARECER  GEOTÉCNICO -  NÍVEL 1</t>
  </si>
  <si>
    <t xml:space="preserve">62.04.03</t>
  </si>
  <si>
    <t xml:space="preserve">PARECER  GEOTÉCNICO -  NÍVEL 2</t>
  </si>
  <si>
    <t xml:space="preserve">62.04.04</t>
  </si>
  <si>
    <t xml:space="preserve">PARECER  GEOTÉCNICO -  NÍVEL 3</t>
  </si>
  <si>
    <t xml:space="preserve">62.05</t>
  </si>
  <si>
    <t xml:space="preserve">SERVICOS DE TOPOGRAFIA</t>
  </si>
  <si>
    <t xml:space="preserve">62.05.12</t>
  </si>
  <si>
    <t xml:space="preserve">LEVANTAMENTO PLANIALTIMÉTRICO CADASTRAL &lt;= 10.000 M2 - INCLUSIVE DESENHO</t>
  </si>
  <si>
    <t xml:space="preserve">62.05.13</t>
  </si>
  <si>
    <t xml:space="preserve">LEVANTAMENTO PLANIALTIMÉTRICO CADASTRAL &gt; 10.000 M2 - INCLUSIVE DESENHO</t>
  </si>
  <si>
    <t xml:space="preserve">62.05.14</t>
  </si>
  <si>
    <t xml:space="preserve">EQUIPE TOPOGRÁFICA P/ APOIO A PROJETOS</t>
  </si>
  <si>
    <t xml:space="preserve">62.05.15</t>
  </si>
  <si>
    <t xml:space="preserve">EQUIPE TOPOGRÁFICA P/ APOIO A OBRAS</t>
  </si>
  <si>
    <t xml:space="preserve">62.05.20</t>
  </si>
  <si>
    <t xml:space="preserve">TRANSPORTE DE COORDENADAS  E ALTITUDE - ESTAÇÃO TOTAL</t>
  </si>
  <si>
    <t xml:space="preserve">62.05.21</t>
  </si>
  <si>
    <t xml:space="preserve">TRANSPORTE DE COORDENADAS E ALTITUDE  - RECEPTOR GNSS</t>
  </si>
  <si>
    <t xml:space="preserve">62.05.30</t>
  </si>
  <si>
    <t xml:space="preserve">LEVANTAMENTO PLANIMÉTRICO CADASTRAL &lt;= 10.000 M2- INCLUSIVE DESENHO</t>
  </si>
  <si>
    <t xml:space="preserve">62.05.31</t>
  </si>
  <si>
    <t xml:space="preserve">LEVANTAMENTO PLANIMÉTRICO CADASTRAL &gt; 10.000 M2- INCLUSIVE DESENHO</t>
  </si>
  <si>
    <t xml:space="preserve">62.05.32</t>
  </si>
  <si>
    <t xml:space="preserve">LEVANTAMENTO PLANIMÉTRICO - INCLUSIVE DESENHO</t>
  </si>
  <si>
    <t xml:space="preserve">62.05.33</t>
  </si>
  <si>
    <t xml:space="preserve">LEVANTAMENTO PLANIALTIMÉTRICO PARA ESTUDO E CADASTRO DE REDES SUBTERRÂNEAS - INCLUSIVE DESENHO EXCLUSIVE PAPEL VEGETAL</t>
  </si>
  <si>
    <t xml:space="preserve">62.05.37</t>
  </si>
  <si>
    <t xml:space="preserve">DESENHO DE LEVANTAMENTO TOPOGRÁFICO</t>
  </si>
  <si>
    <t xml:space="preserve">62.05.38</t>
  </si>
  <si>
    <t xml:space="preserve">RECONSTRUÇÃO DIGITAL DE CP PARA LANÇAMENTO E AMARRAÇÃO AO LEVANTAMENTO</t>
  </si>
  <si>
    <t xml:space="preserve">62.05.39</t>
  </si>
  <si>
    <t xml:space="preserve">PLANTA DE ISODECLIVIDADE </t>
  </si>
  <si>
    <t xml:space="preserve">62.06</t>
  </si>
  <si>
    <t xml:space="preserve">SPDA - GERENCIAMENTO DE RISCOS E ENSAIOS</t>
  </si>
  <si>
    <t xml:space="preserve">62.06.01</t>
  </si>
  <si>
    <t xml:space="preserve">MEDIÇÃO DE RESISTIVIDADE DO SOLO (NBR 7117-1:2020 E NBR 5419-3:2015) ÁREA DO TERRENO S &lt;= 1000 M2</t>
  </si>
  <si>
    <t xml:space="preserve">62.06.02</t>
  </si>
  <si>
    <t xml:space="preserve">MEDIÇÃO DE RESISTIVIDADE DO SOLO (NBR 7117-1:2020 E NBR 5419-3:2015) ÁREA DO TERRENO 1000 M2 &lt; S &lt;=  2500 M2</t>
  </si>
  <si>
    <t xml:space="preserve">62.06.03</t>
  </si>
  <si>
    <t xml:space="preserve">MEDIÇÃO DE RESISTIVIDADE DO SOLO (NBR 7117-1:2020 E NBR 5419-3:2015) ÁREA DO TERRENO 2500 M2 &lt; S &lt;= 10000 M2</t>
  </si>
  <si>
    <t xml:space="preserve">62.06.04</t>
  </si>
  <si>
    <t xml:space="preserve">MEDIÇÃO DE RESISTIVIDADE DO SOLO (NBR 7117-1:2020 E NBR 5419-3:2015) ÁREA DO TERRENO 10000 M2 &lt; S = 20000 M2</t>
  </si>
  <si>
    <t xml:space="preserve">62.06.05</t>
  </si>
  <si>
    <t xml:space="preserve">ANÁLISE DE GERENCIAMENTO DE RISCOS (SPDA) - (ABNT NBR 5419-2:2015)</t>
  </si>
  <si>
    <t xml:space="preserve">62.11</t>
  </si>
  <si>
    <t xml:space="preserve">CADASTRO</t>
  </si>
  <si>
    <t xml:space="preserve">62.11.06</t>
  </si>
  <si>
    <t xml:space="preserve">CADASTRO TECNICO FOTOGRAFICO PARA REMOCAO</t>
  </si>
  <si>
    <t xml:space="preserve">62.11.07</t>
  </si>
  <si>
    <t xml:space="preserve">CADASTRO TÉCNICO DE DESAPROPRIAÇÃO - LOTE</t>
  </si>
  <si>
    <t xml:space="preserve">62.11.08</t>
  </si>
  <si>
    <t xml:space="preserve">CADASTRO TÉCNICO DE DESAPROPRIAÇÃO - 1 A 10 BENFEITORIAS</t>
  </si>
  <si>
    <t xml:space="preserve">62.11.09</t>
  </si>
  <si>
    <t xml:space="preserve">CADASTRO TÉCNICO DE DESAPROPRIAÇÃO - 11 A 50 BENFEITORIAS</t>
  </si>
  <si>
    <t xml:space="preserve">62.11.10</t>
  </si>
  <si>
    <t xml:space="preserve">CADASTRO TÉCNICO DE DESAPROPRIAÇÃO - 51 A 100 BENFEITORIAS</t>
  </si>
  <si>
    <t xml:space="preserve">62.11.11</t>
  </si>
  <si>
    <t xml:space="preserve">CADASTRO TÉCNICO DE DESAPROPRIAÇÃO - 101 A 200 BENFEITORIAS</t>
  </si>
  <si>
    <t xml:space="preserve">62.11.12</t>
  </si>
  <si>
    <t xml:space="preserve">CADASTRO TÉCNICO DE DESAPROPRIAÇÃO - ACIMA DE 200 BENFEITORIAS</t>
  </si>
  <si>
    <t xml:space="preserve">62.11.13</t>
  </si>
  <si>
    <t xml:space="preserve">REVISÃO DE CADASTRO TECNICO DE DESAPROPRIAÇÃO - SEM CAMPO</t>
  </si>
  <si>
    <t xml:space="preserve">62.11.14</t>
  </si>
  <si>
    <t xml:space="preserve">REVISÃO DE CADASTRO TÉCNICO DE DESAPROPRIAÇÃO - COM CAMPO</t>
  </si>
  <si>
    <t xml:space="preserve">62.11.15</t>
  </si>
  <si>
    <t xml:space="preserve">BUSCA DE CERTIDÃO DE REGISTRO</t>
  </si>
  <si>
    <t xml:space="preserve">62.11.16</t>
  </si>
  <si>
    <t xml:space="preserve">BUSCA DE CERTIDÃO NEGATIVA REGISTRO</t>
  </si>
  <si>
    <t xml:space="preserve">62.11.17</t>
  </si>
  <si>
    <t xml:space="preserve">DESPESAS COM CARTÓRIO -  CERTIDÃO EM RELATÓRIO</t>
  </si>
  <si>
    <t xml:space="preserve">62.11.18</t>
  </si>
  <si>
    <t xml:space="preserve">DESPESAS COM CARTÓRIO -  CERTIDÃO</t>
  </si>
  <si>
    <t xml:space="preserve">62.20</t>
  </si>
  <si>
    <t xml:space="preserve">PROJETOS DE EDIFICACAO POR M2</t>
  </si>
  <si>
    <t xml:space="preserve">62.20.20</t>
  </si>
  <si>
    <t xml:space="preserve">CARACTERIZAÇÃO DE EDIFICAÇÕES E ÁREAS COBERTAS EXCLUSIVE PAPEL VEGETAL</t>
  </si>
  <si>
    <t xml:space="preserve">62.24</t>
  </si>
  <si>
    <t xml:space="preserve">PLANILHAS E RELATÓRIOS TÉCNICOS - EDIFICAÇÕES</t>
  </si>
  <si>
    <t xml:space="preserve">62.24.01</t>
  </si>
  <si>
    <t xml:space="preserve">MEMORIAL DESCRITIVO - CARACTERIZAÇÃO DAS APPS, RECURSOS HÍDRICOS, PERFIS TOPOGRÁFICOS.</t>
  </si>
  <si>
    <t xml:space="preserve">62.24.02</t>
  </si>
  <si>
    <t xml:space="preserve">CONFECÇÃO DE ARQUIVO NO FORMATO ".KMZ" PARA AUTORIZAÇÃO SMMA</t>
  </si>
  <si>
    <t xml:space="preserve">62.24.03</t>
  </si>
  <si>
    <t xml:space="preserve">IDENTIFICAÇÃO DE ESPÉCIMES ARBÓREOS - DE 01 ATÉ 20 EXEMPLARES </t>
  </si>
  <si>
    <t xml:space="preserve">62.24.04</t>
  </si>
  <si>
    <t xml:space="preserve">IDENTIFICAÇÃO DE ESPÉCIMES ARBÓREOS - A PARTIR DE 21 EXEMPLARES (PREÇO POR ESPÉCIME IDENTIFICADO - A PARTIR DO 21º EXEMPLAR) </t>
  </si>
  <si>
    <t xml:space="preserve">62.24.05</t>
  </si>
  <si>
    <t xml:space="preserve">ELABORAÇÃO DE DOCUMENTAÇÃO TÉCNICA, INCLUSIVE PROJETO ARQUITETÔNICO OU PROJETO BÁSICO DE RESTAURAÇÃO, PARA LICENCIAMENTO JUNTO AOS ÓRGÃOS DE PATRIMÔNIO</t>
  </si>
  <si>
    <t xml:space="preserve">62.24.06</t>
  </si>
  <si>
    <t xml:space="preserve">ELABORAÇÃO DE DOCUMENTAÇÃO TÉCNICA PARA LICENCIAMENTO JUNTO À SUREG (APROVAÇÃO DE EDIFICAÇÃO E/OU ALVARÁ DE OBRAS EM LOGRADOURO PÚBLICO) E JUNTO AO CINDACTA, INCLUSIVE PROJETOS, MEMORIAIS DESCRITIVOS E DE CÁLCULO</t>
  </si>
  <si>
    <t xml:space="preserve">62.24.07</t>
  </si>
  <si>
    <t xml:space="preserve">ESTIMATIVA DE CUSTO DO ANTEPROJETO - PEQUENO PORTE</t>
  </si>
  <si>
    <t xml:space="preserve">62.24.08</t>
  </si>
  <si>
    <t xml:space="preserve">ESTIMATIVA DE CUSTO DO ANTEPROJETO - MÉDIO PORTE</t>
  </si>
  <si>
    <t xml:space="preserve">62.24.09</t>
  </si>
  <si>
    <t xml:space="preserve">ESTIMATIVA DE CUSTO DO ANTEPROJETO - GRANDE PORTE</t>
  </si>
  <si>
    <t xml:space="preserve">62.24.10</t>
  </si>
  <si>
    <t xml:space="preserve">ORÇAMENTO ANALÍTICO DE PROJETO EXECUTIVO - PEQUENO PORTE</t>
  </si>
  <si>
    <t xml:space="preserve">62.24.11</t>
  </si>
  <si>
    <t xml:space="preserve">ORÇAMENTO ANALÍTICO DE PROJETO EXECUTIVO - MÉDIO PORTE</t>
  </si>
  <si>
    <t xml:space="preserve">62.24.12</t>
  </si>
  <si>
    <t xml:space="preserve">ORÇAMENTO ANALÍTICO DE PROJETO EXECUTIVO - GRANDE PORTE</t>
  </si>
  <si>
    <t xml:space="preserve">62.24.13</t>
  </si>
  <si>
    <t xml:space="preserve">RELATÓRIO TÉCNICO DE PLANEJAMENTO DE EXECUÇÃO DE OBRAS - PEQUENO PORTE</t>
  </si>
  <si>
    <t xml:space="preserve">62.24.14</t>
  </si>
  <si>
    <t xml:space="preserve">RELATÓRIO TÉCNICO DE PLANEJAMENTO DE EXECUÇÃO DE OBRAS - MÉDIO PORTE</t>
  </si>
  <si>
    <t xml:space="preserve">62.24.15</t>
  </si>
  <si>
    <t xml:space="preserve">RELATÓRIO TÉCNICO DE PLANEJAMENTO DE EXECUÇÃO DE OBRAS - GRANDE PORTE</t>
  </si>
  <si>
    <t xml:space="preserve">62.24.16</t>
  </si>
  <si>
    <t xml:space="preserve">PLANO DE GERENCIAMENTO DE RESIDUOS DE CONSTRUÇÃO CIVIL (PGRCC) - PONTUAÇÃO 04 OU 05</t>
  </si>
  <si>
    <t xml:space="preserve">62.24.17</t>
  </si>
  <si>
    <t xml:space="preserve">PLANO DE GERENCIAMENTO DE RESIDUOS DE CONSTRUÇÃO CIVIL (PGRCC) - PONTUAÇÃO 06 OU 07</t>
  </si>
  <si>
    <t xml:space="preserve">62.24.18</t>
  </si>
  <si>
    <t xml:space="preserve">PLANO DE GERENCIAMENTO DE RESIDUOS DE CONSTRUÇÃO CIVIL (PGRCC) - PONTUAÇÃO 08 OU 09</t>
  </si>
  <si>
    <t xml:space="preserve">64</t>
  </si>
  <si>
    <t xml:space="preserve">SERVICOS DE GRAFICA</t>
  </si>
  <si>
    <t xml:space="preserve">64.01</t>
  </si>
  <si>
    <t xml:space="preserve">COPIA XEROGRAFICA SULFITE</t>
  </si>
  <si>
    <t xml:space="preserve">64.01.03</t>
  </si>
  <si>
    <t xml:space="preserve">FORMATO A2</t>
  </si>
  <si>
    <t xml:space="preserve">64.01.04</t>
  </si>
  <si>
    <t xml:space="preserve">FORMATO A1</t>
  </si>
  <si>
    <t xml:space="preserve">64.01.05</t>
  </si>
  <si>
    <t xml:space="preserve">FORMATO A0</t>
  </si>
  <si>
    <t xml:space="preserve">64.07</t>
  </si>
  <si>
    <t xml:space="preserve">XEROX SIMPLES OPACO</t>
  </si>
  <si>
    <t xml:space="preserve">64.07.01</t>
  </si>
  <si>
    <t xml:space="preserve">FORMATO A4</t>
  </si>
  <si>
    <t xml:space="preserve">64.07.02</t>
  </si>
  <si>
    <t xml:space="preserve">FORMATO A3</t>
  </si>
  <si>
    <t xml:space="preserve">64.09</t>
  </si>
  <si>
    <t xml:space="preserve">XEROX COLORIDO SULFITE</t>
  </si>
  <si>
    <t xml:space="preserve">64.09.01</t>
  </si>
  <si>
    <t xml:space="preserve">64.09.02</t>
  </si>
  <si>
    <t xml:space="preserve">64.11</t>
  </si>
  <si>
    <t xml:space="preserve">ENCADERNACAO</t>
  </si>
  <si>
    <t xml:space="preserve">64.11.01</t>
  </si>
  <si>
    <t xml:space="preserve">EM CAPA A4 DE ACETATO, PVC/CROMICOTE, C/ ESPIRAL</t>
  </si>
  <si>
    <t xml:space="preserve">64.12</t>
  </si>
  <si>
    <t xml:space="preserve">PLOTAGEM PRETO E BRANCO SULFITE</t>
  </si>
  <si>
    <t xml:space="preserve">64.12.02</t>
  </si>
  <si>
    <t xml:space="preserve">64.12.03</t>
  </si>
  <si>
    <t xml:space="preserve">64.12.04</t>
  </si>
  <si>
    <t xml:space="preserve">64.12.05</t>
  </si>
  <si>
    <t xml:space="preserve">64.12.07</t>
  </si>
  <si>
    <t xml:space="preserve">FORMATO A1 EXTENDIDO</t>
  </si>
  <si>
    <t xml:space="preserve">64.12.08</t>
  </si>
  <si>
    <t xml:space="preserve">FORMATO A0 EXTENDIDO</t>
  </si>
  <si>
    <t xml:space="preserve">64.15</t>
  </si>
  <si>
    <t xml:space="preserve">PLOTAGEM COLORIDA SULFITE</t>
  </si>
  <si>
    <t xml:space="preserve">64.15.01</t>
  </si>
  <si>
    <t xml:space="preserve">64.15.02</t>
  </si>
  <si>
    <t xml:space="preserve">64.15.03</t>
  </si>
  <si>
    <t xml:space="preserve">64.15.04</t>
  </si>
  <si>
    <t xml:space="preserve">64.15.05</t>
  </si>
  <si>
    <t xml:space="preserve">64.15.07</t>
  </si>
  <si>
    <t xml:space="preserve">64.15.08</t>
  </si>
  <si>
    <t xml:space="preserve">64.18</t>
  </si>
  <si>
    <t xml:space="preserve">DIGITALIZAÇÃO DE FORMATOS</t>
  </si>
  <si>
    <t xml:space="preserve">64.18.01</t>
  </si>
  <si>
    <t xml:space="preserve">DIGITALIZAÇÃO DE FORMATOS A0 (PDF OU EQUIVALENTE)</t>
  </si>
  <si>
    <t xml:space="preserve">64.18.02</t>
  </si>
  <si>
    <t xml:space="preserve">DIGITALIZAÇÃO DE FORMATOS A1 (PDF OU EQUIVALENTE)</t>
  </si>
  <si>
    <t xml:space="preserve">64.18.03</t>
  </si>
  <si>
    <t xml:space="preserve">DIGITALIZAÇÃO DE FORMATOS A2 (PDF OU EQUIVALENTE)</t>
  </si>
  <si>
    <t xml:space="preserve">64.18.04</t>
  </si>
  <si>
    <t xml:space="preserve">DIGITALIZAÇÃO DE FORMATOS A3 (PDF OU EQUIVALENTE)</t>
  </si>
  <si>
    <t xml:space="preserve">64.18.05</t>
  </si>
  <si>
    <t xml:space="preserve">DIGITALIZAÇÃO DE FORMATOS A4 (PDF OU EQUIVALENTE)</t>
  </si>
  <si>
    <t xml:space="preserve">65</t>
  </si>
  <si>
    <t xml:space="preserve">INVESTIGACOES GEOTECNICAS</t>
  </si>
  <si>
    <t xml:space="preserve">65.01</t>
  </si>
  <si>
    <t xml:space="preserve">SONDAGEM A PERCUSSAO D= 2 1/2" (SPT)</t>
  </si>
  <si>
    <t xml:space="preserve">65.01.01</t>
  </si>
  <si>
    <t xml:space="preserve">MOBILIZAÇÃO, INST. E DESMOBILIZAÇÃO P/EXECUÇÃO DE SONDAGEM À PERCUSSÃO (NBR 6484:2020)</t>
  </si>
  <si>
    <t xml:space="preserve">65.01.02</t>
  </si>
  <si>
    <t xml:space="preserve">PERFURAÇÃO DE SOLO SONDAGEM À PERCUSSÃO (NBR 6484:2020)</t>
  </si>
  <si>
    <t xml:space="preserve">65.01.03</t>
  </si>
  <si>
    <t xml:space="preserve">DESMONTAGEM, TRANSPORTE E MONTAGEM DE EQUIPAMENTOS DE SONDAGEM A PERCUSSÃO POR FURO</t>
  </si>
  <si>
    <t xml:space="preserve">65.02</t>
  </si>
  <si>
    <t xml:space="preserve">SONDAGEM A TRADO D= 20 CM</t>
  </si>
  <si>
    <t xml:space="preserve">65.02.01</t>
  </si>
  <si>
    <t xml:space="preserve">MOBILIZAÇÃO DE EQUIPAMENTOS DE SONDAGEM A TRADO (NBR 9603:2015) DN 20CM</t>
  </si>
  <si>
    <t xml:space="preserve">65.02.02</t>
  </si>
  <si>
    <t xml:space="preserve">PERFURAÇÃO DE SOLO SONDAGEM A TRADO (NBR 9603:2015) DN 20CM</t>
  </si>
  <si>
    <t xml:space="preserve">65.03</t>
  </si>
  <si>
    <t xml:space="preserve">SONDAGEM (OUTRAS)</t>
  </si>
  <si>
    <t xml:space="preserve">65.03.01</t>
  </si>
  <si>
    <t xml:space="preserve">POÇO DE INSPEÇÃO EM SOLO, SEÇÃO TRANSVERSAL MÍN. 100CM OU CIRCULAR 120CM (NBR 9604:2016)</t>
  </si>
  <si>
    <t xml:space="preserve">65.03.02</t>
  </si>
  <si>
    <t xml:space="preserve">SONDAGEM DE SOLO COM UTILIZAÇÃO DE PA E PICARETA</t>
  </si>
  <si>
    <t xml:space="preserve">65.06</t>
  </si>
  <si>
    <t xml:space="preserve">SONDAGEM ROTATIVA D= NW</t>
  </si>
  <si>
    <t xml:space="preserve">65.06.01</t>
  </si>
  <si>
    <t xml:space="preserve">MOBILIZACAO E DESMOBILIZACAO - SONDAGEM ROTATIVA NW</t>
  </si>
  <si>
    <t xml:space="preserve">65.06.02</t>
  </si>
  <si>
    <t xml:space="preserve">INSTALACAO DE SONDAGEM ROTATIVA NW POR FURO</t>
  </si>
  <si>
    <t xml:space="preserve">65.06.03</t>
  </si>
  <si>
    <t xml:space="preserve">PERFURACAO EM SOLO COM SONDAGEM ROTATIVA NW</t>
  </si>
  <si>
    <t xml:space="preserve">65.06.04</t>
  </si>
  <si>
    <t xml:space="preserve">PERFURACAO COM COROA DE WIDIA SONDAGEM ROTATIVA NW</t>
  </si>
  <si>
    <t xml:space="preserve">65.08</t>
  </si>
  <si>
    <t xml:space="preserve">RETIRADA DE AMOSTRA INDEFORMADA</t>
  </si>
  <si>
    <t xml:space="preserve">65.08.21</t>
  </si>
  <si>
    <t xml:space="preserve">RETIRADA DE AMOSTRA INDEFORMADA EM BLOCOS 30X30X30CM (NBR 9604:2016), PROF =  2 A 3 M</t>
  </si>
  <si>
    <t xml:space="preserve">65.08.22</t>
  </si>
  <si>
    <t xml:space="preserve">RETIRADA DE AMOSTRA INDEFORMADA EM BLOCOS 30X30X30CM (NBR 9604:2016), PROF =  1 A 2 M</t>
  </si>
  <si>
    <t xml:space="preserve">65.08.23</t>
  </si>
  <si>
    <t xml:space="preserve">RETIRADA DE AMOSTRA INDEFORMADA EM BLOCOS 30X30X30CM (NBR 9604:2016), PROF ATÉ 1 M</t>
  </si>
  <si>
    <t xml:space="preserve">66</t>
  </si>
  <si>
    <t xml:space="preserve">ENSAIOS DE ASFALTO</t>
  </si>
  <si>
    <t xml:space="preserve">66.01</t>
  </si>
  <si>
    <t xml:space="preserve">66.01.03</t>
  </si>
  <si>
    <t xml:space="preserve">DENSIDADE APARENTE E MASSA ESPECÍFICA APARENTE DE MISTURAS ASFALTICAS (NBR 15573:2012)</t>
  </si>
  <si>
    <t xml:space="preserve">66.01.05</t>
  </si>
  <si>
    <t xml:space="preserve">ADESIVIDADE DE AGREGADO MIUDO AO LIGANTE BETUMINOSO (NBR 12584:2017)</t>
  </si>
  <si>
    <t xml:space="preserve">66.01.06</t>
  </si>
  <si>
    <t xml:space="preserve">DOSAGEM DE MISTURAS BETUMINOSAS A QUENTE PELO MÉTODO MARSHALL (DNER-ME 043/95)</t>
  </si>
  <si>
    <t xml:space="preserve">66.01.07</t>
  </si>
  <si>
    <t xml:space="preserve">DOSAGEM DE LAMA ASFALTICA CONFORME RECOMENDAÇÕES ISSA (DNIT 150/2010-ES)</t>
  </si>
  <si>
    <t xml:space="preserve">66.01.16</t>
  </si>
  <si>
    <t xml:space="preserve">DETERMINAÇÃO DA PENETRAÇÃO EM MATERIAIS ASFÁLTICOS (NBR 6576:2007)</t>
  </si>
  <si>
    <t xml:space="preserve">66.01.21</t>
  </si>
  <si>
    <t xml:space="preserve">PONTO DE AMOLECIMENTO EM LIGANTES ASFÁLTICOS - MÉTODO DO ANEL E BOLA (NBR 6560:2016)</t>
  </si>
  <si>
    <t xml:space="preserve">66.01.28</t>
  </si>
  <si>
    <t xml:space="preserve">EQUIVALENTE DE AREIA EM AGREGADOS MIUDOS (DNER-ME 054/97) (OU NBR 12052:92)</t>
  </si>
  <si>
    <t xml:space="preserve">66.01.29</t>
  </si>
  <si>
    <t xml:space="preserve">VERIFICAÇÃO DA ADESIVIDADE DE AGREGADO GRAUDO AO LIGANTE BETUMINOSO (NBR 12583:2017)</t>
  </si>
  <si>
    <t xml:space="preserve">67</t>
  </si>
  <si>
    <t xml:space="preserve">ENSAIOS DE SOLO E AGREGADO</t>
  </si>
  <si>
    <t xml:space="preserve">67.01</t>
  </si>
  <si>
    <t xml:space="preserve">ENSAIOS DE SOLO</t>
  </si>
  <si>
    <t xml:space="preserve">67.01.01</t>
  </si>
  <si>
    <t xml:space="preserve">DETERMINAÇÃO DO TEOR DE UMIDADE DE SOLOS EM LABORATORIO (NBR 6457:2016 ANEXO A)</t>
  </si>
  <si>
    <t xml:space="preserve">67.01.03</t>
  </si>
  <si>
    <t xml:space="preserve">MASSA ESPECÍFICA,  MASSA ESPECÍFICA APARENTE E ABSORÇÃO DE ÁGUA (NBR 6458:2016)</t>
  </si>
  <si>
    <t xml:space="preserve">67.01.04</t>
  </si>
  <si>
    <t xml:space="preserve">ANÁLISE GRANULOMETRICA DE SOLOS POR PENEIRAMENTO (NBR 7181:2016)</t>
  </si>
  <si>
    <t xml:space="preserve">67.01.05</t>
  </si>
  <si>
    <t xml:space="preserve">ANÁLISE GRANULOMETRICA DE SOLOS POR PENEIRAMENTO E SEDIMENTAÇÃO (NBR 7181:2016)</t>
  </si>
  <si>
    <t xml:space="preserve">67.01.06</t>
  </si>
  <si>
    <t xml:space="preserve">DETERMINAÇÃO DO LIMITE DE LIQUIDEZ DE SOLOS (NBR 6459:2017)</t>
  </si>
  <si>
    <t xml:space="preserve">67.01.07</t>
  </si>
  <si>
    <t xml:space="preserve">DETERMINAÇÃO DO LIMITE DE PLASTICIDADE DE SOLOS (NBR 7180:2016)</t>
  </si>
  <si>
    <t xml:space="preserve">67.01.08</t>
  </si>
  <si>
    <t xml:space="preserve">DETERMINAÇÃO DOS FATORES DE CONTRAÇÃO DE SOLOS (DNER-ME 087/94)</t>
  </si>
  <si>
    <t xml:space="preserve">67.01.09</t>
  </si>
  <si>
    <t xml:space="preserve">COMPACTAÇÃO DO SOLO ENERGIA PROCTOR NORMAL (NBR 7182:2020) COM 05 CORPOS DE PROVA</t>
  </si>
  <si>
    <t xml:space="preserve">67.01.10</t>
  </si>
  <si>
    <t xml:space="preserve">COMPACTAÇÃO DO SOLO ENERGIA PROCTOR INTERMEDIÁRIO (NBR 7182:2020) COM 05 CORPOS DE PROVA</t>
  </si>
  <si>
    <t xml:space="preserve">67.01.11</t>
  </si>
  <si>
    <t xml:space="preserve">COMPACTAÇÃO DO SOLO ENERGIA PROCTOR MODIFICADO (NBR 7182:2020) COM 05 CORPOS DE PROVA</t>
  </si>
  <si>
    <t xml:space="preserve">67.01.12</t>
  </si>
  <si>
    <t xml:space="preserve">ÍNDICE DE SUPORTE CALIFÓRNIA DE SOLOS (ISC/CBR) C/1 CP (DNIT 172/016-ME / NBR 9895:2017)</t>
  </si>
  <si>
    <t xml:space="preserve">67.01.13</t>
  </si>
  <si>
    <t xml:space="preserve">ÍNDICE DE SUPORTE CALIFÓRNIA DE SOLOS (ISC/CBR) C/3 CP (DNIT 172/016-ME / NBR 9895:2017)</t>
  </si>
  <si>
    <t xml:space="preserve">67.01.14</t>
  </si>
  <si>
    <t xml:space="preserve">ÍNDICE DE SUPORTE CALIFÓRNIA DE SOLOS (ISC/CBR) C/5 CP (DNIT 172/016-ME / NBR 9895:2017)</t>
  </si>
  <si>
    <t xml:space="preserve">67.01.15</t>
  </si>
  <si>
    <t xml:space="preserve">DETERMINAÇÃO DO EQUIVALENTE DE AREIA EM SOLO (DNER-ME 054/97 / NBR 12052:92)</t>
  </si>
  <si>
    <t xml:space="preserve">67.01.17</t>
  </si>
  <si>
    <t xml:space="preserve">DETERMINAÇÃO COLORIMÉTRICA DE IMPUREZAS ORGÂNICAS EM SOLOS (NBR NM 49:2001)</t>
  </si>
  <si>
    <t xml:space="preserve">67.01.18</t>
  </si>
  <si>
    <t xml:space="preserve">ENSAIO DE ADENSAMENTO DE SOLOS (DNER-IE 005/94 - NBR 16853:2020)</t>
  </si>
  <si>
    <t xml:space="preserve">67.01.20</t>
  </si>
  <si>
    <t xml:space="preserve">COEFICIENTE DE PERMEABILIDADE DE SOLOS ARGILOSOS À CARGA VARIÁVEL (NBR 14545:2021)</t>
  </si>
  <si>
    <t xml:space="preserve">67.01.21</t>
  </si>
  <si>
    <t xml:space="preserve">COEFICIENTE DE PERMEABILIDADE DE SOLOS GRANULARES À CARGA CONSTANTE (NBR 13292:2021)</t>
  </si>
  <si>
    <t xml:space="preserve">67.01.22</t>
  </si>
  <si>
    <t xml:space="preserve">RESISTÊNCIA À COMPRESSÃO NÃO CONFINADA - SOLOS COESIVOS (NBR 12770:1992)</t>
  </si>
  <si>
    <t xml:space="preserve">67.01.23</t>
  </si>
  <si>
    <t xml:space="preserve">COMPRESSAO TRIAXIAL RAPIDO NÃO ADENSADO E NÃO DRENADO (Q/UU)</t>
  </si>
  <si>
    <t xml:space="preserve">67.01.24</t>
  </si>
  <si>
    <t xml:space="preserve">COMPRESSAO TRIAXIAL RAPIDO NÃO ADENSADO E NÃO DRENADO (Q/UU) C/MEDIDAS DE PRESSAO NEUTRA</t>
  </si>
  <si>
    <t xml:space="preserve">67.01.25</t>
  </si>
  <si>
    <t xml:space="preserve">COMPRESSAO TRIAXIAL RAPIDO PRE-ADENSADO E NÃO DRENADO (R/CIU)</t>
  </si>
  <si>
    <t xml:space="preserve">67.01.26</t>
  </si>
  <si>
    <t xml:space="preserve">COMPRESSAO TRIAXIAL RAPIDO PRE-ADENSADO (R/CIU) C/MEDIDAS DE PRESSÃO NEUTRA</t>
  </si>
  <si>
    <t xml:space="preserve">67.01.27</t>
  </si>
  <si>
    <t xml:space="preserve">COMPRESSAO TRIAXIAL RAPIDO PRE-ADENSADO SATURADO (R-SAT/CIU-SAT)</t>
  </si>
  <si>
    <t xml:space="preserve">67.01.28</t>
  </si>
  <si>
    <t xml:space="preserve">COMPRESSAO TRIAXIAL RAPIDO PRE-ADENSADO SATURADO (R-SAT/CIU-SAT) C/MEDIDAS PRESSÃO NEUTRA</t>
  </si>
  <si>
    <t xml:space="preserve">67.01.30</t>
  </si>
  <si>
    <t xml:space="preserve">COMPRESSAO TRIAXIAL LENTO SATURADO (CD)</t>
  </si>
  <si>
    <t xml:space="preserve">67.01.31</t>
  </si>
  <si>
    <t xml:space="preserve">ENSAIO DE CISALHAMENTO DIRETO RAPIDO EM SOLOS (NBR ISO 12957-1:2013)</t>
  </si>
  <si>
    <t xml:space="preserve">67.01.32</t>
  </si>
  <si>
    <t xml:space="preserve">ENSAIO DE SOLO - CISALHAMENTO DIRETO RAPIDO SATURADO</t>
  </si>
  <si>
    <t xml:space="preserve">67.01.33</t>
  </si>
  <si>
    <t xml:space="preserve">ENSAIO DE SOLO - CISALHAMENTO DIRETO RAPIDO PRE-ADENSADO</t>
  </si>
  <si>
    <t xml:space="preserve">67.01.34</t>
  </si>
  <si>
    <t xml:space="preserve">ENSAIOD E SOLO - CISALHAMENTO DIRETO RAPIDO SATURADO PRE-ADENSADO</t>
  </si>
  <si>
    <t xml:space="preserve">67.01.35</t>
  </si>
  <si>
    <t xml:space="preserve">ENSAIO DE SOLO - CISALHAMENTO DIRETO LENTO</t>
  </si>
  <si>
    <t xml:space="preserve">67.01.36</t>
  </si>
  <si>
    <t xml:space="preserve">ENSAIO DE SOLO - CISALHAMENTO DIRETO LENTO SATURADO</t>
  </si>
  <si>
    <t xml:space="preserve">67.02</t>
  </si>
  <si>
    <t xml:space="preserve">ENSAIOS DE AGREGADO</t>
  </si>
  <si>
    <t xml:space="preserve">67.02.01</t>
  </si>
  <si>
    <t xml:space="preserve">DETERMINAÇÃO DA COMPOSIÇÃO GRANULOMÉTRICA - AGREGADOS (NBR NM 248:2003)</t>
  </si>
  <si>
    <t xml:space="preserve">67.02.02</t>
  </si>
  <si>
    <t xml:space="preserve">DETERMINAÇÃO DO TEOR DE ARGILA EM TORRÕES - AGREGADOS (NBR 7218:2010)</t>
  </si>
  <si>
    <t xml:space="preserve">67.02.03</t>
  </si>
  <si>
    <t xml:space="preserve">DETERMINAÇÃO DO MATERIAL FINO QUE PASSA PELA PENEIRA 75 µm POR LAVAGEM (NBR 16973:2021)</t>
  </si>
  <si>
    <t xml:space="preserve">67.02.04</t>
  </si>
  <si>
    <t xml:space="preserve">DETERMINAÇÃO COLORIMÉTRICA DE IMPUREZAS ORGÂNICAS EM AGREGADO MIÚDO (NBR NM 49:2001)</t>
  </si>
  <si>
    <t xml:space="preserve">67.02.05</t>
  </si>
  <si>
    <t xml:space="preserve">DETERMINAÇÃO DA MASSA UNITÁRIA E DO VOLUME DE VAZIOS - AGREGADOS (NBR 16972:2021)</t>
  </si>
  <si>
    <t xml:space="preserve">67.02.06</t>
  </si>
  <si>
    <t xml:space="preserve">DETERMINAÇÃO MASSA ESPECÍFICA AGREGADOS MIUDOS FRASCO CHAPMAN (NBR 9775:2011)</t>
  </si>
  <si>
    <t xml:space="preserve">67.02.07</t>
  </si>
  <si>
    <t xml:space="preserve">INDICE DE DESEMPENHO DE AGREGADO MIÚDO CONTENDO IMPUREZAS ORGÂNICAS (NBR 7221:2012)</t>
  </si>
  <si>
    <t xml:space="preserve">67.02.08</t>
  </si>
  <si>
    <t xml:space="preserve">DETERMINAÇÃO DA CURVA DE INCHAMENTO DE AGREGADO MIUDO (NBR 6467:2009)</t>
  </si>
  <si>
    <t xml:space="preserve">67.02.09</t>
  </si>
  <si>
    <t xml:space="preserve">RESISTÊNCIA DE AGREGADO GRAÚDO AO DESGASTE POR ABRASÃO - LOS ANGELES (NBR 16974:2021)</t>
  </si>
  <si>
    <t xml:space="preserve">67.02.12</t>
  </si>
  <si>
    <t xml:space="preserve">DETERMINAÇÃO DO INDICE DE FORMA PELO MÉTODO DO PAQUÍMETRO (NBR 7809:2019)</t>
  </si>
  <si>
    <t xml:space="preserve">67.02.13</t>
  </si>
  <si>
    <t xml:space="preserve">DURABILIDADE DE AGREGADOS - SOLUÇÕES DE SULFATO DE SÓDIO OU DE MAGNÉSIO (DNER-ME 089/94)</t>
  </si>
  <si>
    <t xml:space="preserve">68</t>
  </si>
  <si>
    <t xml:space="preserve">ENSAIOS DE CIMENTO, CALDA, ARGAMASSA E CONCRETO</t>
  </si>
  <si>
    <t xml:space="preserve">68.01</t>
  </si>
  <si>
    <t xml:space="preserve">ENSAIOS DE CIMENTO PORTLAND</t>
  </si>
  <si>
    <t xml:space="preserve">68.01.01</t>
  </si>
  <si>
    <t xml:space="preserve">ÍNDICE DE FINURA DE CIMENTO PORTLAND POR MEIO DA PENEIRA 0,075MM (NBR 11579:2012)</t>
  </si>
  <si>
    <t xml:space="preserve">68.01.02</t>
  </si>
  <si>
    <t xml:space="preserve">TEMPO DE PEGA DA PASTA DE CIMENTO PORTLAND COM APARELHO VICAT (NBR 16.607:2018)</t>
  </si>
  <si>
    <t xml:space="preserve">68.01.03</t>
  </si>
  <si>
    <t xml:space="preserve">DETERMINAÇÃO DA EXPANSIBILIDADE DE LE CHATELIER - CIMENTO PORTLAND (NBR 11582:206)</t>
  </si>
  <si>
    <t xml:space="preserve">68.01.04</t>
  </si>
  <si>
    <t xml:space="preserve">RESISTÊNCIA À COMPRESSÃO CORPOS DE PROVA CILÍNDRICOS - CIMENTO PORTLAND (NBR 7215:2019)</t>
  </si>
  <si>
    <t xml:space="preserve">68.01.05</t>
  </si>
  <si>
    <t xml:space="preserve">SUPERFÍCIE ESPECÍFICA DO CIMENTO PORTLAND - MÉTODO DE BLAINE (NBR 16372:2015)</t>
  </si>
  <si>
    <t xml:space="preserve">68.01.06</t>
  </si>
  <si>
    <t xml:space="preserve">DETERMINAÇÃO DA MASSA ESPECÍFICA DE CIMENTO PORTLAND (NBR 16605:2017)</t>
  </si>
  <si>
    <t xml:space="preserve">68.01.07</t>
  </si>
  <si>
    <t xml:space="preserve">ANÁLISE QUÍMICA DE CIMENTO PORTLAND  (NBR NM 14:2012)</t>
  </si>
  <si>
    <t xml:space="preserve">68.02</t>
  </si>
  <si>
    <t xml:space="preserve">ENSAIOS DE CALDA DE CIMENTO</t>
  </si>
  <si>
    <t xml:space="preserve">68.02.01</t>
  </si>
  <si>
    <t xml:space="preserve">DETERMINAÇÃO DO ÍNDICE DE FLUIDEZ - CALDA DE CIMENTO PARA INJEÇÃO (NBR 7681-2:2013 )</t>
  </si>
  <si>
    <t xml:space="preserve">68.02.02</t>
  </si>
  <si>
    <t xml:space="preserve">ÍNDICES DE EXSUDAÇÃO E EXPANSÃO - CALDA DE CIMENTO PARA INJEÇÃO (NBR 7681-3:2013)</t>
  </si>
  <si>
    <t xml:space="preserve">68.02.03</t>
  </si>
  <si>
    <t xml:space="preserve">DETERMINAÇÃO DA VIDA ÚTIL - CALDA DE CIMENTO PARA INJEÇÃO (NBR 7681-2:2013 )</t>
  </si>
  <si>
    <t xml:space="preserve">68.02.04</t>
  </si>
  <si>
    <t xml:space="preserve">RESISTÊNCIA À COMPRESSÃO - CALDA DE CIMENTO PARA INJEÇÃO (NBR 7681-4:2013)</t>
  </si>
  <si>
    <t xml:space="preserve">68.03</t>
  </si>
  <si>
    <t xml:space="preserve">ENSAIOS DE ARGAMASSA</t>
  </si>
  <si>
    <t xml:space="preserve">68.03.01</t>
  </si>
  <si>
    <t xml:space="preserve">DETERMINAÇÃO DA RESISTÊNCIA À COMPRESSÃO DA ARGAMASSA (NBR 16868:2020)</t>
  </si>
  <si>
    <t xml:space="preserve">68.03.03</t>
  </si>
  <si>
    <t xml:space="preserve">DOSAGEM RACIONAL DE ARGAMASSA EM PESO E/OU VOLUME</t>
  </si>
  <si>
    <t xml:space="preserve">68.03.04</t>
  </si>
  <si>
    <t xml:space="preserve">RESISTÊNCIA À TRAÇÃO POR COMPRESSÃO DIAMETRAL DE CP CILÍNDRICO ARGAMASSA (NBR 7222:2011)</t>
  </si>
  <si>
    <t xml:space="preserve">68.04</t>
  </si>
  <si>
    <t xml:space="preserve">ENSAIOS DE CONCRETO</t>
  </si>
  <si>
    <t xml:space="preserve">68.04.01</t>
  </si>
  <si>
    <t xml:space="preserve">DOSAGEM RACIONAL DE CONCRETO EM PESO E/OU VOLUME</t>
  </si>
  <si>
    <t xml:space="preserve">68.04.02</t>
  </si>
  <si>
    <t xml:space="preserve">VERIFICAÇÃO E AJUSTE DO TRAÇO DE CONCRETO</t>
  </si>
  <si>
    <t xml:space="preserve">68.04.03</t>
  </si>
  <si>
    <t xml:space="preserve">RESIST. À COMPRESSÃO CP CILÍNDRICO CONCRETO CURA/FACEAMENTO/ROMPIMENTO (NBR 5739:2018)</t>
  </si>
  <si>
    <t xml:space="preserve">68.04.04</t>
  </si>
  <si>
    <t xml:space="preserve">RESIST. À COMPRESSÃO CP CILÍNDRICO CONCRETO MOLD/TRANSP/CURA/FACEAM/ROMP (NBR 5739:2018)</t>
  </si>
  <si>
    <t xml:space="preserve">68.04.05</t>
  </si>
  <si>
    <t xml:space="preserve">RESIST. A TRAÇÃO POR COMPRESSÃO DIAMETRAL CP CILÍNDRICOS CONCRETO (NBR 7222:2011)</t>
  </si>
  <si>
    <t xml:space="preserve">68.04.07</t>
  </si>
  <si>
    <t xml:space="preserve">CONSISTÊNCIA DO CONCRETO PELO ABATIMENTO DO TRONCO DE CONE - SLUMP TEST (NBR 16889:2020)</t>
  </si>
  <si>
    <t xml:space="preserve">68.04.08</t>
  </si>
  <si>
    <t xml:space="preserve">AVALIAÇÃO DA DUREZA SUPERFICIAL PELO ESCLERÔMETRO - CONCRETO ENDURECIDO (NBR 7584:2012)</t>
  </si>
  <si>
    <t xml:space="preserve">68.04.09</t>
  </si>
  <si>
    <t xml:space="preserve">EXTRAÇAO/PREPARO/ENSAIO/ANALISE DE TESTEMUNHO D=3" EM ESTRUT. CONCRETO (NBR 7680-1:2015)</t>
  </si>
  <si>
    <t xml:space="preserve">68.04.10</t>
  </si>
  <si>
    <t xml:space="preserve">EXTRAÇAO/PREPARO/ENSAIO/ANALISE DE TESTEMUNHO D=4" EM ESTRUT. CONCRETO (NBR 7680-1:2015)</t>
  </si>
  <si>
    <t xml:space="preserve">69</t>
  </si>
  <si>
    <t xml:space="preserve">ENSAIOS DE ACO, BLOCO, MADEIRA,TELHA,TIJOLO E TUBO</t>
  </si>
  <si>
    <t xml:space="preserve">69.01</t>
  </si>
  <si>
    <t xml:space="preserve">ENSAIOS DE ACO</t>
  </si>
  <si>
    <t xml:space="preserve">69.01.01</t>
  </si>
  <si>
    <t xml:space="preserve">TRAÇÃO/DESBITOLAMENTO BARRAS DE AÇO D &lt;= 16 MM, TEMP. AMBIENTE (NBR 6892-1:2013)</t>
  </si>
  <si>
    <t xml:space="preserve">CP</t>
  </si>
  <si>
    <t xml:space="preserve">69.01.02</t>
  </si>
  <si>
    <t xml:space="preserve">TRAÇÃO/DESBITOLAMENTO BARRAS DE AÇO 16 &lt; D &lt;= 25 MM, TEMP. AMBIENTE (NBR 6892-1:2013)</t>
  </si>
  <si>
    <t xml:space="preserve">69.01.03</t>
  </si>
  <si>
    <t xml:space="preserve">TRAÇÃO/DESBITOLAMENTO EM BARRAS DE AÇO D &gt; 25 MM, TEMP. AMBIENTE (NBR 6892-1:2013)</t>
  </si>
  <si>
    <t xml:space="preserve">69.01.04</t>
  </si>
  <si>
    <t xml:space="preserve">DOBRAMENTO SEMI-GUIADO EM BARRAS DE AÇO (NBR 7438:2016)</t>
  </si>
  <si>
    <t xml:space="preserve">69.01.05</t>
  </si>
  <si>
    <t xml:space="preserve">TRAÇÃO EM FIOS, BARRAS E CORDOALHAS DE AÇO PARA ARMADURA DE PROTENSÃO (NBR 6349:2008)</t>
  </si>
  <si>
    <t xml:space="preserve">69.02</t>
  </si>
  <si>
    <t xml:space="preserve">ENSAIOS DE BLOCOS DE CONCRETO</t>
  </si>
  <si>
    <t xml:space="preserve">69.02.01</t>
  </si>
  <si>
    <t xml:space="preserve">ENSAIO DE RESISTÊNCIA À COMPRESSÃO EM BLOCO DE CONCRETO (NBR 12118:2014)</t>
  </si>
  <si>
    <t xml:space="preserve">69.02.02</t>
  </si>
  <si>
    <t xml:space="preserve">ANÁLISE DIMENSIONAL, ABSORÇÃO E  ÁREA LIQUIDA EM BLOCO DE CONCRETO (NBR 12118:2014)</t>
  </si>
  <si>
    <t xml:space="preserve">69.03</t>
  </si>
  <si>
    <t xml:space="preserve">ENSAIOS DE BLOCOS CERAMICOS</t>
  </si>
  <si>
    <t xml:space="preserve">69.03.01</t>
  </si>
  <si>
    <t xml:space="preserve">RESISTÊNCIA À COMPRESSÃO EM BLOCOS CERÂMICOS ESTRUTURAIS E DE VEDAÇÃO (NBR 15270:2017)</t>
  </si>
  <si>
    <t xml:space="preserve">69.03.02</t>
  </si>
  <si>
    <t xml:space="preserve">CARACTERÍSTICAS GEOMÉTRICAS/ABSORÇÃO BLOCOS CERÂMICOS ESTRUT./VEDAÇÃO (NBR 15270:2017)</t>
  </si>
  <si>
    <t xml:space="preserve">TABELA DE INSUMOS UTILIZADOS NAS COMPOSIÇÕES DE CONSULTORIA</t>
  </si>
  <si>
    <t xml:space="preserve">50.05.10</t>
  </si>
  <si>
    <t xml:space="preserve">CHP/BETONEIRA 320 L, SEM CARREGADOR</t>
  </si>
  <si>
    <t xml:space="preserve">50.05.11</t>
  </si>
  <si>
    <t xml:space="preserve">CHI/BETONEIRA 320 L, SEM CARREGADOR</t>
  </si>
  <si>
    <t xml:space="preserve">50.20.18</t>
  </si>
  <si>
    <t xml:space="preserve">CHP/ESCAVADEIRA HIDRAULICA SOBRE ESTEIRAS, CACAMBA 0,98M3, PESO OPERACIONAL 17T, POTENCIA BRUTA 119HP, OU EQUIVALENTE</t>
  </si>
  <si>
    <t xml:space="preserve">50.20.19</t>
  </si>
  <si>
    <t xml:space="preserve">CHI/ESCAVADEIRA HIDRAULICA SOBRE ESTEIRAS, CACAMBA 0,98M3, PESO OPERACIONAL 17T, POTENCIA BRUTA 119HP, OU EQUIVALENTE</t>
  </si>
  <si>
    <t xml:space="preserve">50.41.15</t>
  </si>
  <si>
    <t xml:space="preserve">CHP DE IMPRESSORA MULTIFUNCIONAL A3</t>
  </si>
  <si>
    <t xml:space="preserve">50.43.01</t>
  </si>
  <si>
    <t xml:space="preserve">CHP - TERRÔMETRO 20 KO E RESISTIVIDADE DO SOLO </t>
  </si>
  <si>
    <t xml:space="preserve">50.43.02</t>
  </si>
  <si>
    <t xml:space="preserve">CHI - TERRÔMETRO 20 KO E RESISTIVIDADE DO SOLO </t>
  </si>
  <si>
    <t xml:space="preserve">54.40.04</t>
  </si>
  <si>
    <t xml:space="preserve">LOCAÇÃO VEÍCULO UTILITÁRIO 4 PORTAS E 7 LUGARES C/ SEGURO</t>
  </si>
  <si>
    <t xml:space="preserve">54.40.06</t>
  </si>
  <si>
    <t xml:space="preserve">LOCAÇÃO VEÍCULO POPULAR MOTOR 1.0 C/ AR E SEGURO</t>
  </si>
  <si>
    <t xml:space="preserve">55.05.21</t>
  </si>
  <si>
    <t xml:space="preserve">OPERADOR DE BETONEIRA</t>
  </si>
  <si>
    <t xml:space="preserve">55.05.35</t>
  </si>
  <si>
    <t xml:space="preserve">MOTORISTA DE VEICULO LEVE</t>
  </si>
  <si>
    <t xml:space="preserve">55.10.05</t>
  </si>
  <si>
    <t xml:space="preserve">AJUDANTE</t>
  </si>
  <si>
    <t xml:space="preserve">55.10.35</t>
  </si>
  <si>
    <t xml:space="preserve">ARMADOR</t>
  </si>
  <si>
    <t xml:space="preserve">55.10.50</t>
  </si>
  <si>
    <t xml:space="preserve">CARPINTEIRO</t>
  </si>
  <si>
    <t xml:space="preserve">55.10.88</t>
  </si>
  <si>
    <t xml:space="preserve">55.10.92</t>
  </si>
  <si>
    <t xml:space="preserve">AUXILIAR ADMINISTRATIVO</t>
  </si>
  <si>
    <t xml:space="preserve">55.10.94</t>
  </si>
  <si>
    <t xml:space="preserve">55.20.05</t>
  </si>
  <si>
    <t xml:space="preserve">ENGENHEIRO DE OBRA INTERMEDIARIO</t>
  </si>
  <si>
    <t xml:space="preserve">56.11.01</t>
  </si>
  <si>
    <t xml:space="preserve">ENGENHEIRO CONSULTOR ESPECIAL - PROJETO</t>
  </si>
  <si>
    <t xml:space="preserve">56.11.02</t>
  </si>
  <si>
    <t xml:space="preserve">ENGENHEIRO CONSULTOR - PROJETO</t>
  </si>
  <si>
    <t xml:space="preserve">56.11.03</t>
  </si>
  <si>
    <t xml:space="preserve">ENGENHEIRO COORDENADOR - PROJETO</t>
  </si>
  <si>
    <t xml:space="preserve">56.11.04</t>
  </si>
  <si>
    <t xml:space="preserve">ENGENHEIRO SENIOR - PROJETO</t>
  </si>
  <si>
    <t xml:space="preserve">56.11.05</t>
  </si>
  <si>
    <t xml:space="preserve">ENGENHEIRO INTERMEDIARIO - PROJETO</t>
  </si>
  <si>
    <t xml:space="preserve">56.11.06</t>
  </si>
  <si>
    <t xml:space="preserve">ENGENHEIRO JUNIOR - PROJETO</t>
  </si>
  <si>
    <t xml:space="preserve">56.11.07</t>
  </si>
  <si>
    <t xml:space="preserve">ENGENHEIRO TRAINEE PROJETO</t>
  </si>
  <si>
    <t xml:space="preserve">56.11.08</t>
  </si>
  <si>
    <t xml:space="preserve">ARQUITETO CONSULTOR ESPECIAL PROJETO</t>
  </si>
  <si>
    <t xml:space="preserve">56.11.09</t>
  </si>
  <si>
    <t xml:space="preserve">ARQUITETO CONSULTOR PROJETO</t>
  </si>
  <si>
    <t xml:space="preserve">56.11.10</t>
  </si>
  <si>
    <t xml:space="preserve">ARQUITETO COORDENADOR PROJETO</t>
  </si>
  <si>
    <t xml:space="preserve">56.11.11</t>
  </si>
  <si>
    <t xml:space="preserve">ARQUITETO SÊNIOR PROJETO</t>
  </si>
  <si>
    <t xml:space="preserve">56.11.12</t>
  </si>
  <si>
    <t xml:space="preserve">ARQUITETO INTERMEDIÁRIO PROJETO</t>
  </si>
  <si>
    <t xml:space="preserve">56.11.13</t>
  </si>
  <si>
    <t xml:space="preserve">ARQUITETO JÚNIOR PROJETO</t>
  </si>
  <si>
    <t xml:space="preserve">56.11.14</t>
  </si>
  <si>
    <t xml:space="preserve">ARQUITETO TRAINEE PROJETO</t>
  </si>
  <si>
    <t xml:space="preserve">56.11.15</t>
  </si>
  <si>
    <t xml:space="preserve">56.11.16</t>
  </si>
  <si>
    <t xml:space="preserve">56.11.17</t>
  </si>
  <si>
    <t xml:space="preserve">56.12.01</t>
  </si>
  <si>
    <t xml:space="preserve">AUXILIAR DE ENGENHARIA - PROJETO</t>
  </si>
  <si>
    <t xml:space="preserve">56.12.02</t>
  </si>
  <si>
    <t xml:space="preserve">AUX. ARQUITETURA P/ PROJETOS</t>
  </si>
  <si>
    <t xml:space="preserve">56.13.01</t>
  </si>
  <si>
    <t xml:space="preserve">PROJETISTA SENIOR - PROJETO</t>
  </si>
  <si>
    <t xml:space="preserve">56.13.02</t>
  </si>
  <si>
    <t xml:space="preserve">PROJETISTA INTERMEDIARIO - PROJETO</t>
  </si>
  <si>
    <t xml:space="preserve">56.13.03</t>
  </si>
  <si>
    <t xml:space="preserve">PROJETISTA JUNIOR - PROJETO</t>
  </si>
  <si>
    <t xml:space="preserve">56.13.04</t>
  </si>
  <si>
    <t xml:space="preserve">PROJETISTA CADISTA - PROJETO</t>
  </si>
  <si>
    <t xml:space="preserve">56.14.01</t>
  </si>
  <si>
    <t xml:space="preserve">TECNICO SENIOR - PROJETO</t>
  </si>
  <si>
    <t xml:space="preserve">56.14.02</t>
  </si>
  <si>
    <t xml:space="preserve">TECNICO INTERMEDIARIO - PROJETO</t>
  </si>
  <si>
    <t xml:space="preserve">56.14.03</t>
  </si>
  <si>
    <t xml:space="preserve">TECNICO JUNIOR - PROJETO</t>
  </si>
  <si>
    <t xml:space="preserve">56.15.01</t>
  </si>
  <si>
    <t xml:space="preserve">DESENHISTA PROJETISTA - PROJETO</t>
  </si>
  <si>
    <t xml:space="preserve">56.15.02</t>
  </si>
  <si>
    <t xml:space="preserve">DESENHISTA TECNICO / CADISTA - PROJETO</t>
  </si>
  <si>
    <t xml:space="preserve">56.15.03</t>
  </si>
  <si>
    <t xml:space="preserve">DESENHISTA COPISTA - PROJETO</t>
  </si>
  <si>
    <t xml:space="preserve">56.16.01</t>
  </si>
  <si>
    <t xml:space="preserve">AUXILIAR ADMINISTRATIVO SENIOR - PROJETO</t>
  </si>
  <si>
    <t xml:space="preserve">56.16.02</t>
  </si>
  <si>
    <t xml:space="preserve">AUXILIAR ADMINISTRATIVO INTERMEDIARIO - PROJETO</t>
  </si>
  <si>
    <t xml:space="preserve">56.16.03</t>
  </si>
  <si>
    <t xml:space="preserve">AUXILIAR ADMINISTRATIVO JUNIOR - PROJETO</t>
  </si>
  <si>
    <t xml:space="preserve">56.16.05</t>
  </si>
  <si>
    <t xml:space="preserve">ASSISTENTE SOCIAL - PROJETO</t>
  </si>
  <si>
    <t xml:space="preserve">57.21.01</t>
  </si>
  <si>
    <t xml:space="preserve">ENGENHEIRO CONSULTOR - SUPERVISAO</t>
  </si>
  <si>
    <t xml:space="preserve">57.21.02</t>
  </si>
  <si>
    <t xml:space="preserve">ENGENHEIRO COORDENADOR - SUPERVISAO</t>
  </si>
  <si>
    <t xml:space="preserve">57.21.03</t>
  </si>
  <si>
    <t xml:space="preserve">ENGENHEIRO SENIOR - SUPERVISAO</t>
  </si>
  <si>
    <t xml:space="preserve">57.21.04</t>
  </si>
  <si>
    <t xml:space="preserve">ENGENHEIRO INTERMEDIARIO - SUPERVISAO</t>
  </si>
  <si>
    <t xml:space="preserve">57.21.05</t>
  </si>
  <si>
    <t xml:space="preserve">ENGENHEIRO JUNIOR - SUPERVISAO</t>
  </si>
  <si>
    <t xml:space="preserve">57.21.06</t>
  </si>
  <si>
    <t xml:space="preserve">ENGENHEIRO TRAINEE SUPERVISÃO</t>
  </si>
  <si>
    <t xml:space="preserve">57.21.07</t>
  </si>
  <si>
    <t xml:space="preserve">ARQUITETO CONSULTOR SUPERVISÃO</t>
  </si>
  <si>
    <t xml:space="preserve">57.21.08</t>
  </si>
  <si>
    <t xml:space="preserve">ARQUITETO COORDENADOR SUPERVISÃO</t>
  </si>
  <si>
    <t xml:space="preserve">57.21.09</t>
  </si>
  <si>
    <t xml:space="preserve">ARQUITETO SÊNIOR SUPERVISÃO</t>
  </si>
  <si>
    <t xml:space="preserve">57.21.10</t>
  </si>
  <si>
    <t xml:space="preserve">ARQUITETO INTERMEDIÁRIO SUPERVISÃO</t>
  </si>
  <si>
    <t xml:space="preserve">57.21.11</t>
  </si>
  <si>
    <t xml:space="preserve">ARQUITETO JÚNIOR SUPERVISÃO</t>
  </si>
  <si>
    <t xml:space="preserve">57.21.12</t>
  </si>
  <si>
    <t xml:space="preserve">ARQUITETO TRAINEE SUPERVISÃO</t>
  </si>
  <si>
    <t xml:space="preserve">57.22.01</t>
  </si>
  <si>
    <t xml:space="preserve">AUXILIAR DE ENGENHARIA - SUPERVISAO</t>
  </si>
  <si>
    <t xml:space="preserve">57.22.02</t>
  </si>
  <si>
    <t xml:space="preserve">AUXILIAR DE ARQUITETURA P/ OBRAS</t>
  </si>
  <si>
    <t xml:space="preserve">57.23.01</t>
  </si>
  <si>
    <t xml:space="preserve">TECNICO SENIOR - SUPERVISAO</t>
  </si>
  <si>
    <t xml:space="preserve">57.23.02</t>
  </si>
  <si>
    <t xml:space="preserve">TECNICO INTERMEDIARIO - SUPERVISAO</t>
  </si>
  <si>
    <t xml:space="preserve">57.23.03</t>
  </si>
  <si>
    <t xml:space="preserve">TECNICO JUNIOR - SUPERVISAO</t>
  </si>
  <si>
    <t xml:space="preserve">57.24.01</t>
  </si>
  <si>
    <t xml:space="preserve">DESENHISTA PROJETISTA - SUPERVISAO</t>
  </si>
  <si>
    <t xml:space="preserve">57.24.02</t>
  </si>
  <si>
    <t xml:space="preserve">DESENHISTA TECNICO/CADISTA - SUPERVISAO</t>
  </si>
  <si>
    <t xml:space="preserve">57.24.03</t>
  </si>
  <si>
    <t xml:space="preserve">DESENHISTA COPISTA - SUPERVISAO</t>
  </si>
  <si>
    <t xml:space="preserve">57.31.01</t>
  </si>
  <si>
    <t xml:space="preserve">TOPOGRAFO SENIOR - SUPERVISAO</t>
  </si>
  <si>
    <t xml:space="preserve">57.31.02</t>
  </si>
  <si>
    <t xml:space="preserve">TOPOGRAFO INTERMEDIARIO - SUPERVISAO</t>
  </si>
  <si>
    <t xml:space="preserve">57.31.03</t>
  </si>
  <si>
    <t xml:space="preserve">TOPOGRAFO JUNIOR - SUPERVISAO</t>
  </si>
  <si>
    <t xml:space="preserve">57.31.04</t>
  </si>
  <si>
    <t xml:space="preserve">NIVELADOR - SUPERVISAO</t>
  </si>
  <si>
    <t xml:space="preserve">57.31.05</t>
  </si>
  <si>
    <t xml:space="preserve">BALIZA - SUPERVISAO</t>
  </si>
  <si>
    <t xml:space="preserve">57.31.06</t>
  </si>
  <si>
    <t xml:space="preserve">AJUDANTE DE TOPOGRAFIA - SUPERVISAO</t>
  </si>
  <si>
    <t xml:space="preserve">57.32.01</t>
  </si>
  <si>
    <t xml:space="preserve">LABORATORISTA SENIOR - SUPERVISAO</t>
  </si>
  <si>
    <t xml:space="preserve">57.32.02</t>
  </si>
  <si>
    <t xml:space="preserve">LABORATORISTA JUNIOR - SUPERVISAO</t>
  </si>
  <si>
    <t xml:space="preserve">57.32.03</t>
  </si>
  <si>
    <t xml:space="preserve">AUXILIAR DE LABORATORIO - SUPERVISAO</t>
  </si>
  <si>
    <t xml:space="preserve">57.34.01</t>
  </si>
  <si>
    <t xml:space="preserve">MOTORISTA - SUPERVISAO</t>
  </si>
  <si>
    <t xml:space="preserve">57.34.02</t>
  </si>
  <si>
    <t xml:space="preserve">APONTADOR - SUPERVISAO</t>
  </si>
  <si>
    <t xml:space="preserve">57.34.03</t>
  </si>
  <si>
    <t xml:space="preserve">SERVENTE - SUPERVISAO</t>
  </si>
  <si>
    <t xml:space="preserve">60.05.29</t>
  </si>
  <si>
    <t xml:space="preserve">ACO CA-50, 10,0 MM, VERGALHAO</t>
  </si>
  <si>
    <t xml:space="preserve">60.05.91</t>
  </si>
  <si>
    <t xml:space="preserve">ESPAÇADOR / DISTANCIADOR CIRCULAR COM ENTRADA LATERAL, EM PLASTICO, PARA VERGALHAO *4,2 A 12,5* MM, COBRIMENTO 20 MM</t>
  </si>
  <si>
    <t xml:space="preserve">60.35.44</t>
  </si>
  <si>
    <t xml:space="preserve">ARAME RECOZIDO (PG-7) 18 BWG, 1,24 MM (0,009 KG/M)          </t>
  </si>
  <si>
    <t xml:space="preserve">62.01.05</t>
  </si>
  <si>
    <t xml:space="preserve">CIMENTO PORTLAND COMUM    ( CPIII-40 )  SC 50KG</t>
  </si>
  <si>
    <t xml:space="preserve">CIMENTO PORTLAND BRANCO CP-32 (ESTRUTURAL) SC 50KG</t>
  </si>
  <si>
    <t xml:space="preserve">ARGAMASSA COLANTE AC-II</t>
  </si>
  <si>
    <t xml:space="preserve">62.03.22</t>
  </si>
  <si>
    <t xml:space="preserve">REJUNTE BRANCO, CIMENTICIO   </t>
  </si>
  <si>
    <t xml:space="preserve">CAL VIRGEM COMUM PARA ARGAMASSAS (NBR 6453)   </t>
  </si>
  <si>
    <t xml:space="preserve">63.01.03</t>
  </si>
  <si>
    <t xml:space="preserve">BRITAS 1, 2 OU 3, CALCÁRIA COM FRETE</t>
  </si>
  <si>
    <t xml:space="preserve">63.05.05</t>
  </si>
  <si>
    <t xml:space="preserve">AREIA LAVADA COM FRETE</t>
  </si>
  <si>
    <t xml:space="preserve">LAJE DE REDUCAO 1,30 METROS</t>
  </si>
  <si>
    <t xml:space="preserve">66.01.01</t>
  </si>
  <si>
    <t xml:space="preserve">LOCACAO DE ANDAIME METALICO TIPO FACHADEIRO, LARGURA DE 1,20 M, ALTURA POR PECA DE 2,0 M, INCLUINDO SAPATAS E ITENS NECESSARIOS A INSTALACAO</t>
  </si>
  <si>
    <t xml:space="preserve">M2MES</t>
  </si>
  <si>
    <t xml:space="preserve">66.01.02</t>
  </si>
  <si>
    <t xml:space="preserve">ANDAIME FACHADEIRO INCLUSIVE FORRO METALICO</t>
  </si>
  <si>
    <t xml:space="preserve">TELHA CERAMICA TIPO FRANCESA, COMPRIMENTO DE *40* CM, RENDIMENTO DE *16* TELHAS/M2</t>
  </si>
  <si>
    <t xml:space="preserve">TELHA CERAMICA TIPO PLAN, COMPRIMENTO DE *47* CM, RENDIMENTO DE *26* TELHAS/M2</t>
  </si>
  <si>
    <t xml:space="preserve">TELHA DE FIBROCIMENTO ONDULADA E = 4 MM, DE 1,22 X 0,50 M (SEM AMIANTO)</t>
  </si>
  <si>
    <t xml:space="preserve">TELHA DE FIBROCIMENTO ONDULADA E = 6 MM, DE 1,53 X 1,10 M (SEM AMIANTO)</t>
  </si>
  <si>
    <t xml:space="preserve">ETANOL</t>
  </si>
  <si>
    <t xml:space="preserve">68.01.25</t>
  </si>
  <si>
    <t xml:space="preserve">GASOLINA COMUM</t>
  </si>
  <si>
    <t xml:space="preserve">71.01.07</t>
  </si>
  <si>
    <t xml:space="preserve">TABUA DE PINUS EXP.= 1" L=25 CM</t>
  </si>
  <si>
    <t xml:space="preserve">71.04.08</t>
  </si>
  <si>
    <t xml:space="preserve">PECA DE MADEIRA DE PINUS 5,5X5,5 CM</t>
  </si>
  <si>
    <t xml:space="preserve">77.05.51</t>
  </si>
  <si>
    <t xml:space="preserve">PREGO DE ACO POLIDO COM CABECA 18 X 30 (2 3/4 X 10)</t>
  </si>
  <si>
    <t xml:space="preserve">83.17.50</t>
  </si>
  <si>
    <t xml:space="preserve">CHAPINHA DE ALUMINIO/LATAO D=3CM C.NUMERO IMPRESSO</t>
  </si>
  <si>
    <t xml:space="preserve">83.25.51</t>
  </si>
  <si>
    <t xml:space="preserve">SMARTPHONE</t>
  </si>
  <si>
    <t xml:space="preserve">83.25.52</t>
  </si>
  <si>
    <t xml:space="preserve">TRENA A LASER COM ALCANCE DE 50 METROS</t>
  </si>
  <si>
    <t xml:space="preserve">83.25.53</t>
  </si>
  <si>
    <t xml:space="preserve">TRENA DE LONA DE 20 METROS</t>
  </si>
  <si>
    <t xml:space="preserve">83.25.54</t>
  </si>
  <si>
    <t xml:space="preserve">IMPRESSORA MULTIFUNCIONAL A3</t>
  </si>
  <si>
    <t xml:space="preserve">93.20.06</t>
  </si>
  <si>
    <t xml:space="preserve">NIVEL WILD N3 C/MICROMETRO (PRECISAO +/- 0,2 MM) OU EQUIVALENTE</t>
  </si>
  <si>
    <t xml:space="preserve">93.21.01</t>
  </si>
  <si>
    <t xml:space="preserve">ESTACAO TOTAL PRECISAO MINIMA 2MM ALCANCE &gt;=2500M</t>
  </si>
  <si>
    <t xml:space="preserve">93.21.03</t>
  </si>
  <si>
    <t xml:space="preserve">RECEPTOR GPS P/ SISTEMA GNSS L1/L2 - PAR</t>
  </si>
  <si>
    <t xml:space="preserve">93.21.04</t>
  </si>
  <si>
    <t xml:space="preserve">TERRÔMETRO 20 KO E RESISTIVIDADE DO SOLO </t>
  </si>
  <si>
    <t xml:space="preserve">93.22.02</t>
  </si>
  <si>
    <t xml:space="preserve">COMPUTADOR C/ PERIFÉRICOS - PROCESSADOR i5 (EQUIVALENTE OU SUPERIOR) 8GB, RAM, HD 1 TB, PLACA DE VIDEO 1 GB E WINDOWS 10</t>
  </si>
  <si>
    <t xml:space="preserve">93.22.09</t>
  </si>
  <si>
    <t xml:space="preserve">PACOTE OFFICE 2019 (SIMILAR OU SUPERIOR)</t>
  </si>
  <si>
    <t xml:space="preserve">ANO</t>
  </si>
  <si>
    <t xml:space="preserve">93.22.10</t>
  </si>
  <si>
    <t xml:space="preserve">AUTODESK AUTOCAD - 2016 (SIMILAR OU SUPERIOR)</t>
  </si>
  <si>
    <t xml:space="preserve">94.01.03</t>
  </si>
  <si>
    <t xml:space="preserve">COPIA XEROGRAFICA PRETO/BRANCO- FORMATO A2</t>
  </si>
  <si>
    <t xml:space="preserve">94.01.04</t>
  </si>
  <si>
    <t xml:space="preserve">COPIA XEROGRAFICA PRETO/BRANCO- FORMATO A1</t>
  </si>
  <si>
    <t xml:space="preserve">94.01.05</t>
  </si>
  <si>
    <t xml:space="preserve">COPIA XEROGRAFICA PRETO/BRANCO- FORMATO A0</t>
  </si>
  <si>
    <t xml:space="preserve">94.07.01</t>
  </si>
  <si>
    <t xml:space="preserve">XEROX  PRETO/BRANCO - FORMATO A4</t>
  </si>
  <si>
    <t xml:space="preserve">94.07.02</t>
  </si>
  <si>
    <t xml:space="preserve">XEROX PRETO/BRANCO - FORMATO A3</t>
  </si>
  <si>
    <t xml:space="preserve">94.09.11</t>
  </si>
  <si>
    <t xml:space="preserve">XEROX COLORIDO  FORMATO A4</t>
  </si>
  <si>
    <t xml:space="preserve">94.09.12</t>
  </si>
  <si>
    <t xml:space="preserve">XEROX COLORIDO  FORMATO A3</t>
  </si>
  <si>
    <t xml:space="preserve">94.11.01</t>
  </si>
  <si>
    <t xml:space="preserve">ENCADERNACAO A4 ACETATO, PVC/CROMICOTE, C/ESPIRAL</t>
  </si>
  <si>
    <t xml:space="preserve">94.12.02</t>
  </si>
  <si>
    <t xml:space="preserve">PLOTAGEM SULFITE - FORMATO A3</t>
  </si>
  <si>
    <t xml:space="preserve">94.12.03</t>
  </si>
  <si>
    <t xml:space="preserve">PLOTAGEM SULFITE - FORMATO A2</t>
  </si>
  <si>
    <t xml:space="preserve">94.12.04</t>
  </si>
  <si>
    <t xml:space="preserve">PLOTAGEM SULFITE - FORMATO A1</t>
  </si>
  <si>
    <t xml:space="preserve">94.12.05</t>
  </si>
  <si>
    <t xml:space="preserve">PLOTAGEM SULFITE - FORMATO A0</t>
  </si>
  <si>
    <t xml:space="preserve">94.12.07</t>
  </si>
  <si>
    <t xml:space="preserve">PLOTAGEM SULFITE -FORMATO A1 EXTENDIDO</t>
  </si>
  <si>
    <t xml:space="preserve">94.12.08</t>
  </si>
  <si>
    <t xml:space="preserve">PLOTAGEM SULFITE -FORMATO A0 EXTENDIDO</t>
  </si>
  <si>
    <t xml:space="preserve">94.15.01</t>
  </si>
  <si>
    <t xml:space="preserve">PLOTAGEM COLORIDA SULFITE FORMATO A4</t>
  </si>
  <si>
    <t xml:space="preserve">94.15.02</t>
  </si>
  <si>
    <t xml:space="preserve">PLOTAGEM COLORIDA SULFITE FORMATO A3</t>
  </si>
  <si>
    <t xml:space="preserve">94.15.03</t>
  </si>
  <si>
    <t xml:space="preserve">PLOTAGEM COLORIDA SULFITE FORMATO A2</t>
  </si>
  <si>
    <t xml:space="preserve">94.15.04</t>
  </si>
  <si>
    <t xml:space="preserve">PLOTAGEM COLORIDA SULFITE FORMATO A1</t>
  </si>
  <si>
    <t xml:space="preserve">94.15.05</t>
  </si>
  <si>
    <t xml:space="preserve">PLOTAGEM COLORIDA SULFITE FORMATO A0</t>
  </si>
  <si>
    <t xml:space="preserve">94.15.07</t>
  </si>
  <si>
    <t xml:space="preserve">PLOTAGEM  COLORIDA SULFITE FORMATO A1 EXTENDIDO</t>
  </si>
  <si>
    <t xml:space="preserve">94.15.08</t>
  </si>
  <si>
    <t xml:space="preserve">PLOTAGEM  COLORIDA SULFITE FORMATO A0 EXTENDIDO</t>
  </si>
  <si>
    <t xml:space="preserve">94.18.01</t>
  </si>
  <si>
    <t xml:space="preserve">94.18.02</t>
  </si>
  <si>
    <t xml:space="preserve">94.18.03</t>
  </si>
  <si>
    <t xml:space="preserve">94.18.04</t>
  </si>
  <si>
    <t xml:space="preserve">DIGITALIZAÇÃO DE FORMATO A4 (PDF OU EQUIVALENTE) </t>
  </si>
  <si>
    <t xml:space="preserve">94.18.05</t>
  </si>
  <si>
    <t xml:space="preserve">DVD 4,7 GB</t>
  </si>
  <si>
    <t xml:space="preserve">94.20.02</t>
  </si>
  <si>
    <t xml:space="preserve">ATOS COMUNS A REGISTRADORES E NOTÁRIOS - CERTIDÃO DE INTEIRO TEOR OU EM RESUMO, INDEPENDENTEMENTE DO NÚMERO DE FOLHAS, INCLUSIVE ISSQN DE 5% SOB OS EMOLUMENTOS</t>
  </si>
  <si>
    <t xml:space="preserve">94.20.03</t>
  </si>
  <si>
    <t xml:space="preserve">ATOS COMUNS A REGISTRADORES E NOTÁRIOS - CERTIDÃO EM RELATÓRIO CONFORME QUESITOS, INDEPENDENTEMENTE DO NÚMERO DE FOLHAS, INCLUSIVE ISSQN DE 5% SOB OS EMOLUMENTOS</t>
  </si>
  <si>
    <t xml:space="preserve">95.01.01</t>
  </si>
  <si>
    <t xml:space="preserve">MOBILIZAÇÃO, INSTALAÇÃO E DESMOBILIZAÇÃO, PARA EXECUÇÃO DE SONDAGEM À PERCUSSÃO (NBR 6484:2020)</t>
  </si>
  <si>
    <t xml:space="preserve">95.01.02</t>
  </si>
  <si>
    <t xml:space="preserve">95.01.03</t>
  </si>
  <si>
    <t xml:space="preserve">95.02.01</t>
  </si>
  <si>
    <t xml:space="preserve">95.02.02</t>
  </si>
  <si>
    <t xml:space="preserve">95.03.01</t>
  </si>
  <si>
    <t xml:space="preserve">POÇO DE INSPEÇÃO EM SOLO, SEÇÃO TRANSVERSAL MÍNIMA 100CM OU CIRCULAR 120CM (NBR 9604:2016)</t>
  </si>
  <si>
    <t xml:space="preserve">95.03.02</t>
  </si>
  <si>
    <t xml:space="preserve">95.06.01</t>
  </si>
  <si>
    <t xml:space="preserve">95.06.02</t>
  </si>
  <si>
    <t xml:space="preserve">95.06.03</t>
  </si>
  <si>
    <t xml:space="preserve">95.06.04</t>
  </si>
  <si>
    <t xml:space="preserve">PERFURACAO DE SOLO COM COROA DE WIDIA SONDAGEM ROTATIVA NW</t>
  </si>
  <si>
    <t xml:space="preserve">95.08.21</t>
  </si>
  <si>
    <t xml:space="preserve">RETIRADA DE AMOSTRA INDEFORMADA EM BLOCOS 30X30X30CM (NBR 9604:2016), PROFUNDIDADE = 2 A 3 M</t>
  </si>
  <si>
    <t xml:space="preserve">95.08.22</t>
  </si>
  <si>
    <t xml:space="preserve">RETIRADA DE AMOSTRA INDEFORMADA EM BLOCOS 30X30X30CM (NBR 9604:2016), PROFUNDIDADE = 1 A 2 M</t>
  </si>
  <si>
    <t xml:space="preserve">95.08.23</t>
  </si>
  <si>
    <t xml:space="preserve">RETIRADA DE AMOSTRA INDEFORMADA EM BLOCOS 30X30X30CM (NBR 9604:2016), PROFUNDIDADE ATÉ 1M</t>
  </si>
  <si>
    <t xml:space="preserve">96.01.03</t>
  </si>
  <si>
    <t xml:space="preserve">DETERMINAÇÃO DA DENSIDADE APARENTE E MASSA ESPECÍFICA APARENTE DE MISTURAS ASFALTICAS (NBR 15573:2012)</t>
  </si>
  <si>
    <t xml:space="preserve">96.01.05</t>
  </si>
  <si>
    <t xml:space="preserve">ENSAIO  PARA VERIFICAÇÃO DA ADESIVIDADE DE AGREGADO MIUDO AO LIGANTE BETUMINOSO (NBR 12584:2017)</t>
  </si>
  <si>
    <t xml:space="preserve">96.01.06</t>
  </si>
  <si>
    <t xml:space="preserve">96.01.07</t>
  </si>
  <si>
    <t xml:space="preserve">96.01.16</t>
  </si>
  <si>
    <t xml:space="preserve">96.01.21</t>
  </si>
  <si>
    <t xml:space="preserve">DETERMINAÇÃO DO PONTO DE AMOLECIMENTO EM LIGANTES ASFÁLTICOS - MÉTODO DO ANEL E BOLA (NBR 6560:2016)</t>
  </si>
  <si>
    <t xml:space="preserve">96.01.28</t>
  </si>
  <si>
    <t xml:space="preserve">DETERMINAÇÃO DO EQUIVALENTE DE AREIA EM AGREGADOS MIUDOS (DNER-ME 054/97) (OU NBR 12052:92)</t>
  </si>
  <si>
    <t xml:space="preserve">96.01.29</t>
  </si>
  <si>
    <t xml:space="preserve">ENSAIO  PARA VERIFICAÇÃO DA ADESIVIDADE DE AGREGADO GRAUDO AO LIGANTE BETUMINOSO (NBR 12583:2017)</t>
  </si>
  <si>
    <t xml:space="preserve">97.01.01</t>
  </si>
  <si>
    <t xml:space="preserve">97.01.03</t>
  </si>
  <si>
    <t xml:space="preserve">DETERMINAÇÃO DA MASSA ESPECÍFICA,  MASSA ESPECÍFICA APARENTE E ABSORÇÃO DE ÁGUA (NBR 6458:2016)</t>
  </si>
  <si>
    <t xml:space="preserve">97.01.04</t>
  </si>
  <si>
    <t xml:space="preserve">97.01.05</t>
  </si>
  <si>
    <t xml:space="preserve">97.01.06</t>
  </si>
  <si>
    <t xml:space="preserve">97.01.07</t>
  </si>
  <si>
    <t xml:space="preserve">97.01.08</t>
  </si>
  <si>
    <t xml:space="preserve">97.01.09</t>
  </si>
  <si>
    <t xml:space="preserve">VERIFICAÇÃO DA COMPACTAÇÃO DO SOLO ENERGIA PROCTOR NORMAL (NBR 7182:2020) COM 05 CORPOS DE PROVA</t>
  </si>
  <si>
    <t xml:space="preserve">97.01.10</t>
  </si>
  <si>
    <t xml:space="preserve">VERIFICAÇÃO DA COMPACTAÇÃO DO SOLO ENERGIA PROCTOR INTERMEDIÁRIO (NBR 7182:2020) COM 05 CORPOS DE PROVA</t>
  </si>
  <si>
    <t xml:space="preserve">97.01.11</t>
  </si>
  <si>
    <t xml:space="preserve">VERIFICAÇÃO DA COMPACTAÇÃO DO SOLO ENERGIA PROCTOR MODIFICADO (NBR 7182:2020) COM 05 CORPOS DE PROVA</t>
  </si>
  <si>
    <t xml:space="preserve">97.01.12</t>
  </si>
  <si>
    <t xml:space="preserve">DETERMINAÇÃO DO ÍNDICE DE SUPORTE CALIFÓRNIA DE SOLOS (ISC OU CBR) COM 1 CORPO DE PROVA (NORMA DNIT 172/016-ME / NBR 9895:2017)</t>
  </si>
  <si>
    <t xml:space="preserve">97.01.13</t>
  </si>
  <si>
    <t xml:space="preserve">DETERMINAÇÃO DO ÍNDICE DE SUPORTE CALIFÓRNIA DE SOLOS (ISC OU CBR) COM 3 CORPOS DE PROVA (NORMA DNIT 172/016-ME / NBR 9895:2017)</t>
  </si>
  <si>
    <t xml:space="preserve">97.01.14</t>
  </si>
  <si>
    <t xml:space="preserve">DETERMINAÇÃO DO ÍNDICE DE SUPORTE CALIFÓRNIA DE SOLOS (ISC OU CBR) COM 5 CORPOS DE PROVA (NORMA DNIT 172/016-ME / NBR 9895:2017)</t>
  </si>
  <si>
    <t xml:space="preserve">97.01.15</t>
  </si>
  <si>
    <t xml:space="preserve">97.01.17</t>
  </si>
  <si>
    <t xml:space="preserve">97.01.18</t>
  </si>
  <si>
    <t xml:space="preserve">97.01.20</t>
  </si>
  <si>
    <t xml:space="preserve">DETERMINAÇÃO DO COEFICIENTE DE PERMEABILIDADE DE SOLOS ARGILOSOS À CARGA VARIÁVEL (NBR 14545:2021)</t>
  </si>
  <si>
    <t xml:space="preserve">97.01.21</t>
  </si>
  <si>
    <t xml:space="preserve">DETERMINAÇÃO DO COEFICIENTE DE PERMEABILIDADE DE SOLOS GRANULARES À CARGA CONSTANTE (NBR 13292:2021)</t>
  </si>
  <si>
    <t xml:space="preserve">97.01.22</t>
  </si>
  <si>
    <t xml:space="preserve">DETERMINAÇÃO DA RESISTÊNCIA À COMPRESSÃO NÃO CONFINADA - SOLOS COESIVOS (NBR 12770:1992)</t>
  </si>
  <si>
    <t xml:space="preserve">97.01.23</t>
  </si>
  <si>
    <t xml:space="preserve">97.01.24</t>
  </si>
  <si>
    <t xml:space="preserve">97.01.25</t>
  </si>
  <si>
    <t xml:space="preserve">97.01.26</t>
  </si>
  <si>
    <t xml:space="preserve">97.01.27</t>
  </si>
  <si>
    <t xml:space="preserve">97.01.28</t>
  </si>
  <si>
    <t xml:space="preserve">97.01.30</t>
  </si>
  <si>
    <t xml:space="preserve">97.01.31</t>
  </si>
  <si>
    <t xml:space="preserve">97.01.32</t>
  </si>
  <si>
    <t xml:space="preserve">CISALHAMENTO DIRETO RAPIDO SATURADO</t>
  </si>
  <si>
    <t xml:space="preserve">97.01.33</t>
  </si>
  <si>
    <t xml:space="preserve">CISALHAMENTO DIRETO RAPIDO PRE-ADENSADO</t>
  </si>
  <si>
    <t xml:space="preserve">97.01.34</t>
  </si>
  <si>
    <t xml:space="preserve">CISALHAMENTO DIRETO RAPIDO SATURADO PRE-ADENSADO</t>
  </si>
  <si>
    <t xml:space="preserve">97.01.35</t>
  </si>
  <si>
    <t xml:space="preserve">CISALHAMENTO DIRETO LENTO</t>
  </si>
  <si>
    <t xml:space="preserve">97.01.36</t>
  </si>
  <si>
    <t xml:space="preserve">CISALHAMENTO DIRETO LENTO SATURADO</t>
  </si>
  <si>
    <t xml:space="preserve">97.02.01</t>
  </si>
  <si>
    <t xml:space="preserve">97.02.02</t>
  </si>
  <si>
    <t xml:space="preserve">97.02.03</t>
  </si>
  <si>
    <t xml:space="preserve">97.02.04</t>
  </si>
  <si>
    <t xml:space="preserve">97.02.05</t>
  </si>
  <si>
    <t xml:space="preserve">97.02.06</t>
  </si>
  <si>
    <t xml:space="preserve">DETERMINAÇÃO DA MASSA ESPECÍFICA DE AGREGADOS MIUDOS POR MEIO DO FRASCO CHAPMAN (DNER-ME 194/98)</t>
  </si>
  <si>
    <t xml:space="preserve">97.02.07</t>
  </si>
  <si>
    <t xml:space="preserve">DETERMINAÇÃO DO INDICE DE DESEMPENHO DE AGREGADO MIÚDO CONTENDO IMPUREZAS ORGÂNICAS (NBR 7221:2012)</t>
  </si>
  <si>
    <t xml:space="preserve">97.02.08</t>
  </si>
  <si>
    <t xml:space="preserve">97.02.09</t>
  </si>
  <si>
    <t xml:space="preserve">DETERMINAÇÃO DA RESISTÊNCIA DE AGREGADO GRAÚDO AO DESGASTE POR ABRASÃO - LOS ANGELES (NBR 16974:2021)</t>
  </si>
  <si>
    <t xml:space="preserve">97.02.12</t>
  </si>
  <si>
    <t xml:space="preserve">97.02.13</t>
  </si>
  <si>
    <t xml:space="preserve">AVALIAÇÃO DA DURABILIDADE DE AGREGADOS PELO EMPREGO DE SOLUÇÕES DE SULFATO DE SÓDIO OU DE MAGNÉSIO (DNER-ME 089/94)</t>
  </si>
  <si>
    <t xml:space="preserve">98.01.01</t>
  </si>
  <si>
    <t xml:space="preserve">DETERMINAÇÃO DO ÍNDICE DE FINURA DE CIMENTO PORTLAND POR MEIO DA PENEIRA 0,075MM (NBR 11579:2012)</t>
  </si>
  <si>
    <t xml:space="preserve">98.01.02</t>
  </si>
  <si>
    <t xml:space="preserve">DETERMINAÇÃO DO TEMPO DE PEGA DA PASTA DE CIMENTO PORTLAND COM APARELHO VICAT (NM 65:2002)</t>
  </si>
  <si>
    <t xml:space="preserve">98.01.03</t>
  </si>
  <si>
    <t xml:space="preserve">98.01.04</t>
  </si>
  <si>
    <t xml:space="preserve">DETERMINAÇÃO DA RESISTÊNCIA À COMPRESSÃO DE CORPOS DE PROVA CILÍNDRICOS - CIMENTO PORTLAND (NBR 7215:2019)</t>
  </si>
  <si>
    <t xml:space="preserve">98.01.05</t>
  </si>
  <si>
    <t xml:space="preserve">DETERMINAÇÃO DA SUPERFÍCIE ESPECÍFICA DO CIMENTO PORTLAND PELO MÉTODO DE PERMEABILIDADE AO AR - MÉTODO DE BLAINE (NBR 16372:2015)</t>
  </si>
  <si>
    <t xml:space="preserve">98.01.06</t>
  </si>
  <si>
    <t xml:space="preserve">98.01.07</t>
  </si>
  <si>
    <t xml:space="preserve">ANÁLISE QUÍMICA DE CIMENTO PORTLAND - MÉTODO DE ARBITRAGEM PARA DETERMINAÇÃO DE DIÓXIDO DE SILÍCIO, ÓXIDO FÉRRICO, ÓXIDO DE ALUMÍNIO, ÓXIDO DE CÁLCIO E ÓXIDO DE MAGNÉSIO (NBR NM 14:2012)</t>
  </si>
  <si>
    <t xml:space="preserve">98.02.01</t>
  </si>
  <si>
    <t xml:space="preserve">98.02.02</t>
  </si>
  <si>
    <t xml:space="preserve">DETERMINAÇÃO DOS ÍNDICES DE EXSUDAÇÃO E EXPANSÃO - CALDA DE CIMENTO PARA INJEÇÃO (NBR 7681-3:2013)</t>
  </si>
  <si>
    <t xml:space="preserve">98.02.03</t>
  </si>
  <si>
    <t xml:space="preserve">98.02.04</t>
  </si>
  <si>
    <t xml:space="preserve">DETERMINAÇÃO DA RESISTÊNCIA À COMPRESSÃO - CALDA DE CIMENTO PARA INJEÇÃO (NBR 7681-4:2013)</t>
  </si>
  <si>
    <t xml:space="preserve">98.03.01</t>
  </si>
  <si>
    <t xml:space="preserve">98.03.03</t>
  </si>
  <si>
    <t xml:space="preserve">98.03.04</t>
  </si>
  <si>
    <t xml:space="preserve">DETERMINAÇÃO DA RESISTÊNCIA À TRAÇÃO POR COMPRESSÃO DIAMETRAL DE CORPOS DE PROVA CILÍNDRICOS EM ARGAMASSA (NBR 7222:2011)</t>
  </si>
  <si>
    <t xml:space="preserve">98.04.01</t>
  </si>
  <si>
    <t xml:space="preserve">98.04.02</t>
  </si>
  <si>
    <t xml:space="preserve">98.04.03</t>
  </si>
  <si>
    <t xml:space="preserve">DETERMINAÇÃO DA RESISTÊNCIA À COMPRESSÃO DE CORPOS DE PROVA CILÍNDRICOS DE CONCRETO - CURA, FACEAMENTO E ROMPIMENTO (NBR 5739:2018)</t>
  </si>
  <si>
    <t xml:space="preserve">98.04.04</t>
  </si>
  <si>
    <t xml:space="preserve">DETERMINAÇÃO DA RESISTÊNCIA À COMPRESSÃO DE CORPOS DE PROVA CILÍNDRICOS DE CONCRETO - MOLDAGEM, TRANSPORTE, CURA, FACEAMENTO E ROMPIMENTO (NBR 5739:2018)</t>
  </si>
  <si>
    <t xml:space="preserve">98.04.05</t>
  </si>
  <si>
    <t xml:space="preserve">DETERMINAÇÃO DA RESISTÊNCIA TRAÇÃO POR COMPRESSÃO DIAMETRAL DE CORPOS DE PROVA CILÍNDRICOS EM CONCRETO (NBR 7222:2011)</t>
  </si>
  <si>
    <t xml:space="preserve">98.04.07</t>
  </si>
  <si>
    <t xml:space="preserve">DETERMINAÇÃO DA CONSISTÊNCIA DO CONCRETO PELO ABATIMENTO DO TRONCO DE CONE - SLUMP TEST (NBR 16889:2020)</t>
  </si>
  <si>
    <t xml:space="preserve">98.04.08</t>
  </si>
  <si>
    <t xml:space="preserve">98.04.09</t>
  </si>
  <si>
    <t xml:space="preserve">EXTRAÇAO, PREPARO, ENSAIO E ANALISE DE TESTEMUNHO D=3" EM ESTRUTURA DE CONCRETO (NBR 7680-1:2015)</t>
  </si>
  <si>
    <t xml:space="preserve">98.04.10</t>
  </si>
  <si>
    <t xml:space="preserve">EXTRAÇAO, PREPARO, ENSAIO E ANALISE DE TESTEMUNHO D=4" EM ESTRUTURA DE CONCRETO (NBR 7680-1:2015)</t>
  </si>
  <si>
    <t xml:space="preserve">99.01.01</t>
  </si>
  <si>
    <t xml:space="preserve">ENSAIO DE TRAÇÃO E DESBITOLAMENTO EM BARRAS DE AÇO D &lt;= 16 MM - TEMPERATURA AMBIENTE (NBR 6892-1:2013)</t>
  </si>
  <si>
    <t xml:space="preserve">99.01.02</t>
  </si>
  <si>
    <t xml:space="preserve">ENSAIO DE TRAÇÃO E DESBITOLAMENTO EM BARRAS DE AÇO 16 &lt; D &lt;= 25 MM - TEMPERATURA AMBIENTE (NBR 6892-1:2013)</t>
  </si>
  <si>
    <t xml:space="preserve">99.01.03</t>
  </si>
  <si>
    <t xml:space="preserve">ENSAIO DE TRAÇÃO E DESBITOLAMENTO EM BARRAS DE AÇO D &gt; 25 MM - TEMPERATURA AMBIENTE (NBR 6892-1:2013)</t>
  </si>
  <si>
    <t xml:space="preserve">99.01.04</t>
  </si>
  <si>
    <t xml:space="preserve">ENSAIO DE DOBRAMENTO SEMI-GUIADO EM BARRAS DE AÇO (NBR 7438:2016)</t>
  </si>
  <si>
    <t xml:space="preserve">99.01.05</t>
  </si>
  <si>
    <t xml:space="preserve">ENSAIO DE TRAÇÃO EM FIOS, BARRAS E CORDOALHAS DE AÇO PARA ARMADURA DE PROTENSÃO (NBR 6349:2008)</t>
  </si>
  <si>
    <t xml:space="preserve">99.02.01</t>
  </si>
  <si>
    <t xml:space="preserve">99.02.02</t>
  </si>
  <si>
    <t xml:space="preserve">ENSAIO DE ANÁLISE DIMENSIONAL, ABSORÇÃO E  ÁREA LIQUIDA EM BLOCO DE CONCRETO (NBR 12118:2014)</t>
  </si>
  <si>
    <t xml:space="preserve">99.03.01</t>
  </si>
  <si>
    <t xml:space="preserve">DETERMINAÇÃO DA RESISTÊNCIA À COMPRESSÃO EM BLOCOS CERÂMICOS ESTRUTURAIS E DE VEDAÇÃO (NBR 15270:2017)</t>
  </si>
  <si>
    <t xml:space="preserve">99.03.02</t>
  </si>
  <si>
    <t xml:space="preserve">DETERMINAÇÃO DAS CARACTERÍSTICAS GEOMÉTRICAS E ÍNDICE DE ABSORÇÃO EM BLOCOS CERÂMICOS ESTRUTURAIS E DE VEDAÇÃO (NBR 15270:2017)</t>
  </si>
  <si>
    <t xml:space="preserve">CÁLCULO DO FATOR "K" E "TRDE"</t>
  </si>
  <si>
    <t xml:space="preserve">Legenda fator "K"*²</t>
  </si>
  <si>
    <t xml:space="preserve">Preencher</t>
  </si>
  <si>
    <t xml:space="preserve">K1</t>
  </si>
  <si>
    <t xml:space="preserve">K2</t>
  </si>
  <si>
    <t xml:space="preserve">(valor estimado 20%, conforme "Orientações para Elaboração de Planilhas Orçamentárias Obras Públicas")</t>
  </si>
  <si>
    <t xml:space="preserve">K3</t>
  </si>
  <si>
    <t xml:space="preserve">(valor estimado 10%, conforme "Orientações para Elaboração de Planilhas Orçamentárias Obras Públicas")</t>
  </si>
  <si>
    <t xml:space="preserve">K4</t>
  </si>
  <si>
    <t xml:space="preserve">fator "K"</t>
  </si>
  <si>
    <t xml:space="preserve">CÁLCULO DO FATOR K4</t>
  </si>
  <si>
    <t xml:space="preserve">Belo Horizonte</t>
  </si>
  <si>
    <t xml:space="preserve">Portaria SMFA Nº 74 DE 22/11/2021</t>
  </si>
  <si>
    <t xml:space="preserve">k4:</t>
  </si>
  <si>
    <t xml:space="preserve">Alíquota</t>
  </si>
  <si>
    <t xml:space="preserve">Tabela</t>
  </si>
  <si>
    <t xml:space="preserve">0703-0/02-88</t>
  </si>
  <si>
    <t xml:space="preserve">CTISS</t>
  </si>
  <si>
    <t xml:space="preserve">Elaboração de estudos de viabilidade relacionados com serviços e obras de engenharia</t>
  </si>
  <si>
    <t xml:space="preserve">Legenda e fórmulas utilizadas conforme "Orientações para Elaboração de Planilhas Orçamentárias Obras Públicas" TCU.</t>
  </si>
  <si>
    <t xml:space="preserve">0703-0/03-88</t>
  </si>
  <si>
    <t xml:space="preserve">Elaboração de estudos organizacionais e outros, relacionados com serviços e obras de engenharia</t>
  </si>
  <si>
    <t xml:space="preserve">0703-0/04-88</t>
  </si>
  <si>
    <t xml:space="preserve">Elaboração de anteprojetos, projetos básicos e projetos executivos para trabalhos de engenharia</t>
  </si>
  <si>
    <r>
      <rPr>
        <sz val="10"/>
        <rFont val="Arial"/>
        <family val="2"/>
        <charset val="1"/>
      </rPr>
      <t xml:space="preserve">PV = [ CD</t>
    </r>
    <r>
      <rPr>
        <vertAlign val="subscript"/>
        <sz val="11"/>
        <rFont val="Arial"/>
        <family val="2"/>
        <charset val="1"/>
      </rPr>
      <t xml:space="preserve">sal</t>
    </r>
    <r>
      <rPr>
        <sz val="10"/>
        <rFont val="Arial"/>
        <family val="2"/>
        <charset val="1"/>
      </rPr>
      <t xml:space="preserve"> × K ] + [ Cd</t>
    </r>
    <r>
      <rPr>
        <vertAlign val="subscript"/>
        <sz val="11"/>
        <rFont val="Arial"/>
        <family val="2"/>
        <charset val="1"/>
      </rPr>
      <t xml:space="preserve">outros</t>
    </r>
    <r>
      <rPr>
        <sz val="10"/>
        <rFont val="Arial"/>
        <family val="2"/>
        <charset val="1"/>
      </rPr>
      <t xml:space="preserve"> × TRDE ]</t>
    </r>
  </si>
  <si>
    <t xml:space="preserve">0703-0/05-88</t>
  </si>
  <si>
    <t xml:space="preserve">Outros serviços de engenharia consultiva relacionados com serviços e obras de engenharia</t>
  </si>
  <si>
    <t xml:space="preserve">K = (1+k1+k2).(1+k3).(1+k4)</t>
  </si>
  <si>
    <t xml:space="preserve">0703-0/06-88</t>
  </si>
  <si>
    <t xml:space="preserve">Elaboração de estudos, relatórios, planos, diagnósticos e projetos em engenharia ambiental</t>
  </si>
  <si>
    <t xml:space="preserve">sendo:</t>
  </si>
  <si>
    <t xml:space="preserve">PV: preço de venda total praticado pela empresa de engenharia consultiva.</t>
  </si>
  <si>
    <t xml:space="preserve">Cdsal: custo direto de salários.</t>
  </si>
  <si>
    <t xml:space="preserve">K: fator "K"</t>
  </si>
  <si>
    <t xml:space="preserve">CDoutros: demais custos diretos</t>
  </si>
  <si>
    <t xml:space="preserve">TRDE: taxa de ressarcimento de despesas e encargos</t>
  </si>
  <si>
    <t xml:space="preserve">K1: encargos sociais incidentes sobre a mão de obra mensalista - SINAPI válida a partir de dez/2022 = 73,68%</t>
  </si>
  <si>
    <r>
      <rPr>
        <sz val="11"/>
        <color rgb="FF000000"/>
        <rFont val="Calibri"/>
        <family val="2"/>
        <charset val="1"/>
      </rPr>
      <t xml:space="preserve">K2: administração central da empresa de consultoria (ou </t>
    </r>
    <r>
      <rPr>
        <i val="true"/>
        <sz val="11"/>
        <color rgb="FF000000"/>
        <rFont val="Calibri"/>
        <family val="2"/>
        <charset val="1"/>
      </rPr>
      <t xml:space="preserve">overhead</t>
    </r>
    <r>
      <rPr>
        <sz val="11"/>
        <color rgb="FF000000"/>
        <rFont val="Calibri"/>
        <family val="2"/>
        <charset val="1"/>
      </rPr>
      <t xml:space="preserve">) - Valor estimado de acordo com Orientações TCU - 20%</t>
    </r>
  </si>
  <si>
    <t xml:space="preserve">K3: remuneração bruta da empresa de consultoria - Valor estimado de acordo com Orientações TCU - 10%</t>
  </si>
  <si>
    <t xml:space="preserve">K4: fator relativo aos tributos incidentes sobre o preço de venda, dado pela equação K4 = I/(1-I), em que “I” são os referidos tributos.</t>
  </si>
  <si>
    <t xml:space="preserve">PIS - considerar 80 % da taxa - De acordo com Orientações do TCU</t>
  </si>
  <si>
    <t xml:space="preserve">Cofins - Considerar 80 % da taxa - De acordo com Orientações do TCU</t>
  </si>
  <si>
    <t xml:space="preserve">Notas:</t>
  </si>
  <si>
    <t xml:space="preserve">*¹ Não foram incluídas passagens nos cálculos dos custos considerando a estimativa do preço mais vantajoso para a Administração.</t>
  </si>
  <si>
    <r>
      <rPr>
        <sz val="11"/>
        <color rgb="FF000000"/>
        <rFont val="Calibri"/>
        <family val="2"/>
        <charset val="1"/>
      </rPr>
      <t xml:space="preserve">*² Os valores de K2 a K4 foram definidos conforme exemplo "Orientações para Elaboração de Planilhas Orçamentárias Obras Públicas" TCU. E o de K1 foi retirado do SINAPI, sendo os Encargos Sociais em </t>
    </r>
    <r>
      <rPr>
        <b val="true"/>
        <sz val="11"/>
        <color rgb="FF000000"/>
        <rFont val="Calibri"/>
        <family val="2"/>
        <charset val="1"/>
      </rPr>
      <t xml:space="preserve">Minas Gerais</t>
    </r>
    <r>
      <rPr>
        <sz val="11"/>
        <color rgb="FF000000"/>
        <rFont val="Calibri"/>
        <family val="2"/>
        <charset val="1"/>
      </rPr>
      <t xml:space="preserve"> a partir de 12/2022, sem a desoneração da folha de pagamentos, para profissionais mensalistas, igual a 73,68%.</t>
    </r>
  </si>
</sst>
</file>

<file path=xl/styles.xml><?xml version="1.0" encoding="utf-8"?>
<styleSheet xmlns="http://schemas.openxmlformats.org/spreadsheetml/2006/main">
  <numFmts count="32">
    <numFmt numFmtId="164" formatCode="General"/>
    <numFmt numFmtId="165" formatCode="0%"/>
    <numFmt numFmtId="166" formatCode="General"/>
    <numFmt numFmtId="167" formatCode="00"/>
    <numFmt numFmtId="168" formatCode="0.000"/>
    <numFmt numFmtId="169" formatCode="#,##0.00\ ;\(#,##0.00\)"/>
    <numFmt numFmtId="170" formatCode="#,##0"/>
    <numFmt numFmtId="171" formatCode="* #,##0.00\ ;* \(#,##0.00\);* \-#\ ;@\ "/>
    <numFmt numFmtId="172" formatCode="0"/>
    <numFmt numFmtId="173" formatCode="[$R$-416]\ * #,##0.00\ ;\-[$R$-416]\ * #,##0.00\ ;[$R$-416]\ * \-#\ ;@\ "/>
    <numFmt numFmtId="174" formatCode="#,##0.00"/>
    <numFmt numFmtId="175" formatCode="* #,##0.00\ ;\-* #,##0.00\ ;* \-#\ ;@\ "/>
    <numFmt numFmtId="176" formatCode="* #,##0.00000\ ;\-* #,##0.00000\ ;* \-#\ ;@\ "/>
    <numFmt numFmtId="177" formatCode="0.000000"/>
    <numFmt numFmtId="178" formatCode="* #,##0.000\ ;\-* #,##0.000\ ;* \-#\ ;@\ "/>
    <numFmt numFmtId="179" formatCode="@"/>
    <numFmt numFmtId="180" formatCode="[$R$-416]\ #,##0.00;[RED]\-[$R$-416]\ #,##0.00"/>
    <numFmt numFmtId="181" formatCode="mmm/yy"/>
    <numFmt numFmtId="182" formatCode="0.00%"/>
    <numFmt numFmtId="183" formatCode="&quot; R$ &quot;* #,##0.00\ ;&quot; R$ &quot;* \(#,##0.00\);&quot; R$ &quot;* \-#\ ;@\ "/>
    <numFmt numFmtId="184" formatCode="[$$-409]#,##0.00;[RED]\-[$$-409]#,##0.00"/>
    <numFmt numFmtId="185" formatCode="#,##0.00000"/>
    <numFmt numFmtId="186" formatCode="0.00"/>
    <numFmt numFmtId="187" formatCode="d/m/yyyy"/>
    <numFmt numFmtId="188" formatCode="* #,##0\ ;\-* #,##0\ ;* \-#\ ;@\ "/>
    <numFmt numFmtId="189" formatCode="0.0"/>
    <numFmt numFmtId="190" formatCode="#,##0.0"/>
    <numFmt numFmtId="191" formatCode="0.00000"/>
    <numFmt numFmtId="192" formatCode="0.0000"/>
    <numFmt numFmtId="193" formatCode="dd/mm/yy"/>
    <numFmt numFmtId="194" formatCode="&quot;R$ &quot;#,##0.00"/>
    <numFmt numFmtId="195" formatCode="* #,##0.0000\ ;\-* #,##0.0000\ ;* \-#\ ;@\ "/>
  </numFmts>
  <fonts count="8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2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8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8"/>
      <color rgb="FFFFFFFF"/>
      <name val="Calibri"/>
      <family val="2"/>
      <charset val="1"/>
    </font>
    <font>
      <sz val="8"/>
      <color rgb="FFFFFFFF"/>
      <name val="Calibri"/>
      <family val="2"/>
      <charset val="1"/>
    </font>
    <font>
      <b val="true"/>
      <sz val="8"/>
      <color rgb="FF808080"/>
      <name val="Calibri"/>
      <family val="2"/>
      <charset val="1"/>
    </font>
    <font>
      <b val="true"/>
      <sz val="9"/>
      <name val="Calibri"/>
      <family val="2"/>
      <charset val="1"/>
    </font>
    <font>
      <b val="true"/>
      <sz val="9"/>
      <color rgb="FF808080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sz val="1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0"/>
      <color rgb="FF1F497D"/>
      <name val="Arial"/>
      <family val="2"/>
      <charset val="1"/>
    </font>
    <font>
      <sz val="14"/>
      <color rgb="FF1F497D"/>
      <name val="Arial"/>
      <family val="2"/>
      <charset val="1"/>
    </font>
    <font>
      <b val="true"/>
      <sz val="16"/>
      <color rgb="FF1F497D"/>
      <name val="Arial"/>
      <family val="2"/>
      <charset val="1"/>
    </font>
    <font>
      <sz val="10"/>
      <color rgb="FF1F497D"/>
      <name val="Arial"/>
      <family val="2"/>
      <charset val="1"/>
    </font>
    <font>
      <sz val="11"/>
      <color rgb="FF1F497D"/>
      <name val="Arial"/>
      <family val="2"/>
      <charset val="1"/>
    </font>
    <font>
      <b val="true"/>
      <sz val="12"/>
      <color rgb="FF1F497D"/>
      <name val="Arial"/>
      <family val="2"/>
      <charset val="1"/>
    </font>
    <font>
      <b val="true"/>
      <sz val="11"/>
      <name val="Arial"/>
      <family val="2"/>
      <charset val="1"/>
    </font>
    <font>
      <sz val="10"/>
      <name val="Arial"/>
      <family val="0"/>
      <charset val="1"/>
    </font>
    <font>
      <b val="true"/>
      <sz val="11"/>
      <color rgb="FF1F497D"/>
      <name val="Arial"/>
      <family val="2"/>
      <charset val="1"/>
    </font>
    <font>
      <sz val="14"/>
      <color rgb="FF1F497D"/>
      <name val="Calibri"/>
      <family val="2"/>
      <charset val="1"/>
    </font>
    <font>
      <b val="true"/>
      <sz val="14"/>
      <color rgb="FF1F497D"/>
      <name val="Arial"/>
      <family val="2"/>
      <charset val="1"/>
    </font>
    <font>
      <sz val="8"/>
      <color rgb="FF1F497D"/>
      <name val="Arial"/>
      <family val="2"/>
      <charset val="1"/>
    </font>
    <font>
      <sz val="12"/>
      <color rgb="FF1F497D"/>
      <name val="Arial"/>
      <family val="2"/>
      <charset val="1"/>
    </font>
    <font>
      <sz val="16"/>
      <color rgb="FF1F497D"/>
      <name val="Arial"/>
      <family val="2"/>
      <charset val="1"/>
    </font>
    <font>
      <b val="true"/>
      <sz val="10"/>
      <name val="Arial"/>
      <family val="2"/>
      <charset val="1"/>
    </font>
    <font>
      <sz val="11"/>
      <name val="Calibri"/>
      <family val="2"/>
      <charset val="1"/>
    </font>
    <font>
      <sz val="8"/>
      <name val="Arial"/>
      <family val="2"/>
      <charset val="1"/>
    </font>
    <font>
      <sz val="10"/>
      <color rgb="FF00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7.5"/>
      <color rgb="FF000000"/>
      <name val="Calibri"/>
      <family val="0"/>
      <charset val="1"/>
    </font>
    <font>
      <b val="true"/>
      <i val="true"/>
      <sz val="11"/>
      <color rgb="FF000000"/>
      <name val="Calibri"/>
      <family val="2"/>
      <charset val="1"/>
    </font>
    <font>
      <b val="true"/>
      <sz val="10"/>
      <color rgb="FFFFFFFF"/>
      <name val="Courier New"/>
      <family val="3"/>
      <charset val="1"/>
    </font>
    <font>
      <strike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808080"/>
      <name val="Arial"/>
      <family val="2"/>
      <charset val="1"/>
    </font>
    <font>
      <b val="true"/>
      <sz val="11"/>
      <color rgb="FF7F7F7F"/>
      <name val="Calibri"/>
      <family val="2"/>
      <charset val="1"/>
    </font>
    <font>
      <sz val="11"/>
      <color rgb="FF7F7F7F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7F7F7F"/>
      <name val="Arial"/>
      <family val="2"/>
      <charset val="1"/>
    </font>
    <font>
      <b val="true"/>
      <sz val="10"/>
      <color rgb="FF808080"/>
      <name val="Arial"/>
      <family val="2"/>
      <charset val="1"/>
    </font>
    <font>
      <b val="true"/>
      <sz val="10"/>
      <color rgb="FF7F7F7F"/>
      <name val="Arial"/>
      <family val="2"/>
      <charset val="1"/>
    </font>
    <font>
      <sz val="7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11"/>
      <color rgb="FF808080"/>
      <name val="Calibri"/>
      <family val="2"/>
      <charset val="1"/>
    </font>
    <font>
      <sz val="6"/>
      <name val="Arial"/>
      <family val="2"/>
      <charset val="1"/>
    </font>
    <font>
      <sz val="6"/>
      <color rgb="FF000000"/>
      <name val="Arial"/>
      <family val="2"/>
      <charset val="1"/>
    </font>
    <font>
      <b val="true"/>
      <sz val="8"/>
      <name val="Arial"/>
      <family val="2"/>
      <charset val="1"/>
    </font>
    <font>
      <sz val="6"/>
      <color rgb="FFFFFFFF"/>
      <name val="Arial"/>
      <family val="2"/>
      <charset val="1"/>
    </font>
    <font>
      <b val="true"/>
      <sz val="6"/>
      <name val="Arial"/>
      <family val="2"/>
      <charset val="1"/>
    </font>
    <font>
      <sz val="8"/>
      <color rgb="FF808080"/>
      <name val="Arial"/>
      <family val="2"/>
      <charset val="1"/>
    </font>
    <font>
      <sz val="10"/>
      <color rgb="FF010000"/>
      <name val="Arial"/>
      <family val="0"/>
      <charset val="1"/>
    </font>
    <font>
      <sz val="11"/>
      <color rgb="FF000000"/>
      <name val="Calibri"/>
      <family val="0"/>
    </font>
    <font>
      <sz val="11"/>
      <name val="Times New Roman"/>
      <family val="0"/>
    </font>
    <font>
      <sz val="8"/>
      <color rgb="FF000000"/>
      <name val="Arial"/>
      <family val="0"/>
      <charset val="1"/>
    </font>
    <font>
      <sz val="8"/>
      <color rgb="FF000000"/>
      <name val="Arial"/>
      <family val="2"/>
      <charset val="1"/>
    </font>
    <font>
      <b val="true"/>
      <sz val="7"/>
      <color rgb="FF000000"/>
      <name val="Arial"/>
      <family val="0"/>
      <charset val="1"/>
    </font>
    <font>
      <b val="true"/>
      <sz val="7"/>
      <color rgb="FF000000"/>
      <name val="Arial"/>
      <family val="2"/>
      <charset val="1"/>
    </font>
    <font>
      <sz val="7"/>
      <color rgb="FF000000"/>
      <name val="Arial"/>
      <family val="0"/>
      <charset val="1"/>
    </font>
    <font>
      <sz val="7"/>
      <color rgb="FF000000"/>
      <name val="Arial"/>
      <family val="2"/>
      <charset val="1"/>
    </font>
    <font>
      <sz val="6"/>
      <color rgb="FF000000"/>
      <name val="Arial"/>
      <family val="0"/>
      <charset val="1"/>
    </font>
    <font>
      <b val="true"/>
      <sz val="16"/>
      <color rgb="FF000000"/>
      <name val="Calibri"/>
      <family val="2"/>
      <charset val="1"/>
    </font>
    <font>
      <b val="true"/>
      <sz val="13.5"/>
      <color rgb="FF808080"/>
      <name val="Calibri"/>
      <family val="2"/>
      <charset val="1"/>
    </font>
    <font>
      <b val="true"/>
      <sz val="11"/>
      <color rgb="FF808080"/>
      <name val="Calibri"/>
      <family val="2"/>
      <charset val="1"/>
    </font>
    <font>
      <vertAlign val="subscript"/>
      <sz val="11"/>
      <name val="Arial"/>
      <family val="2"/>
      <charset val="1"/>
    </font>
    <font>
      <sz val="11"/>
      <color rgb="FF000000"/>
      <name val="Calibri"/>
      <family val="0"/>
      <charset val="1"/>
    </font>
    <font>
      <i val="true"/>
      <sz val="11"/>
      <color rgb="FF000000"/>
      <name val="Calibri"/>
      <family val="2"/>
      <charset val="1"/>
    </font>
  </fonts>
  <fills count="41">
    <fill>
      <patternFill patternType="none"/>
    </fill>
    <fill>
      <patternFill patternType="gray125"/>
    </fill>
    <fill>
      <patternFill patternType="solid">
        <fgColor rgb="FFFFFFFF"/>
        <bgColor rgb="FFFFF5CE"/>
      </patternFill>
    </fill>
    <fill>
      <patternFill patternType="solid">
        <fgColor rgb="FF993300"/>
        <bgColor rgb="FFB85C00"/>
      </patternFill>
    </fill>
    <fill>
      <patternFill patternType="solid">
        <fgColor rgb="FFFFCC00"/>
        <bgColor rgb="FFFFC000"/>
      </patternFill>
    </fill>
    <fill>
      <patternFill patternType="solid">
        <fgColor rgb="FFBFBFBF"/>
        <bgColor rgb="FFC0C0C0"/>
      </patternFill>
    </fill>
    <fill>
      <patternFill patternType="solid">
        <fgColor rgb="FFD9D9D9"/>
        <bgColor rgb="FFDDDDDD"/>
      </patternFill>
    </fill>
    <fill>
      <patternFill patternType="solid">
        <fgColor rgb="FFFF9900"/>
        <bgColor rgb="FFE8A202"/>
      </patternFill>
    </fill>
    <fill>
      <patternFill patternType="solid">
        <fgColor rgb="FF808080"/>
        <bgColor rgb="FF7F7F7F"/>
      </patternFill>
    </fill>
    <fill>
      <patternFill patternType="solid">
        <fgColor rgb="FFB4C7DC"/>
        <bgColor rgb="FFB3CAC7"/>
      </patternFill>
    </fill>
    <fill>
      <patternFill patternType="solid">
        <fgColor rgb="FFFFC000"/>
        <bgColor rgb="FFFFCC00"/>
      </patternFill>
    </fill>
    <fill>
      <patternFill patternType="solid">
        <fgColor rgb="FFED7D31"/>
        <bgColor rgb="FFFF6600"/>
      </patternFill>
    </fill>
    <fill>
      <patternFill patternType="solid">
        <fgColor rgb="FFCCCCFF"/>
        <bgColor rgb="FFC6D9F1"/>
      </patternFill>
    </fill>
    <fill>
      <patternFill patternType="solid">
        <fgColor rgb="FFCCFFCC"/>
        <bgColor rgb="FFE2F0D9"/>
      </patternFill>
    </fill>
    <fill>
      <patternFill patternType="solid">
        <fgColor rgb="FF003366"/>
        <bgColor rgb="FF1F497D"/>
      </patternFill>
    </fill>
    <fill>
      <patternFill patternType="solid">
        <fgColor rgb="FFFFCC99"/>
        <bgColor rgb="FFE6B9B8"/>
      </patternFill>
    </fill>
    <fill>
      <patternFill patternType="solid">
        <fgColor rgb="FFC3D69B"/>
        <bgColor rgb="FFC5E0B4"/>
      </patternFill>
    </fill>
    <fill>
      <patternFill patternType="solid">
        <fgColor rgb="FFC6D9F1"/>
        <bgColor rgb="FFBDD7EE"/>
      </patternFill>
    </fill>
    <fill>
      <patternFill patternType="solid">
        <fgColor rgb="FFDDD9C3"/>
        <bgColor rgb="FFD9D9D9"/>
      </patternFill>
    </fill>
    <fill>
      <patternFill patternType="solid">
        <fgColor rgb="FFE6B9B8"/>
        <bgColor rgb="FFCCCCCC"/>
      </patternFill>
    </fill>
    <fill>
      <patternFill patternType="solid">
        <fgColor rgb="FFFFF5CE"/>
        <bgColor rgb="FFFCE4D6"/>
      </patternFill>
    </fill>
    <fill>
      <patternFill patternType="solid">
        <fgColor rgb="FFCCCCCC"/>
        <bgColor rgb="FFC0C0C0"/>
      </patternFill>
    </fill>
    <fill>
      <patternFill patternType="solid">
        <fgColor rgb="FFDDDDDD"/>
        <bgColor rgb="FFD9D9D9"/>
      </patternFill>
    </fill>
    <fill>
      <patternFill patternType="solid">
        <fgColor rgb="FFFF6600"/>
        <bgColor rgb="FFED7D31"/>
      </patternFill>
    </fill>
    <fill>
      <patternFill patternType="solid">
        <fgColor rgb="FFB85C00"/>
        <bgColor rgb="FF993300"/>
      </patternFill>
    </fill>
    <fill>
      <patternFill patternType="solid">
        <fgColor rgb="FFE8A202"/>
        <bgColor rgb="FFFF9900"/>
      </patternFill>
    </fill>
    <fill>
      <patternFill patternType="solid">
        <fgColor rgb="FF999999"/>
        <bgColor rgb="FF969696"/>
      </patternFill>
    </fill>
    <fill>
      <patternFill patternType="solid">
        <fgColor rgb="FFBDD7EE"/>
        <bgColor rgb="FFC6D9F1"/>
      </patternFill>
    </fill>
    <fill>
      <patternFill patternType="solid">
        <fgColor rgb="FFA9D18E"/>
        <bgColor rgb="FFC3D69B"/>
      </patternFill>
    </fill>
    <fill>
      <patternFill patternType="solid">
        <fgColor rgb="FFB3CAC7"/>
        <bgColor rgb="FFB4C7DC"/>
      </patternFill>
    </fill>
    <fill>
      <patternFill patternType="solid">
        <fgColor rgb="FFE2F0D9"/>
        <bgColor rgb="FFE2EFDA"/>
      </patternFill>
    </fill>
    <fill>
      <patternFill patternType="solid">
        <fgColor rgb="FFC5E0B4"/>
        <bgColor rgb="FFC3D69B"/>
      </patternFill>
    </fill>
    <fill>
      <patternFill patternType="solid">
        <fgColor rgb="FFFFFF99"/>
        <bgColor rgb="FFE8F2A1"/>
      </patternFill>
    </fill>
    <fill>
      <patternFill patternType="solid">
        <fgColor rgb="FF8EB4E3"/>
        <bgColor rgb="FF9DC3E6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999999"/>
      </patternFill>
    </fill>
    <fill>
      <patternFill patternType="solid">
        <fgColor rgb="FFFFFF00"/>
        <bgColor rgb="FFFFCC00"/>
      </patternFill>
    </fill>
    <fill>
      <patternFill patternType="solid">
        <fgColor rgb="FFA9A9A9"/>
        <bgColor rgb="FF999999"/>
      </patternFill>
    </fill>
    <fill>
      <patternFill patternType="solid">
        <fgColor rgb="FFE2EFDA"/>
        <bgColor rgb="FFE2F0D9"/>
      </patternFill>
    </fill>
    <fill>
      <patternFill patternType="solid">
        <fgColor rgb="FFFCE4D6"/>
        <bgColor rgb="FFFFF5CE"/>
      </patternFill>
    </fill>
    <fill>
      <patternFill patternType="solid">
        <fgColor rgb="FF9DC3E6"/>
        <bgColor rgb="FFB4C7DC"/>
      </patternFill>
    </fill>
  </fills>
  <borders count="117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>
        <color rgb="FF7BA0CD"/>
      </left>
      <right/>
      <top style="thin">
        <color rgb="FF7BA0CD"/>
      </top>
      <bottom style="thin">
        <color rgb="FF7BA0CD"/>
      </bottom>
      <diagonal/>
    </border>
    <border diagonalUp="false" diagonalDown="false">
      <left/>
      <right/>
      <top style="thin">
        <color rgb="FF7BA0CD"/>
      </top>
      <bottom style="thin">
        <color rgb="FF7BA0CD"/>
      </bottom>
      <diagonal/>
    </border>
    <border diagonalUp="false" diagonalDown="false">
      <left/>
      <right style="thin">
        <color rgb="FF7BA0CD"/>
      </right>
      <top style="thin">
        <color rgb="FF7BA0CD"/>
      </top>
      <bottom style="thin">
        <color rgb="FF7BA0CD"/>
      </bottom>
      <diagonal/>
    </border>
    <border diagonalUp="false" diagonalDown="false">
      <left style="thin">
        <color rgb="FF7BA0CD"/>
      </left>
      <right style="thin">
        <color rgb="FF7BA0CD"/>
      </right>
      <top style="thin">
        <color rgb="FF7BA0CD"/>
      </top>
      <bottom/>
      <diagonal/>
    </border>
    <border diagonalUp="false" diagonalDown="false">
      <left style="thin">
        <color rgb="FF7BA0CD"/>
      </left>
      <right style="thin">
        <color rgb="FF7BA0CD"/>
      </right>
      <top/>
      <bottom style="thin">
        <color rgb="FF7BA0CD"/>
      </bottom>
      <diagonal/>
    </border>
    <border diagonalUp="false" diagonalDown="false">
      <left style="thin">
        <color rgb="FF7BA0CD"/>
      </left>
      <right style="thin">
        <color rgb="FF7BA0CD"/>
      </right>
      <top style="thin">
        <color rgb="FF7BA0CD"/>
      </top>
      <bottom style="thin">
        <color rgb="FF7BA0CD"/>
      </bottom>
      <diagonal/>
    </border>
    <border diagonalUp="false" diagonalDown="false">
      <left style="thin">
        <color rgb="FF7BA0CD"/>
      </left>
      <right style="thin">
        <color rgb="FF7BA0CD"/>
      </right>
      <top/>
      <bottom/>
      <diagonal/>
    </border>
    <border diagonalUp="false" diagonalDown="false">
      <left/>
      <right/>
      <top style="thin">
        <color rgb="FF7BA0CD"/>
      </top>
      <bottom/>
      <diagonal/>
    </border>
    <border diagonalUp="false" diagonalDown="false">
      <left style="thin">
        <color rgb="FF7F7F7F"/>
      </left>
      <right/>
      <top style="thin">
        <color rgb="FF7F7F7F"/>
      </top>
      <bottom/>
      <diagonal/>
    </border>
    <border diagonalUp="false" diagonalDown="false">
      <left/>
      <right/>
      <top style="thin">
        <color rgb="FF7F7F7F"/>
      </top>
      <bottom/>
      <diagonal/>
    </border>
    <border diagonalUp="false" diagonalDown="false">
      <left/>
      <right style="thin">
        <color rgb="FF7F7F7F"/>
      </right>
      <top style="thin">
        <color rgb="FF7F7F7F"/>
      </top>
      <bottom/>
      <diagonal/>
    </border>
    <border diagonalUp="false" diagonalDown="false">
      <left style="thin">
        <color rgb="FF7F7F7F"/>
      </left>
      <right/>
      <top/>
      <bottom/>
      <diagonal/>
    </border>
    <border diagonalUp="false" diagonalDown="false">
      <left/>
      <right style="thin">
        <color rgb="FF7F7F7F"/>
      </right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>
        <color rgb="FF7F7F7F"/>
      </left>
      <right/>
      <top/>
      <bottom style="thin">
        <color rgb="FF7F7F7F"/>
      </bottom>
      <diagonal/>
    </border>
    <border diagonalUp="false" diagonalDown="false">
      <left/>
      <right/>
      <top/>
      <bottom style="thin">
        <color rgb="FF7F7F7F"/>
      </bottom>
      <diagonal/>
    </border>
    <border diagonalUp="false" diagonalDown="false">
      <left/>
      <right style="thin">
        <color rgb="FF7F7F7F"/>
      </right>
      <top/>
      <bottom style="thin">
        <color rgb="FF7F7F7F"/>
      </bottom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>
        <color rgb="FF808080"/>
      </left>
      <right/>
      <top style="thin">
        <color rgb="FF808080"/>
      </top>
      <bottom style="thin">
        <color rgb="FF808080"/>
      </bottom>
      <diagonal/>
    </border>
    <border diagonalUp="false" diagonalDown="false">
      <left/>
      <right/>
      <top style="thin">
        <color rgb="FF808080"/>
      </top>
      <bottom style="thin">
        <color rgb="FF808080"/>
      </bottom>
      <diagonal/>
    </border>
    <border diagonalUp="false" diagonalDown="false">
      <left/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808080"/>
      </left>
      <right/>
      <top/>
      <bottom/>
      <diagonal/>
    </border>
    <border diagonalUp="false" diagonalDown="false">
      <left/>
      <right style="thin">
        <color rgb="FF808080"/>
      </right>
      <top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>
        <color rgb="FF808080"/>
      </left>
      <right/>
      <top/>
      <bottom style="thin">
        <color rgb="FF808080"/>
      </bottom>
      <diagonal/>
    </border>
    <border diagonalUp="false" diagonalDown="false">
      <left/>
      <right/>
      <top/>
      <bottom style="thin">
        <color rgb="FF808080"/>
      </bottom>
      <diagonal/>
    </border>
    <border diagonalUp="false" diagonalDown="false">
      <left/>
      <right style="thin">
        <color rgb="FF808080"/>
      </right>
      <top/>
      <bottom style="thin">
        <color rgb="FF80808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>
        <color rgb="FF7F7F7F"/>
      </left>
      <right/>
      <top style="thin">
        <color rgb="FF7F7F7F"/>
      </top>
      <bottom style="thin">
        <color rgb="FF7F7F7F"/>
      </bottom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>
        <color rgb="FF7F7F7F"/>
      </left>
      <right style="thin">
        <color rgb="FF7F7F7F"/>
      </right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 style="double"/>
      <bottom/>
      <diagonal/>
    </border>
    <border diagonalUp="false" diagonalDown="false">
      <left/>
      <right/>
      <top style="double"/>
      <bottom/>
      <diagonal/>
    </border>
    <border diagonalUp="false" diagonalDown="false">
      <left/>
      <right style="thin"/>
      <top style="double"/>
      <bottom style="double"/>
      <diagonal/>
    </border>
    <border diagonalUp="false" diagonalDown="false">
      <left/>
      <right style="thin"/>
      <top style="double"/>
      <bottom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thin"/>
      <top/>
      <bottom style="double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/>
      <top/>
      <bottom style="double"/>
      <diagonal/>
    </border>
    <border diagonalUp="false" diagonalDown="false">
      <left/>
      <right style="thin"/>
      <top style="thin"/>
      <bottom style="double"/>
      <diagonal/>
    </border>
    <border diagonalUp="false" diagonalDown="false">
      <left style="thin"/>
      <right/>
      <top style="double"/>
      <bottom style="thin"/>
      <diagonal/>
    </border>
    <border diagonalUp="false" diagonalDown="false">
      <left/>
      <right style="thin"/>
      <top/>
      <bottom style="hair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/>
      <right/>
      <top style="double"/>
      <bottom style="thin"/>
      <diagonal/>
    </border>
    <border diagonalUp="false" diagonalDown="false">
      <left/>
      <right style="thin"/>
      <top style="double"/>
      <bottom style="thin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/>
      <right/>
      <top style="thin"/>
      <bottom style="double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thin">
        <color rgb="FF010000"/>
      </top>
      <bottom style="thin">
        <color rgb="FF010000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83" fontId="5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5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5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6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6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" fillId="0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" fillId="0" borderId="1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6" fillId="0" borderId="1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4" fontId="6" fillId="2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5" fontId="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3" fontId="19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5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6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5" fontId="13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5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7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3" fontId="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20" fillId="7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0" fillId="7" borderId="15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4" fontId="6" fillId="2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75" fontId="21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5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12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22" fillId="8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22" fillId="8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8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5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9" fontId="12" fillId="5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0" fontId="12" fillId="5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7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7" fillId="0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7" fillId="9" borderId="1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7" fillId="0" borderId="1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7" fillId="0" borderId="1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4" fontId="7" fillId="2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9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9" fontId="12" fillId="5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0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70" fontId="7" fillId="0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1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80" fontId="12" fillId="1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70" fontId="6" fillId="0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74" fontId="6" fillId="0" borderId="0" xfId="0" applyFont="true" applyBorder="false" applyAlignment="true" applyProtection="true">
      <alignment horizontal="righ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4" fontId="2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2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24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4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0" borderId="1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4" fillId="0" borderId="2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2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0" borderId="2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25" fillId="11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5" fillId="0" borderId="2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0" borderId="2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0" borderId="2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25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5" fillId="12" borderId="2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5" fillId="0" borderId="2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5" fillId="12" borderId="2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25" fillId="13" borderId="2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5" fillId="13" borderId="2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5" fillId="13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4" fillId="0" borderId="3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4" fillId="0" borderId="26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2" fontId="24" fillId="0" borderId="2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24" fillId="0" borderId="27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82" fontId="24" fillId="0" borderId="3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84" fontId="24" fillId="12" borderId="1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82" fontId="24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4" fillId="0" borderId="1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6" fillId="14" borderId="1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82" fontId="24" fillId="15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84" fontId="24" fillId="12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82" fontId="24" fillId="7" borderId="3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84" fontId="27" fillId="14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82" fontId="24" fillId="7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0" borderId="3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0" borderId="1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24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5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24" fillId="0" borderId="2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0" borderId="2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0" borderId="29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9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0" fillId="16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3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9" fontId="28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9" fontId="28" fillId="0" borderId="3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9" fontId="31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3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9" fontId="31" fillId="0" borderId="3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3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16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2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10" xfId="0" applyFont="true" applyBorder="true" applyAlignment="true" applyProtection="true">
      <alignment horizontal="left" vertical="center" textRotation="0" wrapText="true" indent="13" shrinkToFit="false"/>
      <protection locked="true" hidden="false"/>
    </xf>
    <xf numFmtId="182" fontId="31" fillId="0" borderId="10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2" fontId="28" fillId="17" borderId="10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2" fontId="28" fillId="17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1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35" fillId="18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0" xfId="0" applyFont="true" applyBorder="true" applyAlignment="true" applyProtection="true">
      <alignment horizontal="left" vertical="center" textRotation="0" wrapText="false" indent="13" shrinkToFit="false"/>
      <protection locked="true" hidden="false"/>
    </xf>
    <xf numFmtId="164" fontId="35" fillId="0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2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82" fontId="31" fillId="2" borderId="0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9" fillId="19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2" fontId="38" fillId="19" borderId="10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2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82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9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8" fillId="0" borderId="1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8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1" fillId="0" borderId="1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0" fillId="16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0" fillId="2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32" fillId="2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17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79" fontId="43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9" fontId="4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2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5" fillId="2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6" fillId="21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7" fillId="21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21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21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21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8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22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7" fillId="22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7" fillId="22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22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2" fontId="45" fillId="17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4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2" fontId="49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17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4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2" fontId="49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4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4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2" fontId="45" fillId="17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21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21" borderId="3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2" fontId="46" fillId="21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4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8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2" fillId="5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5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2" fillId="23" borderId="1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6" fontId="52" fillId="23" borderId="1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5" fontId="52" fillId="23" borderId="1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52" fillId="24" borderId="1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52" fillId="25" borderId="1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1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2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85" fontId="0" fillId="2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0" fillId="2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6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85" fontId="0" fillId="2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0" fillId="2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6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79" fontId="12" fillId="5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6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6" fontId="5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4" fillId="2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9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7" fontId="6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2" fontId="6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1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8" fillId="28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29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9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28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28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8" fillId="28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6" fontId="61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0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7" fillId="0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2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28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28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28" borderId="5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28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56" fillId="0" borderId="5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7" fillId="0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56" fillId="0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7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8" fillId="2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4" fontId="42" fillId="2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58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8" fillId="3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6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5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5" fontId="57" fillId="0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0" fillId="2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4" fontId="0" fillId="2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54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27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5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88" fontId="5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5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5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5" fontId="5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3" fillId="28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58" fillId="28" borderId="6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4" fillId="28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5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2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5" fontId="5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6" fillId="0" borderId="6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7" fillId="0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56" fillId="0" borderId="6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57" fillId="0" borderId="6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6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5" fontId="5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8" borderId="6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8" borderId="6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4" fillId="28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28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28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6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2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4" fillId="2" borderId="6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57" fillId="0" borderId="6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57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2" borderId="6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2" borderId="6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4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57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4" fillId="2" borderId="7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57" fillId="0" borderId="7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5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8" fontId="57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4" fillId="2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4" fillId="2" borderId="7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54" fillId="2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4" fillId="2" borderId="5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4" fillId="2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4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4" fillId="2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2" borderId="7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4" fillId="2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74" fontId="13" fillId="2" borderId="7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13" fillId="31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3" fillId="31" borderId="7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3" fillId="31" borderId="7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3" fillId="31" borderId="7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3" fillId="31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3" fillId="31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3" fillId="31" borderId="7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3" fillId="31" borderId="6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3" fillId="31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3" fillId="0" borderId="7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3" fillId="0" borderId="78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6" fillId="0" borderId="2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6" fillId="0" borderId="2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6" fillId="0" borderId="23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4" fontId="6" fillId="0" borderId="79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4" fontId="6" fillId="30" borderId="2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6" fillId="30" borderId="2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6" fillId="0" borderId="3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6" fillId="0" borderId="8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6" fillId="0" borderId="1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6" fillId="0" borderId="10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4" fontId="6" fillId="0" borderId="50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4" fontId="6" fillId="30" borderId="1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6" fillId="30" borderId="2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6" fillId="0" borderId="3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13" fillId="0" borderId="3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3" fillId="0" borderId="3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13" fillId="0" borderId="8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6" fillId="0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6" fillId="0" borderId="8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6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6" fillId="0" borderId="29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6" fillId="0" borderId="29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4" fontId="6" fillId="0" borderId="82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4" fontId="6" fillId="30" borderId="1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6" fillId="30" borderId="8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7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7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4" fontId="4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4" fontId="4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4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9" fillId="2" borderId="2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4" fontId="8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2" borderId="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9" fillId="2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32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32" borderId="2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3" fillId="32" borderId="7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3" fillId="32" borderId="2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89" fontId="6" fillId="32" borderId="7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9" fontId="6" fillId="32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9" fontId="6" fillId="32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32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32" borderId="1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13" fillId="32" borderId="5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3" fillId="13" borderId="5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3" fillId="13" borderId="2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4" fontId="6" fillId="32" borderId="8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4" fontId="6" fillId="32" borderId="1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6" fillId="33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4" fontId="6" fillId="33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86" fontId="6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86" fontId="6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4" fontId="6" fillId="32" borderId="84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13" fillId="32" borderId="85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3" fillId="33" borderId="2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90" fontId="13" fillId="33" borderId="8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90" fontId="13" fillId="33" borderId="8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0" borderId="34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87" fontId="66" fillId="0" borderId="7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86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5" fillId="0" borderId="87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6" fillId="0" borderId="88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5" fillId="0" borderId="8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67" fillId="0" borderId="9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0" borderId="91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0" fillId="0" borderId="9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0" borderId="9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5" fillId="0" borderId="9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0" borderId="2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0" borderId="94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95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5" fillId="0" borderId="9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65" fillId="0" borderId="94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91" fontId="65" fillId="0" borderId="9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6" fontId="65" fillId="0" borderId="9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6" fontId="65" fillId="0" borderId="97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6" fontId="65" fillId="0" borderId="9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65" fillId="0" borderId="94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96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9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91" fontId="65" fillId="0" borderId="9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6" fontId="65" fillId="0" borderId="96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65" fillId="0" borderId="95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9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92" fontId="65" fillId="0" borderId="9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0" borderId="99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99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5" fillId="0" borderId="9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92" fontId="65" fillId="0" borderId="9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6" fontId="65" fillId="0" borderId="99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8" fillId="0" borderId="10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91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5" fillId="0" borderId="101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69" fillId="34" borderId="9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8" fillId="0" borderId="34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0" xfId="2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5" fillId="0" borderId="0" xfId="22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5" fontId="69" fillId="34" borderId="7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8" fillId="0" borderId="5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7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7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5" fillId="0" borderId="72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69" fillId="34" borderId="25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7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10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0" borderId="8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0" borderId="2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65" fillId="0" borderId="95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65" fillId="0" borderId="95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5" fillId="0" borderId="9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65" fillId="0" borderId="9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65" fillId="0" borderId="103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5" fillId="0" borderId="26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65" fillId="0" borderId="25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0" borderId="10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65" fillId="0" borderId="31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10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9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9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69" fillId="34" borderId="104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10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105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106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33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3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31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31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6" fontId="65" fillId="0" borderId="66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3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0" borderId="3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6" fontId="69" fillId="35" borderId="1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66" fillId="0" borderId="9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6" fontId="65" fillId="0" borderId="107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6" fontId="65" fillId="0" borderId="9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6" fontId="65" fillId="0" borderId="108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6" fontId="65" fillId="0" borderId="109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11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111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111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6" fontId="69" fillId="34" borderId="101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0" fillId="0" borderId="10" xfId="22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5" fillId="0" borderId="11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113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65" fillId="0" borderId="113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97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65" fillId="0" borderId="10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65" fillId="0" borderId="25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0" fillId="0" borderId="10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5" fillId="0" borderId="108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109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69" fillId="34" borderId="1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6" borderId="1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6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1" fillId="0" borderId="1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71" fillId="0" borderId="1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1" fillId="0" borderId="1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1" fillId="0" borderId="1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93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4" fillId="0" borderId="10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74" fillId="0" borderId="3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75" fillId="0" borderId="3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82" fontId="75" fillId="0" borderId="3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79" fontId="76" fillId="37" borderId="68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76" fillId="37" borderId="70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79" fontId="76" fillId="37" borderId="70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76" fillId="37" borderId="70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77" fillId="37" borderId="70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82" fontId="77" fillId="37" borderId="70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79" fontId="78" fillId="34" borderId="68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79" fontId="78" fillId="34" borderId="70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78" fillId="34" borderId="70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79" fillId="34" borderId="70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82" fontId="79" fillId="34" borderId="70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79" fontId="80" fillId="0" borderId="68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79" fontId="80" fillId="0" borderId="70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74" fontId="80" fillId="0" borderId="70" xfId="0" applyFont="true" applyBorder="true" applyAlignment="true" applyProtection="false">
      <alignment horizontal="right" vertical="center" textRotation="0" wrapText="true" indent="0" shrinkToFit="false" readingOrder="1"/>
      <protection locked="true" hidden="false"/>
    </xf>
    <xf numFmtId="174" fontId="66" fillId="0" borderId="70" xfId="0" applyFont="true" applyBorder="true" applyAlignment="true" applyProtection="false">
      <alignment horizontal="right" vertical="center" textRotation="0" wrapText="true" indent="0" shrinkToFit="false" readingOrder="1"/>
      <protection locked="true" hidden="false"/>
    </xf>
    <xf numFmtId="182" fontId="66" fillId="0" borderId="70" xfId="0" applyFont="true" applyBorder="true" applyAlignment="true" applyProtection="false">
      <alignment horizontal="right" vertical="center" textRotation="0" wrapText="true" indent="0" shrinkToFit="false" readingOrder="1"/>
      <protection locked="true" hidden="false"/>
    </xf>
    <xf numFmtId="164" fontId="42" fillId="2" borderId="7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94" fontId="0" fillId="2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9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1" fillId="38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9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9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0" borderId="1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2" fontId="0" fillId="4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2" fontId="0" fillId="2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8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8" fillId="38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9" borderId="3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7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2" fontId="0" fillId="2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82" fontId="0" fillId="4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8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95" fontId="8" fillId="38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8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82" fontId="6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6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5" fillId="2" borderId="6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6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8" xfId="21"/>
    <cellStyle name="Normal_MODELO CPU DF-2008" xfId="22"/>
    <cellStyle name="Normal_Pesquisa no referencial 10 de maio de 2013" xfId="23"/>
    <cellStyle name="Normal_planilha 04.06.03" xfId="24"/>
    <cellStyle name="Porcentagem 2" xfId="25"/>
    <cellStyle name="Porcentagem 2 2" xfId="26"/>
  </cellStyles>
  <colors>
    <indexedColors>
      <rgbColor rgb="FF000000"/>
      <rgbColor rgb="FFFFFFFF"/>
      <rgbColor rgb="FFFF0000"/>
      <rgbColor rgb="FFC3D69B"/>
      <rgbColor rgb="FF0000FF"/>
      <rgbColor rgb="FFFFFF00"/>
      <rgbColor rgb="FFDDDDDD"/>
      <rgbColor rgb="FFB3CAC7"/>
      <rgbColor rgb="FF800000"/>
      <rgbColor rgb="FFDDD9C3"/>
      <rgbColor rgb="FF000080"/>
      <rgbColor rgb="FFB85C00"/>
      <rgbColor rgb="FF800080"/>
      <rgbColor rgb="FFC5E0B4"/>
      <rgbColor rgb="FFC0C0C0"/>
      <rgbColor rgb="FF808080"/>
      <rgbColor rgb="FF8EB4E3"/>
      <rgbColor rgb="FFE8A202"/>
      <rgbColor rgb="FFFFF5CE"/>
      <rgbColor rgb="FFE2F0D9"/>
      <rgbColor rgb="FF660066"/>
      <rgbColor rgb="FFED7D31"/>
      <rgbColor rgb="FF2A6099"/>
      <rgbColor rgb="FFCCCCFF"/>
      <rgbColor rgb="FF000080"/>
      <rgbColor rgb="FFFCE4D6"/>
      <rgbColor rgb="FFFFC000"/>
      <rgbColor rgb="FFBDD7EE"/>
      <rgbColor rgb="FF800080"/>
      <rgbColor rgb="FF800000"/>
      <rgbColor rgb="FFC6D9F1"/>
      <rgbColor rgb="FF0000FF"/>
      <rgbColor rgb="FFB4C7DC"/>
      <rgbColor rgb="FFE2EFDA"/>
      <rgbColor rgb="FFCCFFCC"/>
      <rgbColor rgb="FFFFFF99"/>
      <rgbColor rgb="FF9DC3E6"/>
      <rgbColor rgb="FFE6B9B8"/>
      <rgbColor rgb="FFA9A9A9"/>
      <rgbColor rgb="FFFFCC99"/>
      <rgbColor rgb="FFBFBFBF"/>
      <rgbColor rgb="FF7BA0CD"/>
      <rgbColor rgb="FFA9D18E"/>
      <rgbColor rgb="FFFFCC00"/>
      <rgbColor rgb="FFFF9900"/>
      <rgbColor rgb="FFFF6600"/>
      <rgbColor rgb="FF7F7F7F"/>
      <rgbColor rgb="FF969696"/>
      <rgbColor rgb="FF003366"/>
      <rgbColor rgb="FF999999"/>
      <rgbColor rgb="FF010000"/>
      <rgbColor rgb="FFE8F2A1"/>
      <rgbColor rgb="FF993300"/>
      <rgbColor rgb="FFCCCCCC"/>
      <rgbColor rgb="FF1F497D"/>
      <rgbColor rgb="FFD9D9D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externalLink" Target="externalLinks/externalLink1.xml"/><Relationship Id="rId1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jpe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30960</xdr:colOff>
      <xdr:row>1</xdr:row>
      <xdr:rowOff>31320</xdr:rowOff>
    </xdr:from>
    <xdr:to>
      <xdr:col>2</xdr:col>
      <xdr:colOff>1316520</xdr:colOff>
      <xdr:row>4</xdr:row>
      <xdr:rowOff>86040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252360" y="193680"/>
          <a:ext cx="2263320" cy="583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67680</xdr:colOff>
      <xdr:row>1</xdr:row>
      <xdr:rowOff>138240</xdr:rowOff>
    </xdr:from>
    <xdr:to>
      <xdr:col>5</xdr:col>
      <xdr:colOff>709200</xdr:colOff>
      <xdr:row>3</xdr:row>
      <xdr:rowOff>174600</xdr:rowOff>
    </xdr:to>
    <xdr:pic>
      <xdr:nvPicPr>
        <xdr:cNvPr id="1" name="Imagem 4" descr=""/>
        <xdr:cNvPicPr/>
      </xdr:nvPicPr>
      <xdr:blipFill>
        <a:blip r:embed="rId1"/>
        <a:stretch/>
      </xdr:blipFill>
      <xdr:spPr>
        <a:xfrm>
          <a:off x="484200" y="328680"/>
          <a:ext cx="1619280" cy="417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762120</xdr:colOff>
      <xdr:row>1</xdr:row>
      <xdr:rowOff>0</xdr:rowOff>
    </xdr:from>
    <xdr:to>
      <xdr:col>1</xdr:col>
      <xdr:colOff>2259720</xdr:colOff>
      <xdr:row>3</xdr:row>
      <xdr:rowOff>126000</xdr:rowOff>
    </xdr:to>
    <xdr:pic>
      <xdr:nvPicPr>
        <xdr:cNvPr id="2" name="Imagem 2_1" descr=""/>
        <xdr:cNvPicPr/>
      </xdr:nvPicPr>
      <xdr:blipFill>
        <a:blip r:embed="rId1"/>
        <a:stretch/>
      </xdr:blipFill>
      <xdr:spPr>
        <a:xfrm>
          <a:off x="762120" y="228600"/>
          <a:ext cx="2263320" cy="583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160920</xdr:colOff>
      <xdr:row>0</xdr:row>
      <xdr:rowOff>196920</xdr:rowOff>
    </xdr:from>
    <xdr:to>
      <xdr:col>0</xdr:col>
      <xdr:colOff>2970360</xdr:colOff>
      <xdr:row>0</xdr:row>
      <xdr:rowOff>920880</xdr:rowOff>
    </xdr:to>
    <xdr:pic>
      <xdr:nvPicPr>
        <xdr:cNvPr id="3" name="Imagem 2_0" descr=""/>
        <xdr:cNvPicPr/>
      </xdr:nvPicPr>
      <xdr:blipFill>
        <a:blip r:embed="rId1"/>
        <a:stretch/>
      </xdr:blipFill>
      <xdr:spPr>
        <a:xfrm>
          <a:off x="160920" y="196920"/>
          <a:ext cx="2809440" cy="723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219240</xdr:colOff>
      <xdr:row>2</xdr:row>
      <xdr:rowOff>126720</xdr:rowOff>
    </xdr:from>
    <xdr:to>
      <xdr:col>1</xdr:col>
      <xdr:colOff>186480</xdr:colOff>
      <xdr:row>5</xdr:row>
      <xdr:rowOff>82440</xdr:rowOff>
    </xdr:to>
    <xdr:pic>
      <xdr:nvPicPr>
        <xdr:cNvPr id="4" name="Imagem 3" descr=""/>
        <xdr:cNvPicPr/>
      </xdr:nvPicPr>
      <xdr:blipFill>
        <a:blip r:embed="rId1"/>
        <a:srcRect l="16424" t="0" r="14761" b="0"/>
        <a:stretch/>
      </xdr:blipFill>
      <xdr:spPr>
        <a:xfrm>
          <a:off x="219240" y="477000"/>
          <a:ext cx="863640" cy="481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266760</xdr:colOff>
      <xdr:row>0</xdr:row>
      <xdr:rowOff>161640</xdr:rowOff>
    </xdr:from>
    <xdr:to>
      <xdr:col>1</xdr:col>
      <xdr:colOff>542880</xdr:colOff>
      <xdr:row>2</xdr:row>
      <xdr:rowOff>93240</xdr:rowOff>
    </xdr:to>
    <xdr:pic>
      <xdr:nvPicPr>
        <xdr:cNvPr id="5" name="Imagem 1" descr=""/>
        <xdr:cNvPicPr/>
      </xdr:nvPicPr>
      <xdr:blipFill>
        <a:blip r:embed="rId1"/>
        <a:srcRect l="16424" t="0" r="14761" b="0"/>
        <a:stretch/>
      </xdr:blipFill>
      <xdr:spPr>
        <a:xfrm>
          <a:off x="266760" y="161640"/>
          <a:ext cx="770040" cy="445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608400</xdr:colOff>
      <xdr:row>45</xdr:row>
      <xdr:rowOff>80280</xdr:rowOff>
    </xdr:from>
    <xdr:to>
      <xdr:col>13</xdr:col>
      <xdr:colOff>495720</xdr:colOff>
      <xdr:row>59</xdr:row>
      <xdr:rowOff>123480</xdr:rowOff>
    </xdr:to>
    <xdr:sp>
      <xdr:nvSpPr>
        <xdr:cNvPr id="6" name="CustomShape 1"/>
        <xdr:cNvSpPr/>
      </xdr:nvSpPr>
      <xdr:spPr>
        <a:xfrm>
          <a:off x="6412680" y="7764840"/>
          <a:ext cx="5192280" cy="247212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  <a:tabLst>
              <a:tab algn="l" pos="0"/>
            </a:tabLst>
          </a:pPr>
          <a:r>
            <a:rPr b="0" lang="en-US" sz="1100" spc="-1" strike="noStrike">
              <a:solidFill>
                <a:srgbClr val="000000"/>
              </a:solidFill>
              <a:latin typeface="Calibri"/>
            </a:rPr>
            <a:t>Premissas: A edificação em questão foi desapropriada pela Justiça Federal de Primeiro grau há alguns anos, não possuindo projetos detalhados do sistema de fachadas e cortes. Com isso, é necessário o levantamento externo de toda a edificação, além da execução de um as-built para que os projetos de fachada possam ser desenvolvidos. Dianta da dificuldade apresentada e da necessidade de um bom detalhamento, foi optado pela tecnologia do laser scan de modo a aliar velocidade com precisão para o desenvolvimento da solução.</a:t>
          </a:r>
          <a:endParaRPr b="0" lang="pt-BR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51</xdr:row>
      <xdr:rowOff>95400</xdr:rowOff>
    </xdr:from>
    <xdr:to>
      <xdr:col>10</xdr:col>
      <xdr:colOff>382680</xdr:colOff>
      <xdr:row>83</xdr:row>
      <xdr:rowOff>10800</xdr:rowOff>
    </xdr:to>
    <xdr:pic>
      <xdr:nvPicPr>
        <xdr:cNvPr id="7" name="Imagem 1" descr=""/>
        <xdr:cNvPicPr/>
      </xdr:nvPicPr>
      <xdr:blipFill>
        <a:blip r:embed="rId1"/>
        <a:stretch/>
      </xdr:blipFill>
      <xdr:spPr>
        <a:xfrm>
          <a:off x="0" y="8908560"/>
          <a:ext cx="9285840" cy="513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82</xdr:row>
      <xdr:rowOff>16560</xdr:rowOff>
    </xdr:from>
    <xdr:to>
      <xdr:col>10</xdr:col>
      <xdr:colOff>554040</xdr:colOff>
      <xdr:row>85</xdr:row>
      <xdr:rowOff>22320</xdr:rowOff>
    </xdr:to>
    <xdr:pic>
      <xdr:nvPicPr>
        <xdr:cNvPr id="8" name="Imagem 2" descr=""/>
        <xdr:cNvPicPr/>
      </xdr:nvPicPr>
      <xdr:blipFill>
        <a:blip r:embed="rId2"/>
        <a:stretch/>
      </xdr:blipFill>
      <xdr:spPr>
        <a:xfrm>
          <a:off x="0" y="13881600"/>
          <a:ext cx="9457200" cy="493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14</xdr:col>
      <xdr:colOff>442800</xdr:colOff>
      <xdr:row>44</xdr:row>
      <xdr:rowOff>101520</xdr:rowOff>
    </xdr:from>
    <xdr:to>
      <xdr:col>22</xdr:col>
      <xdr:colOff>521280</xdr:colOff>
      <xdr:row>56</xdr:row>
      <xdr:rowOff>91440</xdr:rowOff>
    </xdr:to>
    <xdr:sp>
      <xdr:nvSpPr>
        <xdr:cNvPr id="9" name="CustomShape 1"/>
        <xdr:cNvSpPr/>
      </xdr:nvSpPr>
      <xdr:spPr>
        <a:xfrm>
          <a:off x="12171600" y="7610760"/>
          <a:ext cx="5510520" cy="210636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  <a:tabLst>
              <a:tab algn="l" pos="0"/>
            </a:tabLst>
          </a:pPr>
          <a:r>
            <a:rPr b="0" lang="en-US" sz="1100" spc="-1" strike="noStrike">
              <a:solidFill>
                <a:srgbClr val="000000"/>
              </a:solidFill>
              <a:latin typeface="Calibri"/>
            </a:rPr>
            <a:t>Premissas: A edificação em questão foi desapropriada pela Justiça Federal de Primeiro grau há alguns anos, não possuindo projetos detalhados do sistema de fachadas e cortes. Com isso, é necessário o levantamento externo de toda a edificação, além da execução de um as-built para que os projetos de fachada possam ser desenvolvidos. Dianta da dificuldade apresentada e da necessidade de um bom detalhamento, foi optado pela tecnologia do laser scan de modo a aliar velocidade com precisão para o desenvolvimento da solução.</a:t>
          </a:r>
          <a:endParaRPr b="0" lang="pt-BR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DFF4D8A7/ORC_Ref_Projetos_ODC_rev6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 ORÇ. ANALÍT"/>
      <sheetName val="FATOR K"/>
      <sheetName val="TAB SALARIAL"/>
      <sheetName val="DIMENS-EQUIPE"/>
      <sheetName val="2023.10 CPU´s"/>
      <sheetName val="MC QUADRO ARE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2A6099"/>
    <pageSetUpPr fitToPage="true"/>
  </sheetPr>
  <dimension ref="A1:BB28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G27" activeCellId="0" sqref="G27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3.14"/>
    <col collapsed="false" customWidth="true" hidden="false" outlineLevel="0" max="2" min="2" style="2" width="13.86"/>
    <col collapsed="false" customWidth="true" hidden="false" outlineLevel="0" max="3" min="3" style="2" width="31.69"/>
    <col collapsed="false" customWidth="true" hidden="false" outlineLevel="0" max="4" min="4" style="3" width="12.57"/>
    <col collapsed="false" customWidth="true" hidden="false" outlineLevel="0" max="5" min="5" style="3" width="14.86"/>
    <col collapsed="false" customWidth="true" hidden="false" outlineLevel="0" max="6" min="6" style="4" width="17.59"/>
    <col collapsed="false" customWidth="true" hidden="false" outlineLevel="0" max="7" min="7" style="3" width="13.86"/>
    <col collapsed="false" customWidth="true" hidden="false" outlineLevel="0" max="9" min="8" style="5" width="11.14"/>
    <col collapsed="false" customWidth="true" hidden="false" outlineLevel="0" max="10" min="10" style="6" width="2.99"/>
    <col collapsed="false" customWidth="false" hidden="false" outlineLevel="0" max="11" min="11" style="1" width="9.13"/>
    <col collapsed="false" customWidth="true" hidden="false" outlineLevel="0" max="12" min="12" style="1" width="12.86"/>
    <col collapsed="false" customWidth="true" hidden="false" outlineLevel="0" max="13" min="13" style="1" width="13.02"/>
    <col collapsed="false" customWidth="true" hidden="false" outlineLevel="0" max="14" min="14" style="3" width="10.85"/>
    <col collapsed="false" customWidth="false" hidden="false" outlineLevel="0" max="1024" min="15" style="3" width="9.13"/>
  </cols>
  <sheetData>
    <row r="1" s="1" customFormat="true" ht="12.8" hidden="false" customHeight="false" outlineLevel="0" collapsed="false">
      <c r="B1" s="7"/>
      <c r="C1" s="7"/>
      <c r="F1" s="8"/>
      <c r="H1" s="6"/>
      <c r="I1" s="6"/>
      <c r="J1" s="6"/>
    </row>
    <row r="2" customFormat="false" ht="15" hidden="false" customHeight="false" outlineLevel="0" collapsed="false">
      <c r="B2" s="9"/>
      <c r="C2" s="10"/>
      <c r="D2" s="10"/>
      <c r="E2" s="10"/>
      <c r="F2" s="10"/>
      <c r="G2" s="10"/>
      <c r="H2" s="10"/>
      <c r="I2" s="11"/>
      <c r="J2" s="12"/>
    </row>
    <row r="3" customFormat="false" ht="13.8" hidden="false" customHeight="false" outlineLevel="0" collapsed="false">
      <c r="B3" s="13"/>
      <c r="C3" s="12"/>
      <c r="D3" s="14" t="s">
        <v>0</v>
      </c>
      <c r="E3" s="12"/>
      <c r="F3" s="12"/>
      <c r="G3" s="12"/>
      <c r="H3" s="12"/>
      <c r="I3" s="15"/>
      <c r="J3" s="12"/>
    </row>
    <row r="4" customFormat="false" ht="12.8" hidden="false" customHeight="false" outlineLevel="0" collapsed="false">
      <c r="B4" s="13"/>
      <c r="C4" s="12"/>
      <c r="D4" s="16" t="s">
        <v>1</v>
      </c>
      <c r="E4" s="12"/>
      <c r="F4" s="12"/>
      <c r="G4" s="12"/>
      <c r="H4" s="12"/>
      <c r="I4" s="15"/>
      <c r="J4" s="12"/>
    </row>
    <row r="5" customFormat="false" ht="12.8" hidden="false" customHeight="false" outlineLevel="0" collapsed="false">
      <c r="B5" s="13"/>
      <c r="C5" s="12"/>
      <c r="D5" s="16" t="s">
        <v>2</v>
      </c>
      <c r="E5" s="12"/>
      <c r="F5" s="12"/>
      <c r="G5" s="12"/>
      <c r="H5" s="12"/>
      <c r="I5" s="15"/>
      <c r="J5" s="12"/>
    </row>
    <row r="6" customFormat="false" ht="12.8" hidden="false" customHeight="false" outlineLevel="0" collapsed="false">
      <c r="B6" s="13"/>
      <c r="C6" s="12"/>
      <c r="D6" s="17" t="s">
        <v>3</v>
      </c>
      <c r="E6" s="12"/>
      <c r="F6" s="12"/>
      <c r="G6" s="12"/>
      <c r="H6" s="12"/>
      <c r="I6" s="15"/>
      <c r="J6" s="12"/>
    </row>
    <row r="7" customFormat="false" ht="17.35" hidden="false" customHeight="true" outlineLevel="0" collapsed="false">
      <c r="B7" s="18" t="s">
        <v>4</v>
      </c>
      <c r="C7" s="18"/>
      <c r="D7" s="18"/>
      <c r="E7" s="18"/>
      <c r="F7" s="18"/>
      <c r="G7" s="18"/>
      <c r="H7" s="18"/>
      <c r="I7" s="18"/>
      <c r="J7" s="19"/>
    </row>
    <row r="8" customFormat="false" ht="15" hidden="false" customHeight="true" outlineLevel="0" collapsed="false">
      <c r="B8" s="20" t="s">
        <v>5</v>
      </c>
      <c r="C8" s="20"/>
      <c r="D8" s="21"/>
      <c r="E8" s="21"/>
      <c r="F8" s="21"/>
      <c r="G8" s="21"/>
      <c r="H8" s="21"/>
      <c r="I8" s="22"/>
      <c r="J8" s="23"/>
    </row>
    <row r="9" customFormat="false" ht="15" hidden="false" customHeight="false" outlineLevel="0" collapsed="false">
      <c r="B9" s="24" t="s">
        <v>6</v>
      </c>
      <c r="C9" s="25" t="str">
        <f aca="false">PL_ORC_ANALIT!F9</f>
        <v>Mar / 2024</v>
      </c>
      <c r="D9" s="23"/>
      <c r="E9" s="23"/>
      <c r="F9" s="23"/>
      <c r="G9" s="23"/>
      <c r="H9" s="23"/>
      <c r="I9" s="26"/>
      <c r="J9" s="23"/>
    </row>
    <row r="10" customFormat="false" ht="22.45" hidden="false" customHeight="false" outlineLevel="0" collapsed="false">
      <c r="B10" s="27" t="str">
        <f aca="false">PL_ORC_ANALIT!B10</f>
        <v>Contratação de serviços de manutenção corretiva em sistemas hidráulicos dos edifícios Antônio Fernando Pinheiro (AFP), Euclydes Reis Aguiar (ERA) e Oscar Dias Corrêa (ODC) do Tribunal Regional Federal da 6ª Região em Belo Horizonte/MG.</v>
      </c>
      <c r="C10" s="27"/>
      <c r="D10" s="27"/>
      <c r="E10" s="27"/>
      <c r="F10" s="27"/>
      <c r="G10" s="27"/>
      <c r="H10" s="27"/>
      <c r="I10" s="27"/>
      <c r="J10" s="28"/>
    </row>
    <row r="11" s="4" customFormat="true" ht="12.8" hidden="false" customHeight="true" outlineLevel="0" collapsed="false">
      <c r="A11" s="8"/>
      <c r="B11" s="29" t="s">
        <v>7</v>
      </c>
      <c r="C11" s="29"/>
      <c r="D11" s="30" t="s">
        <v>8</v>
      </c>
      <c r="E11" s="30" t="s">
        <v>9</v>
      </c>
      <c r="F11" s="30" t="s">
        <v>10</v>
      </c>
      <c r="G11" s="31" t="s">
        <v>11</v>
      </c>
      <c r="H11" s="32" t="s">
        <v>12</v>
      </c>
      <c r="I11" s="32"/>
      <c r="J11" s="23"/>
      <c r="K11" s="8"/>
      <c r="L11" s="8"/>
      <c r="M11" s="8"/>
    </row>
    <row r="12" s="4" customFormat="true" ht="12.8" hidden="false" customHeight="false" outlineLevel="0" collapsed="false">
      <c r="A12" s="8"/>
      <c r="B12" s="29"/>
      <c r="C12" s="29"/>
      <c r="D12" s="30"/>
      <c r="E12" s="30"/>
      <c r="F12" s="30"/>
      <c r="G12" s="31"/>
      <c r="H12" s="33" t="s">
        <v>13</v>
      </c>
      <c r="I12" s="34" t="n">
        <f aca="false">BDI!H25</f>
        <v>0</v>
      </c>
      <c r="J12" s="23"/>
      <c r="K12" s="8"/>
      <c r="L12" s="8"/>
      <c r="M12" s="8"/>
    </row>
    <row r="13" s="41" customFormat="true" ht="12.8" hidden="false" customHeight="false" outlineLevel="0" collapsed="false">
      <c r="A13" s="8"/>
      <c r="B13" s="35" t="n">
        <v>1</v>
      </c>
      <c r="C13" s="36" t="s">
        <v>14</v>
      </c>
      <c r="D13" s="37"/>
      <c r="E13" s="37"/>
      <c r="F13" s="37"/>
      <c r="G13" s="37"/>
      <c r="H13" s="38"/>
      <c r="I13" s="38"/>
      <c r="J13" s="39"/>
      <c r="K13" s="8"/>
      <c r="L13" s="40"/>
      <c r="M13" s="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</row>
    <row r="14" s="53" customFormat="true" ht="27.15" hidden="false" customHeight="false" outlineLevel="0" collapsed="false">
      <c r="A14" s="1"/>
      <c r="B14" s="42" t="n">
        <f aca="false">PL_ORC_ANALIT!B12</f>
        <v>1</v>
      </c>
      <c r="C14" s="43" t="str">
        <f aca="false">PL_ORC_ANALIT!C12</f>
        <v>SERVIÇO 1: REPARAÇÃO DE VAZAMENTO NA PRUMADA, EM SANITÁRIO 3º/4º ANDAR DO EDIFÍCIO AFP (SECRIM)</v>
      </c>
      <c r="D14" s="44" t="n">
        <v>1</v>
      </c>
      <c r="E14" s="45" t="s">
        <v>9</v>
      </c>
      <c r="F14" s="46" t="n">
        <f aca="false">PL_ORC_ANALIT!K12</f>
        <v>0</v>
      </c>
      <c r="G14" s="46" t="n">
        <f aca="false">D14*F14</f>
        <v>0</v>
      </c>
      <c r="H14" s="47" t="n">
        <f aca="false">PL_ORC_ANALIT!L12</f>
        <v>0</v>
      </c>
      <c r="I14" s="47"/>
      <c r="J14" s="48"/>
      <c r="K14" s="49"/>
      <c r="L14" s="50"/>
      <c r="M14" s="1"/>
      <c r="N14" s="51"/>
      <c r="O14" s="3"/>
      <c r="P14" s="52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  <row r="15" s="56" customFormat="true" ht="27.15" hidden="false" customHeight="false" outlineLevel="0" collapsed="false">
      <c r="A15" s="23"/>
      <c r="B15" s="42" t="n">
        <f aca="false">PL_ORC_ANALIT!B24</f>
        <v>2</v>
      </c>
      <c r="C15" s="43" t="str">
        <f aca="false">PL_ORC_ANALIT!C24</f>
        <v>SERVIÇO 2: TROCA DOS REGISTROS DA PRUMADA DA CAIXA D'ÁGUA DO EDIFÍCIO ERA - PROBLEMA DE VAZAMENTO</v>
      </c>
      <c r="D15" s="44" t="n">
        <v>1</v>
      </c>
      <c r="E15" s="45" t="s">
        <v>9</v>
      </c>
      <c r="F15" s="46" t="n">
        <f aca="false">PL_ORC_ANALIT!K24</f>
        <v>0</v>
      </c>
      <c r="G15" s="46" t="n">
        <f aca="false">D15*F15</f>
        <v>0</v>
      </c>
      <c r="H15" s="47" t="n">
        <f aca="false">PL_ORC_ANALIT!L24</f>
        <v>0</v>
      </c>
      <c r="I15" s="47"/>
      <c r="J15" s="48"/>
      <c r="K15" s="54"/>
      <c r="L15" s="50"/>
      <c r="M15" s="54"/>
      <c r="N15" s="55"/>
      <c r="P15" s="57"/>
    </row>
    <row r="16" customFormat="false" ht="27.15" hidden="false" customHeight="false" outlineLevel="0" collapsed="false">
      <c r="B16" s="42" t="n">
        <f aca="false">PL_ORC_ANALIT!B34</f>
        <v>3</v>
      </c>
      <c r="C16" s="43" t="str">
        <f aca="false">PL_ORC_ANALIT!F34</f>
        <v>SERVIÇO 3: APLICAÇÃO DE MANTA NO 12º ANDAR DO ED. ERA - PROBLEMA DE INFILTRAÇÃO.</v>
      </c>
      <c r="D16" s="44" t="n">
        <v>1</v>
      </c>
      <c r="E16" s="45" t="s">
        <v>9</v>
      </c>
      <c r="F16" s="46" t="n">
        <f aca="false">PL_ORC_ANALIT!K34</f>
        <v>0</v>
      </c>
      <c r="G16" s="46" t="n">
        <f aca="false">D16*F16</f>
        <v>0</v>
      </c>
      <c r="H16" s="47" t="n">
        <f aca="false">PL_ORC_ANALIT!L34</f>
        <v>0</v>
      </c>
      <c r="I16" s="47"/>
      <c r="J16" s="48"/>
      <c r="L16" s="50"/>
      <c r="M16" s="58"/>
      <c r="N16" s="51"/>
    </row>
    <row r="17" customFormat="false" ht="27.15" hidden="false" customHeight="false" outlineLevel="0" collapsed="false">
      <c r="B17" s="42" t="n">
        <f aca="false">PL_ORC_ANALIT!B40</f>
        <v>4</v>
      </c>
      <c r="C17" s="43" t="str">
        <f aca="false">PL_ORC_ANALIT!C40</f>
        <v>SERVIÇO 4: TROCA DA TUBULAÇÃO DA DESCIDA DA PRUMADA DE UMA TORRE DE RESFRIAMENTO DO ED. ODC</v>
      </c>
      <c r="D17" s="44" t="n">
        <v>1</v>
      </c>
      <c r="E17" s="45" t="s">
        <v>9</v>
      </c>
      <c r="F17" s="46" t="n">
        <f aca="false">PL_ORC_ANALIT!K40</f>
        <v>0</v>
      </c>
      <c r="G17" s="46" t="n">
        <f aca="false">D17*F17</f>
        <v>0</v>
      </c>
      <c r="H17" s="47" t="n">
        <f aca="false">PL_ORC_ANALIT!L40</f>
        <v>0</v>
      </c>
      <c r="I17" s="47"/>
      <c r="J17" s="48"/>
      <c r="L17" s="50"/>
      <c r="M17" s="58"/>
      <c r="N17" s="51"/>
    </row>
    <row r="18" s="65" customFormat="true" ht="12.8" hidden="false" customHeight="true" outlineLevel="0" collapsed="false">
      <c r="A18" s="59"/>
      <c r="B18" s="60" t="s">
        <v>15</v>
      </c>
      <c r="C18" s="60"/>
      <c r="D18" s="60"/>
      <c r="E18" s="60"/>
      <c r="F18" s="60"/>
      <c r="G18" s="61" t="n">
        <f aca="false">H14+H15+H16+H17</f>
        <v>0</v>
      </c>
      <c r="H18" s="61"/>
      <c r="I18" s="61"/>
      <c r="J18" s="62"/>
      <c r="K18" s="59"/>
      <c r="L18" s="63"/>
      <c r="M18" s="59"/>
      <c r="N18" s="64"/>
      <c r="O18" s="64"/>
    </row>
    <row r="19" s="1" customFormat="true" ht="12.8" hidden="false" customHeight="false" outlineLevel="0" collapsed="false">
      <c r="B19" s="7"/>
      <c r="C19" s="7"/>
      <c r="F19" s="8"/>
      <c r="H19" s="6"/>
      <c r="I19" s="6"/>
      <c r="J19" s="6"/>
    </row>
    <row r="20" s="1" customFormat="true" ht="12.8" hidden="false" customHeight="false" outlineLevel="0" collapsed="false">
      <c r="B20" s="7"/>
      <c r="C20" s="7"/>
      <c r="F20" s="8"/>
      <c r="H20" s="6"/>
      <c r="I20" s="6"/>
      <c r="J20" s="6"/>
    </row>
    <row r="21" s="1" customFormat="true" ht="12.8" hidden="false" customHeight="false" outlineLevel="0" collapsed="false">
      <c r="B21" s="7"/>
      <c r="C21" s="7"/>
      <c r="F21" s="8"/>
      <c r="H21" s="6"/>
      <c r="I21" s="6"/>
      <c r="J21" s="6"/>
    </row>
    <row r="22" s="1" customFormat="true" ht="12.8" hidden="false" customHeight="false" outlineLevel="0" collapsed="false">
      <c r="B22" s="7"/>
      <c r="C22" s="7"/>
      <c r="F22" s="8"/>
      <c r="H22" s="6"/>
      <c r="I22" s="6"/>
      <c r="J22" s="6"/>
    </row>
    <row r="23" s="1" customFormat="true" ht="12.8" hidden="false" customHeight="false" outlineLevel="0" collapsed="false">
      <c r="B23" s="7"/>
      <c r="C23" s="7"/>
      <c r="F23" s="8"/>
      <c r="H23" s="6"/>
      <c r="I23" s="6"/>
      <c r="J23" s="6"/>
    </row>
    <row r="24" s="1" customFormat="true" ht="12.8" hidden="false" customHeight="false" outlineLevel="0" collapsed="false">
      <c r="B24" s="7"/>
      <c r="C24" s="7"/>
      <c r="F24" s="8"/>
      <c r="H24" s="6"/>
      <c r="I24" s="6"/>
      <c r="J24" s="6"/>
    </row>
    <row r="25" s="1" customFormat="true" ht="12.8" hidden="false" customHeight="false" outlineLevel="0" collapsed="false">
      <c r="B25" s="7"/>
      <c r="C25" s="7"/>
      <c r="F25" s="8"/>
      <c r="H25" s="6"/>
      <c r="I25" s="6"/>
      <c r="J25" s="6"/>
    </row>
    <row r="26" s="1" customFormat="true" ht="12.8" hidden="false" customHeight="false" outlineLevel="0" collapsed="false">
      <c r="B26" s="7"/>
      <c r="C26" s="7"/>
      <c r="F26" s="8"/>
      <c r="H26" s="6"/>
      <c r="I26" s="6"/>
      <c r="J26" s="6"/>
    </row>
    <row r="27" s="1" customFormat="true" ht="12.8" hidden="false" customHeight="false" outlineLevel="0" collapsed="false">
      <c r="B27" s="7"/>
      <c r="C27" s="7"/>
      <c r="F27" s="8"/>
      <c r="H27" s="6"/>
      <c r="I27" s="6"/>
      <c r="J27" s="6"/>
    </row>
    <row r="28" s="1" customFormat="true" ht="12.8" hidden="false" customHeight="false" outlineLevel="0" collapsed="false">
      <c r="B28" s="7"/>
      <c r="C28" s="7"/>
      <c r="F28" s="8"/>
      <c r="H28" s="6"/>
      <c r="I28" s="6"/>
      <c r="J28" s="6"/>
    </row>
  </sheetData>
  <mergeCells count="16">
    <mergeCell ref="B7:I7"/>
    <mergeCell ref="B8:C8"/>
    <mergeCell ref="B10:I10"/>
    <mergeCell ref="B11:C12"/>
    <mergeCell ref="D11:D12"/>
    <mergeCell ref="E11:E12"/>
    <mergeCell ref="F11:F12"/>
    <mergeCell ref="G11:G12"/>
    <mergeCell ref="H11:I11"/>
    <mergeCell ref="H13:I13"/>
    <mergeCell ref="H14:I14"/>
    <mergeCell ref="H15:I15"/>
    <mergeCell ref="H16:I16"/>
    <mergeCell ref="H17:I17"/>
    <mergeCell ref="B18:F18"/>
    <mergeCell ref="G18:I18"/>
  </mergeCells>
  <printOptions headings="false" gridLines="false" gridLinesSet="true" horizontalCentered="false" verticalCentered="false"/>
  <pageMargins left="0.7875" right="0.7875" top="0.886111111111111" bottom="0.886111111111111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47"/>
  <sheetViews>
    <sheetView showFormulas="false" showGridLines="true" showRowColHeaders="true" showZeros="true" rightToLeft="false" tabSelected="false" showOutlineSymbols="true" defaultGridColor="true" view="normal" topLeftCell="Q17" colorId="64" zoomScale="80" zoomScaleNormal="80" zoomScalePageLayoutView="100" workbookViewId="0">
      <selection pane="topLeft" activeCell="Q18" activeCellId="0" sqref="Q18"/>
    </sheetView>
  </sheetViews>
  <sheetFormatPr defaultColWidth="8.796875" defaultRowHeight="12.8" zeroHeight="false" outlineLevelRow="0" outlineLevelCol="0"/>
  <cols>
    <col collapsed="false" customWidth="true" hidden="false" outlineLevel="0" max="1" min="1" style="0" width="23.42"/>
    <col collapsed="false" customWidth="true" hidden="false" outlineLevel="0" max="2" min="2" style="0" width="29.86"/>
    <col collapsed="false" customWidth="true" hidden="false" outlineLevel="0" max="4" min="4" style="0" width="11.42"/>
    <col collapsed="false" customWidth="true" hidden="false" outlineLevel="0" max="11" min="11" style="0" width="13.7"/>
    <col collapsed="false" customWidth="true" hidden="false" outlineLevel="0" max="16" min="16" style="0" width="13.29"/>
    <col collapsed="false" customWidth="true" hidden="false" outlineLevel="0" max="19" min="19" style="0" width="10.99"/>
  </cols>
  <sheetData>
    <row r="1" customFormat="false" ht="12.8" hidden="false" customHeight="false" outlineLevel="0" collapsed="false">
      <c r="A1" s="492" t="s">
        <v>484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</row>
    <row r="2" customFormat="false" ht="12.8" hidden="false" customHeight="false" outlineLevel="0" collapsed="false">
      <c r="A2" s="492"/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</row>
    <row r="3" customFormat="false" ht="12.8" hidden="false" customHeight="false" outlineLevel="0" collapsed="false">
      <c r="A3" s="493"/>
      <c r="B3" s="494"/>
      <c r="C3" s="494"/>
      <c r="D3" s="494"/>
      <c r="E3" s="494"/>
      <c r="F3" s="494"/>
      <c r="G3" s="494"/>
      <c r="H3" s="494"/>
      <c r="I3" s="494"/>
      <c r="J3" s="494"/>
      <c r="K3" s="494" t="s">
        <v>485</v>
      </c>
      <c r="L3" s="495" t="n">
        <v>45092</v>
      </c>
    </row>
    <row r="4" customFormat="false" ht="15" hidden="false" customHeight="true" outlineLevel="0" collapsed="false">
      <c r="A4" s="496" t="s">
        <v>23</v>
      </c>
      <c r="B4" s="496"/>
      <c r="C4" s="497" t="s">
        <v>486</v>
      </c>
      <c r="D4" s="497"/>
      <c r="E4" s="498" t="s">
        <v>487</v>
      </c>
      <c r="F4" s="498"/>
      <c r="G4" s="498"/>
      <c r="H4" s="498"/>
      <c r="I4" s="498"/>
      <c r="J4" s="498"/>
      <c r="K4" s="498"/>
      <c r="L4" s="499" t="s">
        <v>9</v>
      </c>
    </row>
    <row r="5" customFormat="false" ht="12.8" hidden="false" customHeight="false" outlineLevel="0" collapsed="false">
      <c r="A5" s="500" t="s">
        <v>488</v>
      </c>
      <c r="B5" s="500"/>
      <c r="C5" s="501"/>
      <c r="D5" s="501"/>
      <c r="E5" s="498"/>
      <c r="F5" s="498"/>
      <c r="G5" s="498"/>
      <c r="H5" s="498"/>
      <c r="I5" s="498"/>
      <c r="J5" s="498"/>
      <c r="K5" s="498"/>
      <c r="L5" s="502" t="s">
        <v>259</v>
      </c>
    </row>
    <row r="6" customFormat="false" ht="15" hidden="false" customHeight="true" outlineLevel="0" collapsed="false">
      <c r="A6" s="503" t="s">
        <v>23</v>
      </c>
      <c r="B6" s="503" t="s">
        <v>489</v>
      </c>
      <c r="C6" s="503"/>
      <c r="D6" s="503"/>
      <c r="E6" s="503"/>
      <c r="F6" s="503" t="s">
        <v>490</v>
      </c>
      <c r="G6" s="503" t="s">
        <v>108</v>
      </c>
      <c r="H6" s="503" t="s">
        <v>491</v>
      </c>
      <c r="I6" s="503" t="s">
        <v>492</v>
      </c>
      <c r="J6" s="504" t="s">
        <v>493</v>
      </c>
      <c r="K6" s="504" t="s">
        <v>494</v>
      </c>
      <c r="L6" s="499" t="s">
        <v>495</v>
      </c>
    </row>
    <row r="7" customFormat="false" ht="12.8" hidden="false" customHeight="false" outlineLevel="0" collapsed="false">
      <c r="A7" s="503"/>
      <c r="B7" s="503"/>
      <c r="C7" s="503"/>
      <c r="D7" s="503"/>
      <c r="E7" s="503"/>
      <c r="F7" s="503"/>
      <c r="G7" s="503"/>
      <c r="H7" s="503"/>
      <c r="I7" s="503"/>
      <c r="J7" s="504"/>
      <c r="K7" s="504"/>
      <c r="L7" s="505" t="s">
        <v>496</v>
      </c>
    </row>
    <row r="8" customFormat="false" ht="19.5" hidden="false" customHeight="true" outlineLevel="0" collapsed="false">
      <c r="A8" s="506" t="s">
        <v>497</v>
      </c>
      <c r="B8" s="507" t="s">
        <v>498</v>
      </c>
      <c r="C8" s="507"/>
      <c r="D8" s="507"/>
      <c r="E8" s="507"/>
      <c r="F8" s="508" t="s">
        <v>459</v>
      </c>
      <c r="G8" s="509" t="n">
        <f aca="false">2/30</f>
        <v>0.0666666666666667</v>
      </c>
      <c r="H8" s="510" t="n">
        <v>1</v>
      </c>
      <c r="I8" s="511" t="n">
        <v>0</v>
      </c>
      <c r="J8" s="512" t="n">
        <v>35950</v>
      </c>
      <c r="K8" s="513" t="n">
        <v>0</v>
      </c>
      <c r="L8" s="514" t="n">
        <f aca="false">TRUNC(G8*J8*H8+(G8*I8*K8),2)</f>
        <v>2396.66</v>
      </c>
    </row>
    <row r="9" customFormat="false" ht="18" hidden="false" customHeight="true" outlineLevel="0" collapsed="false">
      <c r="A9" s="515" t="s">
        <v>499</v>
      </c>
      <c r="B9" s="507" t="s">
        <v>500</v>
      </c>
      <c r="C9" s="507"/>
      <c r="D9" s="507"/>
      <c r="E9" s="507"/>
      <c r="F9" s="516" t="s">
        <v>501</v>
      </c>
      <c r="G9" s="516" t="n">
        <v>5</v>
      </c>
      <c r="H9" s="517" t="n">
        <v>1</v>
      </c>
      <c r="I9" s="511" t="n">
        <v>0</v>
      </c>
      <c r="J9" s="512" t="n">
        <v>250</v>
      </c>
      <c r="K9" s="518" t="n">
        <v>0</v>
      </c>
      <c r="L9" s="519" t="n">
        <f aca="false">TRUNC(G9*J9*H9+(G9*I9*K9),2)</f>
        <v>1250</v>
      </c>
    </row>
    <row r="10" customFormat="false" ht="18" hidden="false" customHeight="true" outlineLevel="0" collapsed="false">
      <c r="A10" s="515" t="s">
        <v>502</v>
      </c>
      <c r="B10" s="507" t="s">
        <v>503</v>
      </c>
      <c r="C10" s="507"/>
      <c r="D10" s="507"/>
      <c r="E10" s="507"/>
      <c r="F10" s="516" t="s">
        <v>501</v>
      </c>
      <c r="G10" s="520" t="n">
        <v>5</v>
      </c>
      <c r="H10" s="521" t="n">
        <v>1</v>
      </c>
      <c r="I10" s="520" t="n">
        <v>0</v>
      </c>
      <c r="J10" s="512" t="n">
        <v>933</v>
      </c>
      <c r="K10" s="518" t="n">
        <v>0</v>
      </c>
      <c r="L10" s="519" t="n">
        <f aca="false">TRUNC(G10*J10*H10+(G10*I10*K10),2)</f>
        <v>4665</v>
      </c>
    </row>
    <row r="11" customFormat="false" ht="12.8" hidden="false" customHeight="false" outlineLevel="0" collapsed="false">
      <c r="A11" s="522"/>
      <c r="B11" s="523"/>
      <c r="C11" s="523"/>
      <c r="D11" s="523"/>
      <c r="E11" s="523"/>
      <c r="F11" s="524"/>
      <c r="G11" s="524"/>
      <c r="H11" s="525"/>
      <c r="I11" s="524"/>
      <c r="J11" s="526"/>
      <c r="K11" s="518"/>
      <c r="L11" s="522"/>
    </row>
    <row r="12" customFormat="false" ht="12.8" hidden="false" customHeight="false" outlineLevel="0" collapsed="false">
      <c r="A12" s="527"/>
      <c r="B12" s="501"/>
      <c r="C12" s="501"/>
      <c r="D12" s="501"/>
      <c r="E12" s="501"/>
      <c r="F12" s="501"/>
      <c r="G12" s="501"/>
      <c r="H12" s="501"/>
      <c r="I12" s="501"/>
      <c r="J12" s="528"/>
      <c r="K12" s="529" t="s">
        <v>504</v>
      </c>
      <c r="L12" s="530" t="n">
        <f aca="false">SUM(L8:L10)</f>
        <v>8311.66</v>
      </c>
    </row>
    <row r="13" customFormat="false" ht="12.8" hidden="false" customHeight="false" outlineLevel="0" collapsed="false">
      <c r="A13" s="531"/>
      <c r="B13" s="494"/>
      <c r="C13" s="494"/>
      <c r="D13" s="494"/>
      <c r="E13" s="494"/>
      <c r="F13" s="494"/>
      <c r="G13" s="494"/>
      <c r="H13" s="494"/>
      <c r="I13" s="494"/>
      <c r="J13" s="532"/>
      <c r="K13" s="533" t="s">
        <v>505</v>
      </c>
      <c r="L13" s="534" t="n">
        <f aca="false">'[1]FATOR K'!E11</f>
        <v>0</v>
      </c>
    </row>
    <row r="14" customFormat="false" ht="12.8" hidden="false" customHeight="false" outlineLevel="0" collapsed="false">
      <c r="A14" s="535"/>
      <c r="B14" s="536"/>
      <c r="C14" s="536"/>
      <c r="D14" s="536"/>
      <c r="E14" s="536"/>
      <c r="F14" s="536"/>
      <c r="G14" s="536"/>
      <c r="H14" s="536"/>
      <c r="I14" s="536"/>
      <c r="J14" s="537"/>
      <c r="K14" s="538" t="s">
        <v>506</v>
      </c>
      <c r="L14" s="539" t="n">
        <f aca="false">L12*L13</f>
        <v>0</v>
      </c>
    </row>
    <row r="15" customFormat="false" ht="12.8" hidden="false" customHeight="false" outlineLevel="0" collapsed="false">
      <c r="A15" s="493"/>
      <c r="B15" s="494"/>
      <c r="C15" s="494"/>
      <c r="D15" s="494"/>
      <c r="E15" s="494"/>
      <c r="F15" s="494"/>
      <c r="G15" s="494"/>
      <c r="H15" s="494"/>
      <c r="I15" s="494"/>
      <c r="J15" s="532"/>
      <c r="K15" s="532"/>
      <c r="L15" s="540"/>
    </row>
    <row r="16" customFormat="false" ht="15" hidden="false" customHeight="true" outlineLevel="0" collapsed="false">
      <c r="A16" s="503" t="s">
        <v>23</v>
      </c>
      <c r="B16" s="504" t="s">
        <v>507</v>
      </c>
      <c r="C16" s="504"/>
      <c r="D16" s="504"/>
      <c r="E16" s="504"/>
      <c r="F16" s="504"/>
      <c r="G16" s="504"/>
      <c r="H16" s="504"/>
      <c r="I16" s="503" t="s">
        <v>490</v>
      </c>
      <c r="J16" s="541" t="s">
        <v>508</v>
      </c>
      <c r="K16" s="542" t="s">
        <v>509</v>
      </c>
      <c r="L16" s="499" t="s">
        <v>495</v>
      </c>
    </row>
    <row r="17" customFormat="false" ht="12.8" hidden="false" customHeight="false" outlineLevel="0" collapsed="false">
      <c r="A17" s="503"/>
      <c r="B17" s="504"/>
      <c r="C17" s="504"/>
      <c r="D17" s="504"/>
      <c r="E17" s="504"/>
      <c r="F17" s="504"/>
      <c r="G17" s="504"/>
      <c r="H17" s="504"/>
      <c r="I17" s="503"/>
      <c r="J17" s="541"/>
      <c r="K17" s="505" t="s">
        <v>510</v>
      </c>
      <c r="L17" s="543" t="s">
        <v>496</v>
      </c>
      <c r="N17" s="0" t="s">
        <v>250</v>
      </c>
      <c r="O17" s="0" t="s">
        <v>176</v>
      </c>
      <c r="P17" s="0" t="s">
        <v>249</v>
      </c>
      <c r="Q17" s="0" t="s">
        <v>511</v>
      </c>
    </row>
    <row r="18" customFormat="false" ht="12.8" hidden="false" customHeight="false" outlineLevel="0" collapsed="false">
      <c r="A18" s="544" t="n">
        <f aca="false">'[1]TAB SALARIAL'!C18</f>
        <v>0</v>
      </c>
      <c r="B18" s="545" t="n">
        <f aca="false">'[1]TAB SALARIAL'!D18</f>
        <v>0</v>
      </c>
      <c r="C18" s="545"/>
      <c r="D18" s="545"/>
      <c r="E18" s="545"/>
      <c r="F18" s="545"/>
      <c r="G18" s="545"/>
      <c r="H18" s="545"/>
      <c r="I18" s="546" t="s">
        <v>250</v>
      </c>
      <c r="J18" s="547" t="n">
        <f aca="false">10*8</f>
        <v>80</v>
      </c>
      <c r="K18" s="518" t="n">
        <f aca="false">'[1]TAB SALARIAL'!E18</f>
        <v>0</v>
      </c>
      <c r="L18" s="548" t="n">
        <f aca="false">TRUNC(K18*J18,2)</f>
        <v>0</v>
      </c>
      <c r="N18" s="0" t="n">
        <v>80</v>
      </c>
      <c r="O18" s="549" t="n">
        <f aca="false">N18/$N$23</f>
        <v>0.181818181818182</v>
      </c>
      <c r="P18" s="550" t="n">
        <f aca="false">O18*$L$41</f>
        <v>1511.21090909091</v>
      </c>
      <c r="Q18" s="550" t="e">
        <f aca="false">P18/K18</f>
        <v>#DIV/0!</v>
      </c>
    </row>
    <row r="19" customFormat="false" ht="12.8" hidden="false" customHeight="false" outlineLevel="0" collapsed="false">
      <c r="A19" s="544" t="n">
        <f aca="false">'[1]TAB SALARIAL'!C15</f>
        <v>0</v>
      </c>
      <c r="B19" s="545" t="n">
        <f aca="false">'[1]TAB SALARIAL'!B15</f>
        <v>0</v>
      </c>
      <c r="C19" s="545"/>
      <c r="D19" s="545"/>
      <c r="E19" s="545"/>
      <c r="F19" s="545"/>
      <c r="G19" s="545"/>
      <c r="H19" s="545"/>
      <c r="I19" s="546" t="s">
        <v>250</v>
      </c>
      <c r="J19" s="518" t="n">
        <f aca="false">15*8</f>
        <v>120</v>
      </c>
      <c r="K19" s="518" t="n">
        <f aca="false">'[1]TAB SALARIAL'!E15</f>
        <v>0</v>
      </c>
      <c r="L19" s="548" t="n">
        <f aca="false">TRUNC(K19*J19,2)</f>
        <v>0</v>
      </c>
      <c r="N19" s="0" t="n">
        <v>120</v>
      </c>
      <c r="O19" s="549" t="n">
        <f aca="false">N19/$N$23</f>
        <v>0.272727272727273</v>
      </c>
      <c r="P19" s="550" t="n">
        <f aca="false">O19*$L$41</f>
        <v>2266.81636363636</v>
      </c>
      <c r="Q19" s="550" t="e">
        <f aca="false">P19/K19</f>
        <v>#DIV/0!</v>
      </c>
    </row>
    <row r="20" customFormat="false" ht="12.8" hidden="false" customHeight="false" outlineLevel="0" collapsed="false">
      <c r="A20" s="544" t="n">
        <f aca="false">'[1]TAB SALARIAL'!C20</f>
        <v>0</v>
      </c>
      <c r="B20" s="545" t="n">
        <f aca="false">'[1]TAB SALARIAL'!D20</f>
        <v>0</v>
      </c>
      <c r="C20" s="545"/>
      <c r="D20" s="545"/>
      <c r="E20" s="545"/>
      <c r="F20" s="545"/>
      <c r="G20" s="545"/>
      <c r="H20" s="545"/>
      <c r="I20" s="546" t="s">
        <v>250</v>
      </c>
      <c r="J20" s="518" t="n">
        <f aca="false">5*8</f>
        <v>40</v>
      </c>
      <c r="K20" s="518" t="n">
        <f aca="false">'[1]TAB SALARIAL'!E20</f>
        <v>0</v>
      </c>
      <c r="L20" s="548" t="n">
        <f aca="false">TRUNC(K20*J20,2)</f>
        <v>0</v>
      </c>
      <c r="N20" s="0" t="n">
        <v>40</v>
      </c>
      <c r="O20" s="549" t="n">
        <f aca="false">N20/$N$23</f>
        <v>0.0909090909090909</v>
      </c>
      <c r="P20" s="550" t="n">
        <f aca="false">O20*$L$41</f>
        <v>755.605454545455</v>
      </c>
      <c r="Q20" s="550" t="e">
        <f aca="false">P20/K20</f>
        <v>#DIV/0!</v>
      </c>
    </row>
    <row r="21" customFormat="false" ht="12.8" hidden="false" customHeight="false" outlineLevel="0" collapsed="false">
      <c r="A21" s="544" t="n">
        <f aca="false">'[1]TAB SALARIAL'!C26</f>
        <v>0</v>
      </c>
      <c r="B21" s="545" t="n">
        <f aca="false">'[1]TAB SALARIAL'!D26</f>
        <v>0</v>
      </c>
      <c r="C21" s="545"/>
      <c r="D21" s="545"/>
      <c r="E21" s="545"/>
      <c r="F21" s="545"/>
      <c r="G21" s="545"/>
      <c r="H21" s="545"/>
      <c r="I21" s="546" t="s">
        <v>250</v>
      </c>
      <c r="J21" s="518" t="n">
        <f aca="false">10*8</f>
        <v>80</v>
      </c>
      <c r="K21" s="518" t="n">
        <f aca="false">'[1]TAB SALARIAL'!E26</f>
        <v>0</v>
      </c>
      <c r="L21" s="548" t="n">
        <f aca="false">TRUNC(K21*J21,2)</f>
        <v>0</v>
      </c>
      <c r="N21" s="0" t="n">
        <v>80</v>
      </c>
      <c r="O21" s="549" t="n">
        <f aca="false">N21/$N$23</f>
        <v>0.181818181818182</v>
      </c>
      <c r="P21" s="550" t="n">
        <f aca="false">O21*$L$41</f>
        <v>1511.21090909091</v>
      </c>
      <c r="Q21" s="550" t="e">
        <f aca="false">P21/K21</f>
        <v>#DIV/0!</v>
      </c>
    </row>
    <row r="22" customFormat="false" ht="12.8" hidden="false" customHeight="false" outlineLevel="0" collapsed="false">
      <c r="A22" s="544" t="n">
        <f aca="false">'[1]TAB SALARIAL'!C24</f>
        <v>0</v>
      </c>
      <c r="B22" s="545" t="n">
        <f aca="false">'[1]TAB SALARIAL'!B24</f>
        <v>0</v>
      </c>
      <c r="C22" s="545"/>
      <c r="D22" s="545"/>
      <c r="E22" s="545"/>
      <c r="F22" s="545"/>
      <c r="G22" s="545"/>
      <c r="H22" s="545"/>
      <c r="I22" s="546" t="s">
        <v>250</v>
      </c>
      <c r="J22" s="518" t="n">
        <f aca="false">15*8</f>
        <v>120</v>
      </c>
      <c r="K22" s="518" t="n">
        <f aca="false">'[1]TAB SALARIAL'!E24</f>
        <v>0</v>
      </c>
      <c r="L22" s="548" t="n">
        <f aca="false">TRUNC(K22*J22,2)</f>
        <v>0</v>
      </c>
      <c r="N22" s="0" t="n">
        <v>120</v>
      </c>
      <c r="O22" s="549" t="n">
        <f aca="false">N22/$N$23</f>
        <v>0.272727272727273</v>
      </c>
      <c r="P22" s="550" t="n">
        <f aca="false">O22*$L$41</f>
        <v>2266.81636363636</v>
      </c>
      <c r="Q22" s="550" t="e">
        <f aca="false">P22/K22</f>
        <v>#DIV/0!</v>
      </c>
    </row>
    <row r="23" customFormat="false" ht="12.8" hidden="false" customHeight="false" outlineLevel="0" collapsed="false">
      <c r="A23" s="522"/>
      <c r="B23" s="551"/>
      <c r="C23" s="551"/>
      <c r="D23" s="551"/>
      <c r="E23" s="551"/>
      <c r="F23" s="551"/>
      <c r="G23" s="551"/>
      <c r="H23" s="551"/>
      <c r="I23" s="546"/>
      <c r="J23" s="526"/>
      <c r="K23" s="518"/>
      <c r="L23" s="552"/>
      <c r="N23" s="0" t="n">
        <f aca="false">SUM(N18:N22)</f>
        <v>440</v>
      </c>
      <c r="O23" s="549" t="n">
        <f aca="false">SUM(O18:O22)</f>
        <v>1</v>
      </c>
    </row>
    <row r="24" customFormat="false" ht="12.8" hidden="false" customHeight="false" outlineLevel="0" collapsed="false">
      <c r="A24" s="493"/>
      <c r="B24" s="494"/>
      <c r="C24" s="494"/>
      <c r="D24" s="494"/>
      <c r="E24" s="494"/>
      <c r="F24" s="494"/>
      <c r="G24" s="494"/>
      <c r="H24" s="540"/>
      <c r="I24" s="553" t="s">
        <v>512</v>
      </c>
      <c r="J24" s="553"/>
      <c r="K24" s="553"/>
      <c r="L24" s="552" t="n">
        <f aca="false">SUM(L18:L23)</f>
        <v>0</v>
      </c>
    </row>
    <row r="25" customFormat="false" ht="12.8" hidden="false" customHeight="false" outlineLevel="0" collapsed="false">
      <c r="A25" s="493"/>
      <c r="B25" s="494"/>
      <c r="C25" s="494"/>
      <c r="D25" s="494"/>
      <c r="E25" s="494"/>
      <c r="F25" s="494"/>
      <c r="G25" s="494"/>
      <c r="H25" s="540"/>
      <c r="I25" s="554" t="s">
        <v>513</v>
      </c>
      <c r="J25" s="554"/>
      <c r="K25" s="554"/>
      <c r="L25" s="555" t="n">
        <v>2.36</v>
      </c>
    </row>
    <row r="26" customFormat="false" ht="12.8" hidden="false" customHeight="false" outlineLevel="0" collapsed="false">
      <c r="A26" s="556"/>
      <c r="B26" s="501"/>
      <c r="C26" s="501"/>
      <c r="D26" s="501"/>
      <c r="E26" s="501"/>
      <c r="F26" s="501"/>
      <c r="G26" s="501"/>
      <c r="H26" s="557"/>
      <c r="I26" s="558" t="s">
        <v>514</v>
      </c>
      <c r="J26" s="558"/>
      <c r="K26" s="558"/>
      <c r="L26" s="559" t="n">
        <f aca="false">ROUND(SUM(L24)*L25,2)</f>
        <v>0</v>
      </c>
    </row>
    <row r="27" customFormat="false" ht="12.8" hidden="false" customHeight="false" outlineLevel="0" collapsed="false">
      <c r="A27" s="560"/>
      <c r="B27" s="561"/>
      <c r="C27" s="561"/>
      <c r="D27" s="561"/>
      <c r="E27" s="561"/>
      <c r="F27" s="561"/>
      <c r="G27" s="561"/>
      <c r="H27" s="561"/>
      <c r="I27" s="536"/>
      <c r="J27" s="537"/>
      <c r="K27" s="537"/>
      <c r="L27" s="562"/>
    </row>
    <row r="28" customFormat="false" ht="12.8" hidden="false" customHeight="false" outlineLevel="0" collapsed="false">
      <c r="A28" s="563"/>
      <c r="B28" s="564"/>
      <c r="C28" s="564"/>
      <c r="D28" s="564"/>
      <c r="E28" s="564"/>
      <c r="F28" s="564"/>
      <c r="G28" s="564"/>
      <c r="H28" s="565"/>
      <c r="I28" s="566"/>
      <c r="J28" s="566"/>
      <c r="K28" s="567" t="s">
        <v>515</v>
      </c>
      <c r="L28" s="568" t="n">
        <f aca="false">L26+L12</f>
        <v>8311.66</v>
      </c>
    </row>
    <row r="29" customFormat="false" ht="12.8" hidden="false" customHeight="false" outlineLevel="0" collapsed="false">
      <c r="A29" s="563" t="s">
        <v>516</v>
      </c>
      <c r="B29" s="564"/>
      <c r="C29" s="564"/>
      <c r="D29" s="565"/>
      <c r="E29" s="553" t="n">
        <v>1</v>
      </c>
      <c r="F29" s="569"/>
      <c r="G29" s="569"/>
      <c r="H29" s="570"/>
      <c r="I29" s="564" t="s">
        <v>517</v>
      </c>
      <c r="J29" s="564"/>
      <c r="K29" s="564"/>
      <c r="L29" s="571" t="n">
        <f aca="false">TRUNC((L26+L12)/E29,2)</f>
        <v>8311.66</v>
      </c>
    </row>
    <row r="30" customFormat="false" ht="12.8" hidden="false" customHeight="false" outlineLevel="0" collapsed="false">
      <c r="A30" s="493"/>
      <c r="B30" s="494"/>
      <c r="C30" s="494"/>
      <c r="D30" s="494"/>
      <c r="E30" s="494"/>
      <c r="F30" s="494"/>
      <c r="G30" s="494"/>
      <c r="H30" s="494"/>
      <c r="I30" s="572"/>
      <c r="J30" s="572"/>
      <c r="K30" s="572"/>
      <c r="L30" s="540"/>
    </row>
    <row r="31" customFormat="false" ht="15" hidden="false" customHeight="true" outlineLevel="0" collapsed="false">
      <c r="A31" s="503" t="s">
        <v>23</v>
      </c>
      <c r="B31" s="503" t="s">
        <v>518</v>
      </c>
      <c r="C31" s="503"/>
      <c r="D31" s="503"/>
      <c r="E31" s="503"/>
      <c r="F31" s="503"/>
      <c r="G31" s="503"/>
      <c r="H31" s="503"/>
      <c r="I31" s="503" t="s">
        <v>490</v>
      </c>
      <c r="J31" s="541" t="s">
        <v>519</v>
      </c>
      <c r="K31" s="503" t="s">
        <v>520</v>
      </c>
      <c r="L31" s="499" t="s">
        <v>521</v>
      </c>
    </row>
    <row r="32" customFormat="false" ht="12.8" hidden="false" customHeight="false" outlineLevel="0" collapsed="false">
      <c r="A32" s="503"/>
      <c r="B32" s="503"/>
      <c r="C32" s="503"/>
      <c r="D32" s="503"/>
      <c r="E32" s="503"/>
      <c r="F32" s="503"/>
      <c r="G32" s="503"/>
      <c r="H32" s="503"/>
      <c r="I32" s="503"/>
      <c r="J32" s="541"/>
      <c r="K32" s="503"/>
      <c r="L32" s="543" t="s">
        <v>102</v>
      </c>
    </row>
    <row r="33" customFormat="false" ht="12.8" hidden="false" customHeight="false" outlineLevel="0" collapsed="false">
      <c r="A33" s="515"/>
      <c r="B33" s="507"/>
      <c r="C33" s="507"/>
      <c r="D33" s="507"/>
      <c r="E33" s="507"/>
      <c r="F33" s="507"/>
      <c r="G33" s="507"/>
      <c r="H33" s="507"/>
      <c r="I33" s="546"/>
      <c r="J33" s="573"/>
      <c r="K33" s="518"/>
      <c r="L33" s="574" t="n">
        <f aca="false">ROUND(J33*K33,2)</f>
        <v>0</v>
      </c>
    </row>
    <row r="34" customFormat="false" ht="12.8" hidden="false" customHeight="false" outlineLevel="0" collapsed="false">
      <c r="A34" s="515"/>
      <c r="B34" s="507"/>
      <c r="C34" s="507"/>
      <c r="D34" s="507"/>
      <c r="E34" s="507"/>
      <c r="F34" s="507"/>
      <c r="G34" s="507"/>
      <c r="H34" s="507"/>
      <c r="I34" s="546"/>
      <c r="J34" s="573"/>
      <c r="K34" s="518"/>
      <c r="L34" s="574" t="n">
        <f aca="false">ROUND(J34*K34,2)</f>
        <v>0</v>
      </c>
    </row>
    <row r="35" customFormat="false" ht="12.8" hidden="false" customHeight="false" outlineLevel="0" collapsed="false">
      <c r="A35" s="515"/>
      <c r="B35" s="507"/>
      <c r="C35" s="507"/>
      <c r="D35" s="507"/>
      <c r="E35" s="507"/>
      <c r="F35" s="507"/>
      <c r="G35" s="507"/>
      <c r="H35" s="507"/>
      <c r="I35" s="546"/>
      <c r="J35" s="575"/>
      <c r="K35" s="518"/>
      <c r="L35" s="574"/>
    </row>
    <row r="36" customFormat="false" ht="12.8" hidden="false" customHeight="false" outlineLevel="0" collapsed="false">
      <c r="A36" s="522"/>
      <c r="B36" s="507"/>
      <c r="C36" s="507"/>
      <c r="D36" s="507"/>
      <c r="E36" s="507"/>
      <c r="F36" s="507"/>
      <c r="G36" s="507"/>
      <c r="H36" s="507"/>
      <c r="I36" s="546"/>
      <c r="J36" s="576"/>
      <c r="K36" s="518"/>
      <c r="L36" s="577"/>
    </row>
    <row r="37" customFormat="false" ht="12.8" hidden="false" customHeight="false" outlineLevel="0" collapsed="false">
      <c r="A37" s="578"/>
      <c r="B37" s="579"/>
      <c r="C37" s="579"/>
      <c r="D37" s="579"/>
      <c r="E37" s="579"/>
      <c r="F37" s="579"/>
      <c r="G37" s="579"/>
      <c r="H37" s="579"/>
      <c r="I37" s="579"/>
      <c r="J37" s="580"/>
      <c r="K37" s="529" t="s">
        <v>522</v>
      </c>
      <c r="L37" s="581" t="n">
        <f aca="false">SUM(L33:L36)</f>
        <v>0</v>
      </c>
    </row>
    <row r="38" customFormat="false" ht="12.8" hidden="false" customHeight="false" outlineLevel="0" collapsed="false">
      <c r="A38" s="493" t="s">
        <v>164</v>
      </c>
      <c r="B38" s="494"/>
      <c r="C38" s="494"/>
      <c r="D38" s="494"/>
      <c r="E38" s="494"/>
      <c r="F38" s="494"/>
      <c r="G38" s="494"/>
      <c r="H38" s="494"/>
      <c r="I38" s="494"/>
      <c r="J38" s="494"/>
      <c r="K38" s="494"/>
      <c r="L38" s="540"/>
    </row>
    <row r="39" customFormat="false" ht="15" hidden="false" customHeight="true" outlineLevel="0" collapsed="false">
      <c r="A39" s="582" t="s">
        <v>523</v>
      </c>
      <c r="B39" s="582"/>
      <c r="C39" s="582"/>
      <c r="D39" s="582"/>
      <c r="E39" s="582"/>
      <c r="F39" s="582"/>
      <c r="G39" s="582"/>
      <c r="H39" s="582"/>
      <c r="I39" s="582"/>
      <c r="J39" s="583" t="s">
        <v>524</v>
      </c>
      <c r="K39" s="584"/>
      <c r="L39" s="585" t="n">
        <f aca="false">SUM(L29+L37)</f>
        <v>8311.66</v>
      </c>
    </row>
    <row r="40" customFormat="false" ht="12.8" hidden="false" customHeight="false" outlineLevel="0" collapsed="false">
      <c r="A40" s="582"/>
      <c r="B40" s="582"/>
      <c r="C40" s="582"/>
      <c r="D40" s="582"/>
      <c r="E40" s="582"/>
      <c r="F40" s="582"/>
      <c r="G40" s="582"/>
      <c r="H40" s="582"/>
      <c r="I40" s="582"/>
      <c r="J40" s="586" t="s">
        <v>505</v>
      </c>
      <c r="K40" s="587"/>
      <c r="L40" s="588"/>
    </row>
    <row r="41" customFormat="false" ht="12.8" hidden="false" customHeight="false" outlineLevel="0" collapsed="false">
      <c r="A41" s="589"/>
      <c r="B41" s="589"/>
      <c r="C41" s="589"/>
      <c r="D41" s="589"/>
      <c r="E41" s="589"/>
      <c r="F41" s="589"/>
      <c r="G41" s="589"/>
      <c r="H41" s="589"/>
      <c r="I41" s="589"/>
      <c r="J41" s="590" t="s">
        <v>525</v>
      </c>
      <c r="K41" s="591"/>
      <c r="L41" s="592" t="n">
        <f aca="false">ROUND(SUM(L39+L40),2)</f>
        <v>8311.66</v>
      </c>
    </row>
    <row r="42" customFormat="false" ht="12.8" hidden="false" customHeight="false" outlineLevel="0" collapsed="false">
      <c r="A42" s="0" t="s">
        <v>526</v>
      </c>
    </row>
    <row r="43" customFormat="false" ht="12.8" hidden="false" customHeight="false" outlineLevel="0" collapsed="false">
      <c r="J43" s="0" t="s">
        <v>527</v>
      </c>
      <c r="L43" s="593" t="n">
        <f aca="false">L41/R75</f>
        <v>0.583837738168408</v>
      </c>
    </row>
    <row r="44" customFormat="false" ht="12.8" hidden="false" customHeight="false" outlineLevel="0" collapsed="false">
      <c r="B44" s="0" t="s">
        <v>528</v>
      </c>
    </row>
    <row r="45" customFormat="false" ht="13.8" hidden="false" customHeight="false" outlineLevel="0" collapsed="false">
      <c r="B45" s="594" t="s">
        <v>529</v>
      </c>
      <c r="C45" s="297" t="n">
        <v>2</v>
      </c>
      <c r="D45" s="0" t="s">
        <v>501</v>
      </c>
    </row>
    <row r="46" customFormat="false" ht="13.8" hidden="false" customHeight="false" outlineLevel="0" collapsed="false">
      <c r="B46" s="594" t="s">
        <v>530</v>
      </c>
      <c r="C46" s="297" t="n">
        <v>3</v>
      </c>
      <c r="D46" s="0" t="s">
        <v>501</v>
      </c>
    </row>
    <row r="47" customFormat="false" ht="23.85" hidden="false" customHeight="false" outlineLevel="0" collapsed="false">
      <c r="B47" s="594" t="s">
        <v>531</v>
      </c>
      <c r="C47" s="297" t="n">
        <v>2</v>
      </c>
      <c r="D47" s="0" t="s">
        <v>501</v>
      </c>
    </row>
    <row r="48" customFormat="false" ht="12.8" hidden="false" customHeight="false" outlineLevel="0" collapsed="false">
      <c r="B48" s="0" t="s">
        <v>532</v>
      </c>
      <c r="C48" s="297" t="n">
        <v>5</v>
      </c>
      <c r="D48" s="0" t="s">
        <v>501</v>
      </c>
    </row>
    <row r="49" customFormat="false" ht="12.8" hidden="false" customHeight="false" outlineLevel="0" collapsed="false">
      <c r="B49" s="0" t="s">
        <v>533</v>
      </c>
      <c r="C49" s="236" t="n">
        <v>5</v>
      </c>
      <c r="D49" s="0" t="s">
        <v>501</v>
      </c>
    </row>
    <row r="51" customFormat="false" ht="12.8" hidden="false" customHeight="false" outlineLevel="0" collapsed="false">
      <c r="B51" s="0" t="s">
        <v>534</v>
      </c>
      <c r="C51" s="297" t="n">
        <v>15</v>
      </c>
      <c r="D51" s="0" t="s">
        <v>501</v>
      </c>
    </row>
    <row r="52" customFormat="false" ht="12.8" hidden="false" customHeight="false" outlineLevel="0" collapsed="false">
      <c r="B52" s="0" t="s">
        <v>535</v>
      </c>
      <c r="C52" s="297" t="n">
        <v>10</v>
      </c>
      <c r="D52" s="0" t="s">
        <v>501</v>
      </c>
    </row>
    <row r="53" customFormat="false" ht="12.8" hidden="false" customHeight="false" outlineLevel="0" collapsed="false">
      <c r="B53" s="0" t="s">
        <v>536</v>
      </c>
      <c r="C53" s="297" t="n">
        <v>5</v>
      </c>
      <c r="D53" s="0" t="s">
        <v>501</v>
      </c>
    </row>
    <row r="54" customFormat="false" ht="12.8" hidden="false" customHeight="false" outlineLevel="0" collapsed="false">
      <c r="B54" s="0" t="s">
        <v>537</v>
      </c>
      <c r="C54" s="297" t="n">
        <v>15</v>
      </c>
      <c r="D54" s="0" t="s">
        <v>501</v>
      </c>
    </row>
    <row r="55" customFormat="false" ht="12.8" hidden="false" customHeight="false" outlineLevel="0" collapsed="false">
      <c r="B55" s="0" t="s">
        <v>410</v>
      </c>
      <c r="C55" s="297" t="n">
        <v>15</v>
      </c>
      <c r="D55" s="0" t="s">
        <v>501</v>
      </c>
    </row>
    <row r="57" customFormat="false" ht="12.8" hidden="false" customHeight="false" outlineLevel="0" collapsed="false">
      <c r="A57" s="0" t="s">
        <v>538</v>
      </c>
    </row>
    <row r="72" customFormat="false" ht="13.8" hidden="false" customHeight="false" outlineLevel="0" collapsed="false">
      <c r="K72" s="595"/>
      <c r="L72" s="596" t="s">
        <v>539</v>
      </c>
      <c r="M72" s="596"/>
      <c r="N72" s="596"/>
      <c r="O72" s="597"/>
      <c r="P72" s="596" t="s">
        <v>540</v>
      </c>
      <c r="Q72" s="596"/>
      <c r="R72" s="596"/>
      <c r="S72" s="597"/>
    </row>
    <row r="73" customFormat="false" ht="12.8" hidden="false" customHeight="false" outlineLevel="0" collapsed="false">
      <c r="K73" s="598"/>
      <c r="L73" s="0" t="n">
        <v>21000</v>
      </c>
      <c r="M73" s="0" t="s">
        <v>541</v>
      </c>
      <c r="O73" s="599"/>
      <c r="P73" s="0" t="s">
        <v>542</v>
      </c>
      <c r="R73" s="0" t="n">
        <v>6823.35</v>
      </c>
      <c r="S73" s="599"/>
    </row>
    <row r="74" customFormat="false" ht="12.8" hidden="false" customHeight="false" outlineLevel="0" collapsed="false">
      <c r="K74" s="598" t="n">
        <f aca="false">0.000067*21000</f>
        <v>1.407</v>
      </c>
      <c r="L74" s="0" t="s">
        <v>420</v>
      </c>
      <c r="O74" s="599"/>
      <c r="P74" s="0" t="s">
        <v>543</v>
      </c>
      <c r="R74" s="0" t="n">
        <v>7412.9</v>
      </c>
      <c r="S74" s="599"/>
    </row>
    <row r="75" customFormat="false" ht="12.8" hidden="false" customHeight="false" outlineLevel="0" collapsed="false">
      <c r="K75" s="598"/>
      <c r="O75" s="599"/>
      <c r="P75" s="0" t="s">
        <v>102</v>
      </c>
      <c r="R75" s="0" t="n">
        <f aca="false">R73+R74</f>
        <v>14236.25</v>
      </c>
      <c r="S75" s="599"/>
    </row>
    <row r="76" customFormat="false" ht="12.8" hidden="false" customHeight="false" outlineLevel="0" collapsed="false">
      <c r="K76" s="598"/>
      <c r="O76" s="599"/>
      <c r="P76" s="0" t="s">
        <v>544</v>
      </c>
      <c r="R76" s="0" t="n">
        <f aca="false">R75/L73</f>
        <v>0.677916666666667</v>
      </c>
      <c r="S76" s="599"/>
    </row>
    <row r="77" customFormat="false" ht="12.8" hidden="false" customHeight="false" outlineLevel="0" collapsed="false">
      <c r="K77" s="598"/>
      <c r="L77" s="0" t="s">
        <v>545</v>
      </c>
      <c r="M77" s="0" t="s">
        <v>546</v>
      </c>
      <c r="N77" s="0" t="s">
        <v>547</v>
      </c>
      <c r="O77" s="599"/>
      <c r="P77" s="0" t="s">
        <v>548</v>
      </c>
      <c r="S77" s="599" t="s">
        <v>549</v>
      </c>
    </row>
    <row r="78" customFormat="false" ht="12.8" hidden="false" customHeight="false" outlineLevel="0" collapsed="false">
      <c r="K78" s="598"/>
      <c r="L78" s="0" t="n">
        <v>0.01774</v>
      </c>
      <c r="M78" s="0" t="n">
        <f aca="false">L78*$L$73</f>
        <v>372.54</v>
      </c>
      <c r="N78" s="0" t="n">
        <f aca="false">M78/24</f>
        <v>15.5225</v>
      </c>
      <c r="O78" s="599"/>
      <c r="P78" s="593" t="n">
        <f aca="false">$R$76*N78</f>
        <v>10.5229614583333</v>
      </c>
      <c r="S78" s="600" t="n">
        <v>10</v>
      </c>
    </row>
    <row r="79" customFormat="false" ht="12.8" hidden="false" customHeight="false" outlineLevel="0" collapsed="false">
      <c r="K79" s="598"/>
      <c r="L79" s="0" t="n">
        <v>0.02661</v>
      </c>
      <c r="M79" s="0" t="n">
        <f aca="false">L79*$L$73</f>
        <v>558.81</v>
      </c>
      <c r="N79" s="0" t="n">
        <f aca="false">M79/24</f>
        <v>23.28375</v>
      </c>
      <c r="O79" s="599"/>
      <c r="P79" s="593" t="n">
        <f aca="false">$R$76*N79</f>
        <v>15.7844421875</v>
      </c>
      <c r="S79" s="600" t="n">
        <v>15</v>
      </c>
    </row>
    <row r="80" customFormat="false" ht="12.8" hidden="false" customHeight="false" outlineLevel="0" collapsed="false">
      <c r="K80" s="598"/>
      <c r="L80" s="0" t="n">
        <v>0.00887</v>
      </c>
      <c r="M80" s="0" t="n">
        <f aca="false">L80*$L$73</f>
        <v>186.27</v>
      </c>
      <c r="N80" s="0" t="n">
        <f aca="false">M80/24</f>
        <v>7.76125</v>
      </c>
      <c r="O80" s="599"/>
      <c r="P80" s="593" t="n">
        <f aca="false">$R$76*N80</f>
        <v>5.26148072916667</v>
      </c>
      <c r="S80" s="600" t="n">
        <v>5</v>
      </c>
    </row>
    <row r="81" customFormat="false" ht="12.8" hidden="false" customHeight="false" outlineLevel="0" collapsed="false">
      <c r="K81" s="598"/>
      <c r="L81" s="0" t="n">
        <v>0.01774</v>
      </c>
      <c r="M81" s="0" t="n">
        <f aca="false">L81*$L$73</f>
        <v>372.54</v>
      </c>
      <c r="N81" s="0" t="n">
        <f aca="false">M81/24</f>
        <v>15.5225</v>
      </c>
      <c r="O81" s="599"/>
      <c r="P81" s="593" t="n">
        <f aca="false">$R$76*N81</f>
        <v>10.5229614583333</v>
      </c>
      <c r="S81" s="600" t="n">
        <v>10</v>
      </c>
    </row>
    <row r="82" customFormat="false" ht="12.8" hidden="false" customHeight="false" outlineLevel="0" collapsed="false">
      <c r="K82" s="601"/>
      <c r="L82" s="602" t="n">
        <v>0.02661</v>
      </c>
      <c r="M82" s="602" t="n">
        <f aca="false">L82*$L$73</f>
        <v>558.81</v>
      </c>
      <c r="N82" s="602" t="n">
        <f aca="false">M82/24</f>
        <v>23.28375</v>
      </c>
      <c r="O82" s="603"/>
      <c r="P82" s="604" t="n">
        <f aca="false">$R$76*N82</f>
        <v>15.7844421875</v>
      </c>
      <c r="Q82" s="602"/>
      <c r="R82" s="602"/>
      <c r="S82" s="605" t="n">
        <v>15</v>
      </c>
    </row>
    <row r="84" customFormat="false" ht="12.8" hidden="false" customHeight="false" outlineLevel="0" collapsed="false">
      <c r="M84" s="0" t="s">
        <v>483</v>
      </c>
      <c r="N84" s="0" t="n">
        <f aca="false">SUM(N78:N82)</f>
        <v>85.37375</v>
      </c>
      <c r="O84" s="0" t="s">
        <v>420</v>
      </c>
    </row>
    <row r="87" customFormat="false" ht="12.8" hidden="false" customHeight="false" outlineLevel="0" collapsed="false">
      <c r="L87" s="0" t="n">
        <f aca="false">0.00047619*L73</f>
        <v>9.99999</v>
      </c>
      <c r="M87" s="0" t="s">
        <v>420</v>
      </c>
    </row>
    <row r="91" customFormat="false" ht="12.8" hidden="false" customHeight="false" outlineLevel="0" collapsed="false">
      <c r="A91" s="0" t="s">
        <v>550</v>
      </c>
      <c r="C91" s="0" t="s">
        <v>551</v>
      </c>
    </row>
    <row r="96" customFormat="false" ht="12.8" hidden="false" customHeight="false" outlineLevel="0" collapsed="false">
      <c r="A96" s="0" t="s">
        <v>552</v>
      </c>
    </row>
    <row r="97" customFormat="false" ht="23.85" hidden="false" customHeight="false" outlineLevel="0" collapsed="false">
      <c r="A97" s="606" t="n">
        <v>65002845</v>
      </c>
      <c r="B97" s="607" t="s">
        <v>553</v>
      </c>
      <c r="C97" s="608" t="s">
        <v>501</v>
      </c>
      <c r="D97" s="608" t="s">
        <v>554</v>
      </c>
      <c r="E97" s="608"/>
      <c r="F97" s="609"/>
    </row>
    <row r="98" customFormat="false" ht="23.85" hidden="false" customHeight="false" outlineLevel="0" collapsed="false">
      <c r="A98" s="610" t="s">
        <v>555</v>
      </c>
      <c r="B98" s="610" t="s">
        <v>441</v>
      </c>
      <c r="C98" s="610" t="s">
        <v>556</v>
      </c>
      <c r="D98" s="610" t="s">
        <v>557</v>
      </c>
      <c r="E98" s="610" t="s">
        <v>558</v>
      </c>
      <c r="F98" s="610" t="s">
        <v>559</v>
      </c>
    </row>
    <row r="99" customFormat="false" ht="35.05" hidden="false" customHeight="false" outlineLevel="0" collapsed="false">
      <c r="A99" s="611" t="n">
        <v>35001180</v>
      </c>
      <c r="B99" s="612" t="s">
        <v>500</v>
      </c>
      <c r="C99" s="612" t="s">
        <v>501</v>
      </c>
      <c r="D99" s="612" t="n">
        <v>1</v>
      </c>
      <c r="E99" s="612" t="s">
        <v>560</v>
      </c>
      <c r="F99" s="612" t="s">
        <v>560</v>
      </c>
    </row>
    <row r="100" customFormat="false" ht="35.05" hidden="false" customHeight="false" outlineLevel="0" collapsed="false">
      <c r="A100" s="613" t="n">
        <v>35000027</v>
      </c>
      <c r="B100" s="614" t="s">
        <v>561</v>
      </c>
      <c r="C100" s="614" t="s">
        <v>459</v>
      </c>
      <c r="D100" s="614" t="s">
        <v>562</v>
      </c>
      <c r="E100" s="614" t="s">
        <v>563</v>
      </c>
      <c r="F100" s="614" t="s">
        <v>564</v>
      </c>
      <c r="H100" s="0" t="n">
        <f aca="false">D100*30</f>
        <v>1.78953</v>
      </c>
    </row>
    <row r="101" customFormat="false" ht="23.85" hidden="false" customHeight="false" outlineLevel="0" collapsed="false">
      <c r="A101" s="613" t="n">
        <v>35001046</v>
      </c>
      <c r="B101" s="614" t="s">
        <v>565</v>
      </c>
      <c r="C101" s="614" t="s">
        <v>459</v>
      </c>
      <c r="D101" s="614" t="s">
        <v>562</v>
      </c>
      <c r="E101" s="614" t="s">
        <v>566</v>
      </c>
      <c r="F101" s="614" t="s">
        <v>567</v>
      </c>
      <c r="H101" s="0" t="n">
        <f aca="false">D101*30</f>
        <v>1.78953</v>
      </c>
    </row>
    <row r="102" customFormat="false" ht="57.45" hidden="false" customHeight="false" outlineLevel="0" collapsed="false">
      <c r="A102" s="611" t="n">
        <v>35001182</v>
      </c>
      <c r="B102" s="612" t="s">
        <v>503</v>
      </c>
      <c r="C102" s="612" t="s">
        <v>501</v>
      </c>
      <c r="D102" s="612" t="n">
        <v>1</v>
      </c>
      <c r="E102" s="612" t="s">
        <v>568</v>
      </c>
      <c r="F102" s="612" t="s">
        <v>568</v>
      </c>
    </row>
    <row r="103" customFormat="false" ht="35.05" hidden="false" customHeight="false" outlineLevel="0" collapsed="false">
      <c r="A103" s="613" t="n">
        <v>35000038</v>
      </c>
      <c r="B103" s="614" t="s">
        <v>569</v>
      </c>
      <c r="C103" s="614" t="s">
        <v>459</v>
      </c>
      <c r="D103" s="614" t="s">
        <v>570</v>
      </c>
      <c r="E103" s="614" t="s">
        <v>571</v>
      </c>
      <c r="F103" s="614" t="s">
        <v>572</v>
      </c>
      <c r="H103" s="0" t="n">
        <f aca="false">D103*30</f>
        <v>7.15809</v>
      </c>
    </row>
    <row r="104" customFormat="false" ht="57.45" hidden="false" customHeight="false" outlineLevel="0" collapsed="false">
      <c r="A104" s="611" t="n">
        <v>35001184</v>
      </c>
      <c r="B104" s="612" t="s">
        <v>573</v>
      </c>
      <c r="C104" s="612" t="s">
        <v>259</v>
      </c>
      <c r="D104" s="612" t="s">
        <v>574</v>
      </c>
      <c r="E104" s="612" t="s">
        <v>575</v>
      </c>
      <c r="F104" s="612" t="s">
        <v>576</v>
      </c>
    </row>
    <row r="105" customFormat="false" ht="35.05" hidden="false" customHeight="false" outlineLevel="0" collapsed="false">
      <c r="A105" s="611" t="n">
        <v>65002843</v>
      </c>
      <c r="B105" s="612" t="s">
        <v>577</v>
      </c>
      <c r="C105" s="612" t="s">
        <v>459</v>
      </c>
      <c r="D105" s="612" t="s">
        <v>578</v>
      </c>
      <c r="E105" s="612" t="s">
        <v>579</v>
      </c>
      <c r="F105" s="612" t="s">
        <v>580</v>
      </c>
    </row>
    <row r="106" customFormat="false" ht="35.05" hidden="false" customHeight="false" outlineLevel="0" collapsed="false">
      <c r="A106" s="611" t="n">
        <v>65002844</v>
      </c>
      <c r="B106" s="612" t="s">
        <v>581</v>
      </c>
      <c r="C106" s="612" t="s">
        <v>582</v>
      </c>
      <c r="D106" s="612" t="n">
        <v>480</v>
      </c>
      <c r="E106" s="612" t="s">
        <v>583</v>
      </c>
      <c r="F106" s="612" t="s">
        <v>584</v>
      </c>
    </row>
    <row r="107" customFormat="false" ht="13.8" hidden="false" customHeight="false" outlineLevel="0" collapsed="false">
      <c r="A107" s="611" t="n">
        <v>65001579</v>
      </c>
      <c r="B107" s="612" t="s">
        <v>585</v>
      </c>
      <c r="C107" s="612" t="s">
        <v>259</v>
      </c>
      <c r="D107" s="612" t="n">
        <v>6</v>
      </c>
      <c r="E107" s="612" t="s">
        <v>586</v>
      </c>
      <c r="F107" s="612" t="s">
        <v>587</v>
      </c>
    </row>
    <row r="108" customFormat="false" ht="23.85" hidden="false" customHeight="false" outlineLevel="0" collapsed="false">
      <c r="A108" s="611" t="n">
        <v>65001141</v>
      </c>
      <c r="B108" s="612" t="s">
        <v>588</v>
      </c>
      <c r="C108" s="612" t="s">
        <v>259</v>
      </c>
      <c r="D108" s="612" t="n">
        <v>2</v>
      </c>
      <c r="E108" s="612" t="s">
        <v>589</v>
      </c>
      <c r="F108" s="612" t="s">
        <v>590</v>
      </c>
    </row>
    <row r="110" customFormat="false" ht="13.8" hidden="false" customHeight="false" outlineLevel="0" collapsed="false">
      <c r="A110" s="0" t="s">
        <v>591</v>
      </c>
      <c r="B110" s="594"/>
      <c r="D110" s="615" t="n">
        <f aca="false">'[1]MC QUADRO AREAS'!C14</f>
        <v>0</v>
      </c>
      <c r="E110" s="594" t="s">
        <v>292</v>
      </c>
    </row>
    <row r="111" customFormat="false" ht="39.75" hidden="false" customHeight="true" outlineLevel="0" collapsed="false">
      <c r="A111" s="616" t="s">
        <v>592</v>
      </c>
      <c r="B111" s="616"/>
      <c r="C111" s="616"/>
      <c r="D111" s="616"/>
      <c r="E111" s="616"/>
      <c r="F111" s="616"/>
      <c r="G111" s="616"/>
      <c r="H111" s="616"/>
      <c r="I111" s="616"/>
      <c r="J111" s="616"/>
      <c r="K111" s="616"/>
    </row>
    <row r="112" customFormat="false" ht="12.8" hidden="false" customHeight="false" outlineLevel="0" collapsed="false">
      <c r="F112" s="0" t="s">
        <v>9</v>
      </c>
      <c r="G112" s="0" t="s">
        <v>593</v>
      </c>
    </row>
    <row r="113" customFormat="false" ht="48" hidden="false" customHeight="true" outlineLevel="0" collapsed="false">
      <c r="A113" s="617" t="s">
        <v>594</v>
      </c>
      <c r="B113" s="617" t="s">
        <v>595</v>
      </c>
      <c r="C113" s="617"/>
      <c r="D113" s="617"/>
      <c r="E113" s="617"/>
      <c r="F113" s="617" t="s">
        <v>541</v>
      </c>
      <c r="G113" s="617" t="n">
        <v>0.26</v>
      </c>
      <c r="J113" s="0" t="s">
        <v>596</v>
      </c>
      <c r="K113" s="0" t="s">
        <v>102</v>
      </c>
    </row>
    <row r="114" customFormat="false" ht="12.8" hidden="false" customHeight="false" outlineLevel="0" collapsed="false">
      <c r="A114" s="617" t="s">
        <v>597</v>
      </c>
      <c r="B114" s="617" t="s">
        <v>598</v>
      </c>
      <c r="C114" s="617"/>
      <c r="D114" s="617"/>
      <c r="E114" s="617"/>
      <c r="F114" s="617" t="s">
        <v>599</v>
      </c>
      <c r="G114" s="618" t="n">
        <v>1064.01</v>
      </c>
      <c r="J114" s="0" t="n">
        <v>6</v>
      </c>
      <c r="K114" s="550" t="n">
        <f aca="false">J114*G114</f>
        <v>6384.06</v>
      </c>
      <c r="M114" s="0" t="n">
        <v>6</v>
      </c>
      <c r="N114" s="0" t="s">
        <v>600</v>
      </c>
    </row>
    <row r="115" customFormat="false" ht="12.8" hidden="false" customHeight="false" outlineLevel="0" collapsed="false">
      <c r="A115" s="617" t="s">
        <v>601</v>
      </c>
      <c r="B115" s="617" t="s">
        <v>602</v>
      </c>
      <c r="C115" s="617"/>
      <c r="D115" s="617"/>
      <c r="E115" s="617"/>
      <c r="F115" s="617" t="s">
        <v>541</v>
      </c>
      <c r="G115" s="617" t="n">
        <v>0.34</v>
      </c>
      <c r="K115" s="550"/>
    </row>
    <row r="116" customFormat="false" ht="12.8" hidden="false" customHeight="false" outlineLevel="0" collapsed="false">
      <c r="A116" s="617" t="s">
        <v>603</v>
      </c>
      <c r="B116" s="617" t="s">
        <v>604</v>
      </c>
      <c r="C116" s="617"/>
      <c r="D116" s="617"/>
      <c r="E116" s="617"/>
      <c r="F116" s="617" t="s">
        <v>599</v>
      </c>
      <c r="G116" s="618" t="n">
        <v>2607.2</v>
      </c>
      <c r="K116" s="550"/>
    </row>
    <row r="117" customFormat="false" ht="13.8" hidden="false" customHeight="false" outlineLevel="0" collapsed="false">
      <c r="B117" s="594"/>
      <c r="C117" s="594"/>
      <c r="D117" s="594"/>
      <c r="E117" s="594"/>
      <c r="K117" s="550"/>
    </row>
    <row r="118" customFormat="false" ht="37.5" hidden="false" customHeight="true" outlineLevel="0" collapsed="false">
      <c r="A118" s="617" t="s">
        <v>605</v>
      </c>
      <c r="B118" s="619" t="s">
        <v>606</v>
      </c>
      <c r="C118" s="619"/>
      <c r="D118" s="619"/>
      <c r="E118" s="619"/>
      <c r="F118" s="617" t="s">
        <v>607</v>
      </c>
      <c r="G118" s="620" t="n">
        <v>543.27</v>
      </c>
      <c r="H118" s="620"/>
      <c r="J118" s="0" t="n">
        <v>12</v>
      </c>
      <c r="K118" s="550" t="n">
        <f aca="false">J118*G118</f>
        <v>6519.24</v>
      </c>
      <c r="M118" s="0" t="s">
        <v>608</v>
      </c>
    </row>
    <row r="119" customFormat="false" ht="13.8" hidden="false" customHeight="false" outlineLevel="0" collapsed="false">
      <c r="B119" s="594"/>
      <c r="C119" s="594"/>
      <c r="D119" s="594"/>
      <c r="E119" s="594"/>
      <c r="K119" s="550"/>
    </row>
    <row r="120" customFormat="false" ht="12.8" hidden="false" customHeight="false" outlineLevel="0" collapsed="false">
      <c r="K120" s="550"/>
    </row>
    <row r="121" customFormat="false" ht="13.8" hidden="false" customHeight="false" outlineLevel="0" collapsed="false">
      <c r="B121" s="594"/>
      <c r="C121" s="594"/>
      <c r="D121" s="594"/>
      <c r="E121" s="594"/>
      <c r="K121" s="550"/>
    </row>
    <row r="122" customFormat="false" ht="36" hidden="false" customHeight="true" outlineLevel="0" collapsed="false">
      <c r="A122" s="617" t="s">
        <v>609</v>
      </c>
      <c r="B122" s="619" t="s">
        <v>610</v>
      </c>
      <c r="C122" s="617"/>
      <c r="D122" s="617"/>
      <c r="E122" s="617"/>
      <c r="F122" s="617" t="s">
        <v>541</v>
      </c>
      <c r="G122" s="617" t="n">
        <v>0.19</v>
      </c>
      <c r="H122" s="617"/>
      <c r="K122" s="550"/>
    </row>
    <row r="123" customFormat="false" ht="35.05" hidden="false" customHeight="false" outlineLevel="0" collapsed="false">
      <c r="A123" s="617" t="s">
        <v>611</v>
      </c>
      <c r="B123" s="619" t="s">
        <v>612</v>
      </c>
      <c r="C123" s="617"/>
      <c r="D123" s="617"/>
      <c r="E123" s="617"/>
      <c r="F123" s="617" t="s">
        <v>541</v>
      </c>
      <c r="G123" s="617" t="n">
        <v>0.72</v>
      </c>
      <c r="H123" s="617"/>
      <c r="J123" s="0" t="n">
        <v>10000</v>
      </c>
      <c r="K123" s="550" t="n">
        <f aca="false">J123*G123</f>
        <v>7200</v>
      </c>
    </row>
    <row r="124" customFormat="false" ht="35.05" hidden="false" customHeight="false" outlineLevel="0" collapsed="false">
      <c r="A124" s="617" t="s">
        <v>613</v>
      </c>
      <c r="B124" s="619" t="s">
        <v>614</v>
      </c>
      <c r="C124" s="617"/>
      <c r="D124" s="617"/>
      <c r="E124" s="617"/>
      <c r="F124" s="617" t="s">
        <v>541</v>
      </c>
      <c r="G124" s="617" t="n">
        <v>0.63</v>
      </c>
      <c r="H124" s="617"/>
      <c r="J124" s="0" t="n">
        <v>4556.25</v>
      </c>
      <c r="K124" s="550" t="n">
        <f aca="false">J124*G124</f>
        <v>2870.4375</v>
      </c>
    </row>
    <row r="125" customFormat="false" ht="35.05" hidden="false" customHeight="false" outlineLevel="0" collapsed="false">
      <c r="A125" s="617" t="s">
        <v>615</v>
      </c>
      <c r="B125" s="619" t="s">
        <v>616</v>
      </c>
      <c r="C125" s="617"/>
      <c r="D125" s="617"/>
      <c r="E125" s="617"/>
      <c r="F125" s="617" t="s">
        <v>541</v>
      </c>
      <c r="G125" s="617" t="n">
        <v>0.54</v>
      </c>
      <c r="H125" s="617"/>
      <c r="K125" s="550"/>
    </row>
    <row r="126" customFormat="false" ht="35.05" hidden="false" customHeight="false" outlineLevel="0" collapsed="false">
      <c r="A126" s="617" t="s">
        <v>617</v>
      </c>
      <c r="B126" s="619" t="s">
        <v>618</v>
      </c>
      <c r="C126" s="617"/>
      <c r="D126" s="617"/>
      <c r="E126" s="617"/>
      <c r="F126" s="617" t="s">
        <v>541</v>
      </c>
      <c r="G126" s="617" t="n">
        <v>0.45</v>
      </c>
      <c r="H126" s="617"/>
      <c r="K126" s="550"/>
    </row>
    <row r="127" customFormat="false" ht="35.05" hidden="false" customHeight="false" outlineLevel="0" collapsed="false">
      <c r="A127" s="617" t="s">
        <v>619</v>
      </c>
      <c r="B127" s="619" t="s">
        <v>620</v>
      </c>
      <c r="C127" s="617"/>
      <c r="D127" s="617"/>
      <c r="E127" s="617"/>
      <c r="F127" s="617" t="s">
        <v>541</v>
      </c>
      <c r="G127" s="617" t="n">
        <v>0.37</v>
      </c>
      <c r="H127" s="617"/>
      <c r="K127" s="550"/>
    </row>
    <row r="128" customFormat="false" ht="35.05" hidden="false" customHeight="false" outlineLevel="0" collapsed="false">
      <c r="A128" s="617" t="s">
        <v>621</v>
      </c>
      <c r="B128" s="619" t="s">
        <v>622</v>
      </c>
      <c r="C128" s="617"/>
      <c r="D128" s="617"/>
      <c r="E128" s="617"/>
      <c r="F128" s="617" t="s">
        <v>541</v>
      </c>
      <c r="G128" s="617" t="n">
        <v>0.28</v>
      </c>
      <c r="H128" s="617"/>
      <c r="K128" s="550"/>
    </row>
    <row r="129" customFormat="false" ht="12.8" hidden="false" customHeight="false" outlineLevel="0" collapsed="false">
      <c r="K129" s="550"/>
    </row>
    <row r="130" customFormat="false" ht="12.8" hidden="false" customHeight="false" outlineLevel="0" collapsed="false">
      <c r="K130" s="550"/>
    </row>
    <row r="131" customFormat="false" ht="96" hidden="false" customHeight="true" outlineLevel="0" collapsed="false">
      <c r="A131" s="617" t="s">
        <v>623</v>
      </c>
      <c r="B131" s="619" t="s">
        <v>624</v>
      </c>
      <c r="C131" s="617"/>
      <c r="D131" s="617"/>
      <c r="E131" s="617"/>
      <c r="F131" s="617" t="s">
        <v>541</v>
      </c>
      <c r="G131" s="617" t="n">
        <v>0.37</v>
      </c>
      <c r="H131" s="617"/>
      <c r="J131" s="0" t="n">
        <v>4556.25</v>
      </c>
      <c r="K131" s="550" t="n">
        <f aca="false">J131*G131</f>
        <v>1685.8125</v>
      </c>
    </row>
    <row r="132" customFormat="false" ht="91" hidden="false" customHeight="false" outlineLevel="0" collapsed="false">
      <c r="A132" s="617" t="s">
        <v>625</v>
      </c>
      <c r="B132" s="619" t="s">
        <v>626</v>
      </c>
      <c r="C132" s="617"/>
      <c r="D132" s="617"/>
      <c r="E132" s="617"/>
      <c r="F132" s="617" t="s">
        <v>541</v>
      </c>
      <c r="G132" s="617" t="n">
        <v>1.28</v>
      </c>
      <c r="H132" s="617"/>
      <c r="J132" s="0" t="n">
        <v>1000</v>
      </c>
      <c r="K132" s="550" t="n">
        <f aca="false">J132*G132</f>
        <v>1280</v>
      </c>
    </row>
    <row r="133" customFormat="false" ht="91" hidden="false" customHeight="false" outlineLevel="0" collapsed="false">
      <c r="A133" s="617" t="s">
        <v>627</v>
      </c>
      <c r="B133" s="619" t="s">
        <v>628</v>
      </c>
      <c r="C133" s="617"/>
      <c r="D133" s="617"/>
      <c r="E133" s="617"/>
      <c r="F133" s="617" t="s">
        <v>541</v>
      </c>
      <c r="G133" s="617" t="n">
        <v>1.08</v>
      </c>
      <c r="H133" s="617"/>
      <c r="J133" s="0" t="n">
        <v>2000</v>
      </c>
      <c r="K133" s="550" t="n">
        <f aca="false">J133*G133</f>
        <v>2160</v>
      </c>
    </row>
    <row r="134" customFormat="false" ht="91" hidden="false" customHeight="false" outlineLevel="0" collapsed="false">
      <c r="A134" s="617" t="s">
        <v>629</v>
      </c>
      <c r="B134" s="619" t="s">
        <v>630</v>
      </c>
      <c r="C134" s="617"/>
      <c r="D134" s="617"/>
      <c r="E134" s="617"/>
      <c r="F134" s="617" t="s">
        <v>541</v>
      </c>
      <c r="G134" s="617" t="n">
        <v>0.9</v>
      </c>
      <c r="H134" s="617"/>
      <c r="J134" s="0" t="n">
        <v>2000</v>
      </c>
      <c r="K134" s="550" t="n">
        <f aca="false">J134*G134</f>
        <v>1800</v>
      </c>
    </row>
    <row r="135" customFormat="false" ht="91" hidden="false" customHeight="false" outlineLevel="0" collapsed="false">
      <c r="A135" s="617" t="s">
        <v>631</v>
      </c>
      <c r="B135" s="619" t="s">
        <v>632</v>
      </c>
      <c r="C135" s="617"/>
      <c r="D135" s="617"/>
      <c r="E135" s="617"/>
      <c r="F135" s="617" t="s">
        <v>541</v>
      </c>
      <c r="G135" s="617" t="n">
        <v>0.72</v>
      </c>
      <c r="H135" s="617"/>
      <c r="J135" s="0" t="n">
        <v>2000</v>
      </c>
      <c r="K135" s="550" t="n">
        <f aca="false">J135*G135</f>
        <v>1440</v>
      </c>
    </row>
    <row r="136" customFormat="false" ht="91" hidden="false" customHeight="false" outlineLevel="0" collapsed="false">
      <c r="A136" s="617" t="s">
        <v>633</v>
      </c>
      <c r="B136" s="619" t="s">
        <v>634</v>
      </c>
      <c r="C136" s="617"/>
      <c r="D136" s="617"/>
      <c r="E136" s="617"/>
      <c r="F136" s="617" t="s">
        <v>541</v>
      </c>
      <c r="G136" s="617" t="n">
        <v>0.55</v>
      </c>
      <c r="H136" s="617"/>
      <c r="J136" s="0" t="n">
        <v>2000</v>
      </c>
      <c r="K136" s="550" t="n">
        <f aca="false">J136*G136</f>
        <v>1100</v>
      </c>
    </row>
    <row r="137" customFormat="false" ht="91" hidden="false" customHeight="false" outlineLevel="0" collapsed="false">
      <c r="A137" s="617" t="s">
        <v>635</v>
      </c>
      <c r="B137" s="619" t="s">
        <v>636</v>
      </c>
      <c r="C137" s="617"/>
      <c r="D137" s="617"/>
      <c r="E137" s="617"/>
      <c r="F137" s="617" t="s">
        <v>541</v>
      </c>
      <c r="G137" s="617" t="n">
        <v>1.43</v>
      </c>
      <c r="H137" s="617"/>
      <c r="J137" s="0" t="n">
        <v>1000</v>
      </c>
      <c r="K137" s="550" t="n">
        <f aca="false">J137*G137</f>
        <v>1430</v>
      </c>
    </row>
    <row r="140" customFormat="false" ht="12.8" hidden="false" customHeight="false" outlineLevel="0" collapsed="false">
      <c r="I140" s="0" t="s">
        <v>637</v>
      </c>
      <c r="K140" s="550" t="n">
        <f aca="false">SUM(K114:K137)</f>
        <v>33869.55</v>
      </c>
    </row>
    <row r="141" customFormat="false" ht="12.8" hidden="false" customHeight="false" outlineLevel="0" collapsed="false">
      <c r="I141" s="0" t="s">
        <v>13</v>
      </c>
      <c r="J141" s="549" t="n">
        <v>0.2589</v>
      </c>
      <c r="K141" s="550" t="n">
        <f aca="false">J141*K140</f>
        <v>8768.826495</v>
      </c>
    </row>
    <row r="142" customFormat="false" ht="12.8" hidden="false" customHeight="false" outlineLevel="0" collapsed="false">
      <c r="I142" s="0" t="s">
        <v>102</v>
      </c>
      <c r="K142" s="550" t="n">
        <f aca="false">SUM(K140:K141)</f>
        <v>42638.376495</v>
      </c>
    </row>
    <row r="144" customFormat="false" ht="15" hidden="false" customHeight="true" outlineLevel="0" collapsed="false">
      <c r="F144" s="621" t="s">
        <v>638</v>
      </c>
      <c r="G144" s="621"/>
      <c r="H144" s="621"/>
      <c r="I144" s="621"/>
      <c r="J144" s="621"/>
      <c r="K144" s="621"/>
    </row>
    <row r="145" customFormat="false" ht="12.8" hidden="false" customHeight="false" outlineLevel="0" collapsed="false">
      <c r="F145" s="621"/>
      <c r="G145" s="621"/>
      <c r="H145" s="621"/>
      <c r="I145" s="621"/>
      <c r="J145" s="621"/>
      <c r="K145" s="621"/>
    </row>
    <row r="146" customFormat="false" ht="12.8" hidden="false" customHeight="false" outlineLevel="0" collapsed="false">
      <c r="F146" s="621"/>
      <c r="G146" s="621"/>
      <c r="H146" s="621"/>
      <c r="I146" s="621"/>
      <c r="J146" s="621"/>
      <c r="K146" s="621"/>
    </row>
    <row r="147" customFormat="false" ht="12.8" hidden="false" customHeight="false" outlineLevel="0" collapsed="false">
      <c r="F147" s="621"/>
      <c r="G147" s="621"/>
      <c r="H147" s="621"/>
      <c r="I147" s="621"/>
      <c r="J147" s="621"/>
      <c r="K147" s="621"/>
    </row>
  </sheetData>
  <mergeCells count="45">
    <mergeCell ref="A1:L2"/>
    <mergeCell ref="A4:B4"/>
    <mergeCell ref="E4:K5"/>
    <mergeCell ref="A5:B5"/>
    <mergeCell ref="A6:A7"/>
    <mergeCell ref="B6:E7"/>
    <mergeCell ref="F6:F7"/>
    <mergeCell ref="G6:G7"/>
    <mergeCell ref="H6:H7"/>
    <mergeCell ref="I6:I7"/>
    <mergeCell ref="J6:J7"/>
    <mergeCell ref="K6:K7"/>
    <mergeCell ref="B8:E8"/>
    <mergeCell ref="B9:E9"/>
    <mergeCell ref="B10:E10"/>
    <mergeCell ref="B11:E11"/>
    <mergeCell ref="A16:A17"/>
    <mergeCell ref="B16:H17"/>
    <mergeCell ref="I16:I17"/>
    <mergeCell ref="J16:J17"/>
    <mergeCell ref="B18:H18"/>
    <mergeCell ref="B19:H19"/>
    <mergeCell ref="B20:H20"/>
    <mergeCell ref="B21:H21"/>
    <mergeCell ref="B22:H22"/>
    <mergeCell ref="B23:H23"/>
    <mergeCell ref="I24:K24"/>
    <mergeCell ref="I25:K25"/>
    <mergeCell ref="I26:K26"/>
    <mergeCell ref="I29:K29"/>
    <mergeCell ref="A31:A32"/>
    <mergeCell ref="B31:H32"/>
    <mergeCell ref="I31:I32"/>
    <mergeCell ref="J31:J32"/>
    <mergeCell ref="K31:K32"/>
    <mergeCell ref="B33:H33"/>
    <mergeCell ref="B34:H34"/>
    <mergeCell ref="B35:H35"/>
    <mergeCell ref="B36:H36"/>
    <mergeCell ref="A39:I40"/>
    <mergeCell ref="A41:I41"/>
    <mergeCell ref="A111:K111"/>
    <mergeCell ref="B118:E118"/>
    <mergeCell ref="G118:H118"/>
    <mergeCell ref="F144:K1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1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8" activeCellId="0" sqref="A18"/>
    </sheetView>
  </sheetViews>
  <sheetFormatPr defaultColWidth="11.70703125" defaultRowHeight="12.8" zeroHeight="false" outlineLevelRow="0" outlineLevelCol="0"/>
  <cols>
    <col collapsed="false" customWidth="true" hidden="false" outlineLevel="0" max="6" min="3" style="0" width="29.86"/>
  </cols>
  <sheetData>
    <row r="1" customFormat="false" ht="12.75" hidden="false" customHeight="true" outlineLevel="0" collapsed="false">
      <c r="A1" s="622" t="s">
        <v>639</v>
      </c>
      <c r="B1" s="622"/>
      <c r="C1" s="622"/>
      <c r="D1" s="622"/>
      <c r="E1" s="622"/>
      <c r="F1" s="622"/>
      <c r="G1" s="622"/>
      <c r="H1" s="622"/>
      <c r="I1" s="622"/>
    </row>
    <row r="2" customFormat="false" ht="12.8" hidden="false" customHeight="false" outlineLevel="0" collapsed="false">
      <c r="A2" s="623"/>
      <c r="B2" s="623"/>
      <c r="C2" s="623"/>
      <c r="D2" s="623"/>
      <c r="E2" s="623"/>
      <c r="F2" s="623"/>
      <c r="G2" s="623"/>
      <c r="H2" s="623"/>
      <c r="I2" s="623"/>
    </row>
    <row r="3" customFormat="false" ht="12.75" hidden="false" customHeight="true" outlineLevel="0" collapsed="false">
      <c r="A3" s="622" t="s">
        <v>639</v>
      </c>
      <c r="B3" s="622"/>
      <c r="C3" s="622"/>
      <c r="D3" s="622"/>
      <c r="E3" s="622"/>
      <c r="F3" s="622"/>
      <c r="G3" s="622"/>
      <c r="H3" s="622"/>
      <c r="I3" s="622"/>
    </row>
    <row r="4" customFormat="false" ht="12.75" hidden="false" customHeight="true" outlineLevel="0" collapsed="false">
      <c r="A4" s="622" t="s">
        <v>640</v>
      </c>
      <c r="B4" s="622"/>
      <c r="C4" s="622"/>
      <c r="D4" s="622"/>
      <c r="E4" s="622"/>
      <c r="F4" s="622"/>
      <c r="G4" s="622"/>
      <c r="H4" s="622"/>
      <c r="I4" s="622"/>
    </row>
    <row r="5" customFormat="false" ht="12.8" hidden="false" customHeight="false" outlineLevel="0" collapsed="false">
      <c r="A5" s="624" t="n">
        <v>45200</v>
      </c>
      <c r="B5" s="624"/>
      <c r="C5" s="624"/>
      <c r="D5" s="624"/>
      <c r="E5" s="624"/>
      <c r="F5" s="624"/>
      <c r="G5" s="624"/>
      <c r="H5" s="624"/>
      <c r="I5" s="624"/>
    </row>
    <row r="6" customFormat="false" ht="12.8" hidden="false" customHeight="false" outlineLevel="0" collapsed="false">
      <c r="A6" s="623"/>
      <c r="B6" s="623"/>
      <c r="C6" s="623"/>
      <c r="D6" s="623"/>
      <c r="E6" s="623"/>
      <c r="F6" s="623"/>
      <c r="G6" s="623"/>
      <c r="H6" s="623"/>
      <c r="I6" s="623"/>
    </row>
    <row r="7" customFormat="false" ht="12.8" hidden="false" customHeight="false" outlineLevel="0" collapsed="false">
      <c r="A7" s="623"/>
      <c r="B7" s="623"/>
      <c r="C7" s="623"/>
      <c r="D7" s="623"/>
      <c r="E7" s="623"/>
      <c r="F7" s="623"/>
      <c r="G7" s="623"/>
      <c r="H7" s="623"/>
      <c r="I7" s="623"/>
    </row>
    <row r="8" customFormat="false" ht="12.75" hidden="false" customHeight="true" outlineLevel="0" collapsed="false">
      <c r="A8" s="622" t="s">
        <v>23</v>
      </c>
      <c r="B8" s="622"/>
      <c r="C8" s="622" t="s">
        <v>641</v>
      </c>
      <c r="D8" s="622"/>
      <c r="E8" s="622"/>
      <c r="F8" s="622"/>
      <c r="G8" s="193" t="s">
        <v>9</v>
      </c>
      <c r="H8" s="622" t="s">
        <v>520</v>
      </c>
      <c r="I8" s="622"/>
    </row>
    <row r="9" customFormat="false" ht="12.75" hidden="false" customHeight="true" outlineLevel="0" collapsed="false">
      <c r="A9" s="625" t="n">
        <v>10</v>
      </c>
      <c r="B9" s="625"/>
      <c r="C9" s="622" t="s">
        <v>642</v>
      </c>
      <c r="D9" s="622"/>
      <c r="E9" s="622"/>
      <c r="F9" s="622"/>
      <c r="H9" s="623"/>
      <c r="I9" s="623"/>
    </row>
    <row r="10" customFormat="false" ht="12.75" hidden="false" customHeight="true" outlineLevel="0" collapsed="false">
      <c r="A10" s="625" t="n">
        <v>15</v>
      </c>
      <c r="B10" s="625"/>
      <c r="C10" s="622" t="s">
        <v>643</v>
      </c>
      <c r="D10" s="622"/>
      <c r="E10" s="622"/>
      <c r="F10" s="622"/>
      <c r="H10" s="623"/>
      <c r="I10" s="623"/>
    </row>
    <row r="11" customFormat="false" ht="23.25" hidden="false" customHeight="true" outlineLevel="0" collapsed="false">
      <c r="A11" s="625" t="s">
        <v>644</v>
      </c>
      <c r="B11" s="625"/>
      <c r="C11" s="622" t="s">
        <v>645</v>
      </c>
      <c r="D11" s="622"/>
      <c r="E11" s="622"/>
      <c r="F11" s="622"/>
      <c r="G11" s="410" t="s">
        <v>646</v>
      </c>
      <c r="H11" s="625" t="n">
        <v>46.03</v>
      </c>
      <c r="I11" s="625"/>
    </row>
    <row r="12" customFormat="false" ht="23.25" hidden="false" customHeight="true" outlineLevel="0" collapsed="false">
      <c r="A12" s="625" t="s">
        <v>647</v>
      </c>
      <c r="B12" s="625"/>
      <c r="C12" s="622" t="s">
        <v>648</v>
      </c>
      <c r="D12" s="622"/>
      <c r="E12" s="622"/>
      <c r="F12" s="622"/>
      <c r="G12" s="410" t="s">
        <v>646</v>
      </c>
      <c r="H12" s="625" t="n">
        <v>60.06</v>
      </c>
      <c r="I12" s="625"/>
    </row>
    <row r="13" customFormat="false" ht="23.25" hidden="false" customHeight="true" outlineLevel="0" collapsed="false">
      <c r="A13" s="625" t="s">
        <v>649</v>
      </c>
      <c r="B13" s="625"/>
      <c r="C13" s="622" t="s">
        <v>650</v>
      </c>
      <c r="D13" s="622"/>
      <c r="E13" s="622"/>
      <c r="F13" s="622"/>
      <c r="G13" s="410" t="s">
        <v>646</v>
      </c>
      <c r="H13" s="625" t="n">
        <v>99.45</v>
      </c>
      <c r="I13" s="625"/>
    </row>
    <row r="14" customFormat="false" ht="23.25" hidden="false" customHeight="true" outlineLevel="0" collapsed="false">
      <c r="A14" s="625" t="s">
        <v>651</v>
      </c>
      <c r="B14" s="625"/>
      <c r="C14" s="622" t="s">
        <v>652</v>
      </c>
      <c r="D14" s="622"/>
      <c r="E14" s="622"/>
      <c r="F14" s="622"/>
      <c r="G14" s="410" t="s">
        <v>646</v>
      </c>
      <c r="H14" s="625" t="n">
        <v>21.58</v>
      </c>
      <c r="I14" s="625"/>
    </row>
    <row r="15" customFormat="false" ht="23.25" hidden="false" customHeight="true" outlineLevel="0" collapsed="false">
      <c r="A15" s="625" t="s">
        <v>653</v>
      </c>
      <c r="B15" s="625"/>
      <c r="C15" s="622" t="s">
        <v>654</v>
      </c>
      <c r="D15" s="622"/>
      <c r="E15" s="622"/>
      <c r="F15" s="622"/>
      <c r="G15" s="410" t="s">
        <v>646</v>
      </c>
      <c r="H15" s="625" t="n">
        <v>31.49</v>
      </c>
      <c r="I15" s="625"/>
    </row>
    <row r="16" customFormat="false" ht="23.25" hidden="false" customHeight="true" outlineLevel="0" collapsed="false">
      <c r="A16" s="625" t="s">
        <v>655</v>
      </c>
      <c r="B16" s="625"/>
      <c r="C16" s="622" t="s">
        <v>656</v>
      </c>
      <c r="D16" s="622"/>
      <c r="E16" s="622"/>
      <c r="F16" s="622"/>
      <c r="G16" s="410" t="s">
        <v>646</v>
      </c>
      <c r="H16" s="625" t="n">
        <v>34.46</v>
      </c>
      <c r="I16" s="625"/>
    </row>
    <row r="17" customFormat="false" ht="23.25" hidden="false" customHeight="true" outlineLevel="0" collapsed="false">
      <c r="A17" s="625" t="s">
        <v>657</v>
      </c>
      <c r="B17" s="625"/>
      <c r="C17" s="622" t="s">
        <v>658</v>
      </c>
      <c r="D17" s="622"/>
      <c r="E17" s="622"/>
      <c r="F17" s="622"/>
      <c r="G17" s="410" t="s">
        <v>646</v>
      </c>
      <c r="H17" s="625" t="n">
        <v>44.63</v>
      </c>
      <c r="I17" s="625"/>
    </row>
    <row r="18" customFormat="false" ht="23.25" hidden="false" customHeight="true" outlineLevel="0" collapsed="false">
      <c r="A18" s="625" t="s">
        <v>659</v>
      </c>
      <c r="B18" s="625"/>
      <c r="C18" s="622" t="s">
        <v>660</v>
      </c>
      <c r="D18" s="622"/>
      <c r="E18" s="622"/>
      <c r="F18" s="622"/>
      <c r="G18" s="410" t="s">
        <v>646</v>
      </c>
      <c r="H18" s="625" t="n">
        <v>62.61</v>
      </c>
      <c r="I18" s="625"/>
    </row>
    <row r="19" customFormat="false" ht="23.25" hidden="false" customHeight="true" outlineLevel="0" collapsed="false">
      <c r="A19" s="625" t="s">
        <v>661</v>
      </c>
      <c r="B19" s="625"/>
      <c r="C19" s="622" t="s">
        <v>662</v>
      </c>
      <c r="D19" s="622"/>
      <c r="E19" s="622"/>
      <c r="F19" s="622"/>
      <c r="G19" s="410" t="s">
        <v>646</v>
      </c>
      <c r="H19" s="625" t="n">
        <v>34.46</v>
      </c>
      <c r="I19" s="625"/>
    </row>
    <row r="20" customFormat="false" ht="23.25" hidden="false" customHeight="true" outlineLevel="0" collapsed="false">
      <c r="A20" s="625" t="s">
        <v>663</v>
      </c>
      <c r="B20" s="625"/>
      <c r="C20" s="622" t="s">
        <v>664</v>
      </c>
      <c r="D20" s="622"/>
      <c r="E20" s="622"/>
      <c r="F20" s="622"/>
      <c r="G20" s="410" t="s">
        <v>646</v>
      </c>
      <c r="H20" s="625" t="n">
        <v>44.63</v>
      </c>
      <c r="I20" s="625"/>
    </row>
    <row r="21" customFormat="false" ht="23.25" hidden="false" customHeight="true" outlineLevel="0" collapsed="false">
      <c r="A21" s="625" t="s">
        <v>665</v>
      </c>
      <c r="B21" s="625"/>
      <c r="C21" s="622" t="s">
        <v>666</v>
      </c>
      <c r="D21" s="622"/>
      <c r="E21" s="622"/>
      <c r="F21" s="622"/>
      <c r="G21" s="410" t="s">
        <v>646</v>
      </c>
      <c r="H21" s="625" t="n">
        <v>62.61</v>
      </c>
      <c r="I21" s="625"/>
    </row>
    <row r="22" customFormat="false" ht="23.25" hidden="false" customHeight="true" outlineLevel="0" collapsed="false">
      <c r="A22" s="625" t="s">
        <v>667</v>
      </c>
      <c r="B22" s="625"/>
      <c r="C22" s="622" t="s">
        <v>668</v>
      </c>
      <c r="D22" s="622"/>
      <c r="E22" s="622"/>
      <c r="F22" s="622"/>
      <c r="G22" s="410" t="s">
        <v>646</v>
      </c>
      <c r="H22" s="625" t="n">
        <v>30.25</v>
      </c>
      <c r="I22" s="625"/>
    </row>
    <row r="23" customFormat="false" ht="23.25" hidden="false" customHeight="true" outlineLevel="0" collapsed="false">
      <c r="A23" s="625" t="s">
        <v>669</v>
      </c>
      <c r="B23" s="625"/>
      <c r="C23" s="622" t="s">
        <v>670</v>
      </c>
      <c r="D23" s="622"/>
      <c r="E23" s="622"/>
      <c r="F23" s="622"/>
      <c r="G23" s="410" t="s">
        <v>646</v>
      </c>
      <c r="H23" s="625" t="n">
        <v>38.89</v>
      </c>
      <c r="I23" s="625"/>
    </row>
    <row r="24" customFormat="false" ht="23.25" hidden="false" customHeight="true" outlineLevel="0" collapsed="false">
      <c r="A24" s="625" t="s">
        <v>671</v>
      </c>
      <c r="B24" s="625"/>
      <c r="C24" s="622" t="s">
        <v>672</v>
      </c>
      <c r="D24" s="622"/>
      <c r="E24" s="622"/>
      <c r="F24" s="622"/>
      <c r="G24" s="410" t="s">
        <v>646</v>
      </c>
      <c r="H24" s="625" t="n">
        <v>65.41</v>
      </c>
      <c r="I24" s="625"/>
    </row>
    <row r="25" customFormat="false" ht="23.25" hidden="false" customHeight="true" outlineLevel="0" collapsed="false">
      <c r="A25" s="625" t="s">
        <v>673</v>
      </c>
      <c r="B25" s="625"/>
      <c r="C25" s="622" t="s">
        <v>674</v>
      </c>
      <c r="D25" s="622"/>
      <c r="E25" s="622"/>
      <c r="F25" s="622"/>
      <c r="G25" s="410" t="s">
        <v>646</v>
      </c>
      <c r="H25" s="625" t="n">
        <v>20.47</v>
      </c>
      <c r="I25" s="625"/>
    </row>
    <row r="26" customFormat="false" ht="23.25" hidden="false" customHeight="true" outlineLevel="0" collapsed="false">
      <c r="A26" s="625" t="s">
        <v>675</v>
      </c>
      <c r="B26" s="625"/>
      <c r="C26" s="622" t="s">
        <v>676</v>
      </c>
      <c r="D26" s="622"/>
      <c r="E26" s="622"/>
      <c r="F26" s="622"/>
      <c r="G26" s="410" t="s">
        <v>646</v>
      </c>
      <c r="H26" s="625" t="n">
        <v>19.24</v>
      </c>
      <c r="I26" s="625"/>
    </row>
    <row r="27" customFormat="false" ht="23.25" hidden="false" customHeight="true" outlineLevel="0" collapsed="false">
      <c r="A27" s="625" t="s">
        <v>677</v>
      </c>
      <c r="B27" s="625"/>
      <c r="C27" s="622" t="s">
        <v>678</v>
      </c>
      <c r="D27" s="622"/>
      <c r="E27" s="622"/>
      <c r="F27" s="622"/>
      <c r="G27" s="410" t="s">
        <v>646</v>
      </c>
      <c r="H27" s="625" t="n">
        <v>18.11</v>
      </c>
      <c r="I27" s="625"/>
    </row>
    <row r="28" customFormat="false" ht="23.25" hidden="false" customHeight="true" outlineLevel="0" collapsed="false">
      <c r="A28" s="625" t="s">
        <v>679</v>
      </c>
      <c r="B28" s="625"/>
      <c r="C28" s="622" t="s">
        <v>680</v>
      </c>
      <c r="D28" s="622"/>
      <c r="E28" s="622"/>
      <c r="F28" s="622"/>
      <c r="G28" s="410" t="s">
        <v>646</v>
      </c>
      <c r="H28" s="625" t="n">
        <v>18.11</v>
      </c>
      <c r="I28" s="625"/>
    </row>
    <row r="29" customFormat="false" ht="23.25" hidden="false" customHeight="true" outlineLevel="0" collapsed="false">
      <c r="A29" s="625" t="s">
        <v>681</v>
      </c>
      <c r="B29" s="625"/>
      <c r="C29" s="622" t="s">
        <v>682</v>
      </c>
      <c r="D29" s="622"/>
      <c r="E29" s="622"/>
      <c r="F29" s="622"/>
      <c r="G29" s="410" t="s">
        <v>646</v>
      </c>
      <c r="H29" s="625" t="n">
        <v>33.72</v>
      </c>
      <c r="I29" s="625"/>
    </row>
    <row r="30" customFormat="false" ht="23.25" hidden="false" customHeight="true" outlineLevel="0" collapsed="false">
      <c r="A30" s="625" t="s">
        <v>683</v>
      </c>
      <c r="B30" s="625"/>
      <c r="C30" s="622" t="s">
        <v>684</v>
      </c>
      <c r="D30" s="622"/>
      <c r="E30" s="622"/>
      <c r="F30" s="622"/>
      <c r="G30" s="410" t="s">
        <v>646</v>
      </c>
      <c r="H30" s="625" t="n">
        <v>43.48</v>
      </c>
      <c r="I30" s="625"/>
    </row>
    <row r="31" customFormat="false" ht="23.25" hidden="false" customHeight="true" outlineLevel="0" collapsed="false">
      <c r="A31" s="625" t="s">
        <v>685</v>
      </c>
      <c r="B31" s="625"/>
      <c r="C31" s="622" t="s">
        <v>686</v>
      </c>
      <c r="D31" s="622"/>
      <c r="E31" s="622"/>
      <c r="F31" s="622"/>
      <c r="G31" s="410" t="s">
        <v>646</v>
      </c>
      <c r="H31" s="625" t="n">
        <v>71.91</v>
      </c>
      <c r="I31" s="625"/>
    </row>
    <row r="32" customFormat="false" ht="23.25" hidden="false" customHeight="true" outlineLevel="0" collapsed="false">
      <c r="A32" s="625" t="s">
        <v>687</v>
      </c>
      <c r="B32" s="625"/>
      <c r="C32" s="622" t="s">
        <v>688</v>
      </c>
      <c r="D32" s="622"/>
      <c r="E32" s="622"/>
      <c r="F32" s="622"/>
      <c r="G32" s="410" t="s">
        <v>646</v>
      </c>
      <c r="H32" s="625" t="n">
        <v>148.35</v>
      </c>
      <c r="I32" s="625"/>
    </row>
    <row r="33" customFormat="false" ht="23.25" hidden="false" customHeight="true" outlineLevel="0" collapsed="false">
      <c r="A33" s="625" t="s">
        <v>689</v>
      </c>
      <c r="B33" s="625"/>
      <c r="C33" s="622" t="s">
        <v>690</v>
      </c>
      <c r="D33" s="622"/>
      <c r="E33" s="622"/>
      <c r="F33" s="622"/>
      <c r="G33" s="410" t="s">
        <v>646</v>
      </c>
      <c r="H33" s="625" t="n">
        <v>33.97</v>
      </c>
      <c r="I33" s="625"/>
    </row>
    <row r="34" customFormat="false" ht="23.25" hidden="false" customHeight="true" outlineLevel="0" collapsed="false">
      <c r="A34" s="625" t="s">
        <v>691</v>
      </c>
      <c r="B34" s="625"/>
      <c r="C34" s="622" t="s">
        <v>692</v>
      </c>
      <c r="D34" s="622"/>
      <c r="E34" s="622"/>
      <c r="F34" s="622"/>
      <c r="G34" s="410" t="s">
        <v>646</v>
      </c>
      <c r="H34" s="625" t="n">
        <v>110.33</v>
      </c>
      <c r="I34" s="625"/>
    </row>
    <row r="35" customFormat="false" ht="23.25" hidden="false" customHeight="true" outlineLevel="0" collapsed="false">
      <c r="A35" s="625" t="s">
        <v>693</v>
      </c>
      <c r="B35" s="625"/>
      <c r="C35" s="622" t="s">
        <v>694</v>
      </c>
      <c r="D35" s="622"/>
      <c r="E35" s="622"/>
      <c r="F35" s="622"/>
      <c r="G35" s="410" t="s">
        <v>646</v>
      </c>
      <c r="H35" s="625" t="n">
        <v>114.92</v>
      </c>
      <c r="I35" s="625"/>
    </row>
    <row r="36" customFormat="false" ht="23.25" hidden="false" customHeight="true" outlineLevel="0" collapsed="false">
      <c r="A36" s="625" t="s">
        <v>695</v>
      </c>
      <c r="B36" s="625"/>
      <c r="C36" s="622" t="s">
        <v>696</v>
      </c>
      <c r="D36" s="622"/>
      <c r="E36" s="622"/>
      <c r="F36" s="622"/>
      <c r="G36" s="410" t="s">
        <v>646</v>
      </c>
      <c r="H36" s="625" t="n">
        <v>119.51</v>
      </c>
      <c r="I36" s="625"/>
    </row>
    <row r="37" customFormat="false" ht="23.25" hidden="false" customHeight="true" outlineLevel="0" collapsed="false">
      <c r="A37" s="625" t="s">
        <v>697</v>
      </c>
      <c r="B37" s="625"/>
      <c r="C37" s="622" t="s">
        <v>698</v>
      </c>
      <c r="D37" s="622"/>
      <c r="E37" s="622"/>
      <c r="F37" s="622"/>
      <c r="G37" s="410" t="s">
        <v>646</v>
      </c>
      <c r="H37" s="625" t="n">
        <v>110.33</v>
      </c>
      <c r="I37" s="625"/>
    </row>
    <row r="38" customFormat="false" ht="23.25" hidden="false" customHeight="true" outlineLevel="0" collapsed="false">
      <c r="A38" s="625" t="s">
        <v>699</v>
      </c>
      <c r="B38" s="625"/>
      <c r="C38" s="622" t="s">
        <v>700</v>
      </c>
      <c r="D38" s="622"/>
      <c r="E38" s="622"/>
      <c r="F38" s="622"/>
      <c r="G38" s="410" t="s">
        <v>646</v>
      </c>
      <c r="H38" s="625" t="n">
        <v>119.26</v>
      </c>
      <c r="I38" s="625"/>
    </row>
    <row r="39" customFormat="false" ht="23.25" hidden="false" customHeight="true" outlineLevel="0" collapsed="false">
      <c r="A39" s="625" t="s">
        <v>701</v>
      </c>
      <c r="B39" s="625"/>
      <c r="C39" s="622" t="s">
        <v>702</v>
      </c>
      <c r="D39" s="622"/>
      <c r="E39" s="622"/>
      <c r="F39" s="622"/>
      <c r="G39" s="410" t="s">
        <v>646</v>
      </c>
      <c r="H39" s="625" t="n">
        <v>128.18</v>
      </c>
      <c r="I39" s="625"/>
    </row>
    <row r="40" customFormat="false" ht="23.25" hidden="false" customHeight="true" outlineLevel="0" collapsed="false">
      <c r="A40" s="625" t="s">
        <v>703</v>
      </c>
      <c r="B40" s="625"/>
      <c r="C40" s="622" t="s">
        <v>704</v>
      </c>
      <c r="D40" s="622"/>
      <c r="E40" s="622"/>
      <c r="F40" s="622"/>
      <c r="G40" s="410" t="s">
        <v>646</v>
      </c>
      <c r="H40" s="625" t="n">
        <v>110.33</v>
      </c>
      <c r="I40" s="625"/>
    </row>
    <row r="41" customFormat="false" ht="23.25" hidden="false" customHeight="true" outlineLevel="0" collapsed="false">
      <c r="A41" s="625" t="s">
        <v>705</v>
      </c>
      <c r="B41" s="625"/>
      <c r="C41" s="622" t="s">
        <v>706</v>
      </c>
      <c r="D41" s="622"/>
      <c r="E41" s="622"/>
      <c r="F41" s="622"/>
      <c r="G41" s="410" t="s">
        <v>646</v>
      </c>
      <c r="H41" s="625" t="n">
        <v>120.15</v>
      </c>
      <c r="I41" s="625"/>
    </row>
    <row r="42" customFormat="false" ht="23.25" hidden="false" customHeight="true" outlineLevel="0" collapsed="false">
      <c r="A42" s="625" t="s">
        <v>707</v>
      </c>
      <c r="B42" s="625"/>
      <c r="C42" s="622" t="s">
        <v>708</v>
      </c>
      <c r="D42" s="622"/>
      <c r="E42" s="622"/>
      <c r="F42" s="622"/>
      <c r="G42" s="410" t="s">
        <v>646</v>
      </c>
      <c r="H42" s="625" t="n">
        <v>129.97</v>
      </c>
      <c r="I42" s="625"/>
    </row>
    <row r="43" customFormat="false" ht="34.5" hidden="false" customHeight="true" outlineLevel="0" collapsed="false">
      <c r="A43" s="625" t="s">
        <v>709</v>
      </c>
      <c r="B43" s="625"/>
      <c r="C43" s="622" t="s">
        <v>710</v>
      </c>
      <c r="D43" s="622"/>
      <c r="E43" s="622"/>
      <c r="F43" s="622"/>
      <c r="G43" s="410" t="s">
        <v>646</v>
      </c>
      <c r="H43" s="625" t="n">
        <v>218.71</v>
      </c>
      <c r="I43" s="625"/>
    </row>
    <row r="44" customFormat="false" ht="23.25" hidden="false" customHeight="true" outlineLevel="0" collapsed="false">
      <c r="A44" s="625" t="s">
        <v>711</v>
      </c>
      <c r="B44" s="625"/>
      <c r="C44" s="622" t="s">
        <v>712</v>
      </c>
      <c r="D44" s="622"/>
      <c r="E44" s="622"/>
      <c r="F44" s="622"/>
      <c r="G44" s="410" t="s">
        <v>646</v>
      </c>
      <c r="H44" s="625" t="n">
        <v>191.55</v>
      </c>
      <c r="I44" s="625"/>
    </row>
    <row r="45" customFormat="false" ht="23.25" hidden="false" customHeight="true" outlineLevel="0" collapsed="false">
      <c r="A45" s="625" t="s">
        <v>713</v>
      </c>
      <c r="B45" s="625"/>
      <c r="C45" s="622" t="s">
        <v>714</v>
      </c>
      <c r="D45" s="622"/>
      <c r="E45" s="622"/>
      <c r="F45" s="622"/>
      <c r="G45" s="410" t="s">
        <v>646</v>
      </c>
      <c r="H45" s="625" t="n">
        <v>164.52</v>
      </c>
      <c r="I45" s="625"/>
    </row>
    <row r="46" customFormat="false" ht="23.25" hidden="false" customHeight="true" outlineLevel="0" collapsed="false">
      <c r="A46" s="625" t="s">
        <v>715</v>
      </c>
      <c r="B46" s="625"/>
      <c r="C46" s="622" t="s">
        <v>716</v>
      </c>
      <c r="D46" s="622"/>
      <c r="E46" s="622"/>
      <c r="F46" s="622"/>
      <c r="G46" s="410" t="s">
        <v>646</v>
      </c>
      <c r="H46" s="625" t="n">
        <v>110.33</v>
      </c>
      <c r="I46" s="625"/>
    </row>
    <row r="47" customFormat="false" ht="23.25" hidden="false" customHeight="true" outlineLevel="0" collapsed="false">
      <c r="A47" s="625" t="s">
        <v>717</v>
      </c>
      <c r="B47" s="625"/>
      <c r="C47" s="622" t="s">
        <v>718</v>
      </c>
      <c r="D47" s="622"/>
      <c r="E47" s="622"/>
      <c r="F47" s="622"/>
      <c r="G47" s="410" t="s">
        <v>646</v>
      </c>
      <c r="H47" s="625" t="n">
        <v>113.01</v>
      </c>
      <c r="I47" s="625"/>
    </row>
    <row r="48" customFormat="false" ht="23.25" hidden="false" customHeight="true" outlineLevel="0" collapsed="false">
      <c r="A48" s="625" t="s">
        <v>719</v>
      </c>
      <c r="B48" s="625"/>
      <c r="C48" s="622" t="s">
        <v>720</v>
      </c>
      <c r="D48" s="622"/>
      <c r="E48" s="622"/>
      <c r="F48" s="622"/>
      <c r="G48" s="410" t="s">
        <v>646</v>
      </c>
      <c r="H48" s="625" t="n">
        <v>139.15</v>
      </c>
      <c r="I48" s="625"/>
    </row>
    <row r="49" customFormat="false" ht="12.75" hidden="false" customHeight="true" outlineLevel="0" collapsed="false">
      <c r="A49" s="625" t="n">
        <v>215</v>
      </c>
      <c r="B49" s="625"/>
      <c r="C49" s="622" t="s">
        <v>721</v>
      </c>
      <c r="D49" s="622"/>
      <c r="E49" s="622"/>
      <c r="F49" s="622"/>
      <c r="H49" s="623"/>
      <c r="I49" s="623"/>
    </row>
    <row r="50" customFormat="false" ht="23.25" hidden="false" customHeight="true" outlineLevel="0" collapsed="false">
      <c r="A50" s="625" t="s">
        <v>722</v>
      </c>
      <c r="B50" s="625"/>
      <c r="C50" s="622" t="s">
        <v>723</v>
      </c>
      <c r="D50" s="622"/>
      <c r="E50" s="622"/>
      <c r="F50" s="622"/>
      <c r="G50" s="410" t="s">
        <v>599</v>
      </c>
      <c r="H50" s="625" t="n">
        <v>167.7</v>
      </c>
      <c r="I50" s="625"/>
    </row>
    <row r="51" customFormat="false" ht="12.75" hidden="false" customHeight="true" outlineLevel="0" collapsed="false">
      <c r="A51" s="625" t="n">
        <v>23</v>
      </c>
      <c r="B51" s="625"/>
      <c r="C51" s="622" t="s">
        <v>724</v>
      </c>
      <c r="D51" s="622"/>
      <c r="E51" s="622"/>
      <c r="F51" s="622"/>
      <c r="H51" s="623"/>
      <c r="I51" s="623"/>
    </row>
    <row r="52" customFormat="false" ht="102" hidden="false" customHeight="true" outlineLevel="0" collapsed="false">
      <c r="A52" s="625" t="s">
        <v>725</v>
      </c>
      <c r="B52" s="625"/>
      <c r="C52" s="622" t="s">
        <v>726</v>
      </c>
      <c r="D52" s="622"/>
      <c r="E52" s="622"/>
      <c r="F52" s="622"/>
      <c r="G52" s="410" t="s">
        <v>727</v>
      </c>
      <c r="H52" s="625" t="n">
        <v>1946.01</v>
      </c>
      <c r="I52" s="625"/>
    </row>
    <row r="53" customFormat="false" ht="102" hidden="false" customHeight="true" outlineLevel="0" collapsed="false">
      <c r="A53" s="625" t="s">
        <v>728</v>
      </c>
      <c r="B53" s="625"/>
      <c r="C53" s="622" t="s">
        <v>729</v>
      </c>
      <c r="D53" s="622"/>
      <c r="E53" s="622"/>
      <c r="F53" s="622"/>
      <c r="G53" s="410" t="s">
        <v>730</v>
      </c>
      <c r="H53" s="625" t="n">
        <v>1.16</v>
      </c>
      <c r="I53" s="625"/>
    </row>
    <row r="54" customFormat="false" ht="102" hidden="false" customHeight="true" outlineLevel="0" collapsed="false">
      <c r="A54" s="625" t="s">
        <v>731</v>
      </c>
      <c r="B54" s="625"/>
      <c r="C54" s="622" t="s">
        <v>732</v>
      </c>
      <c r="D54" s="622"/>
      <c r="E54" s="622"/>
      <c r="F54" s="622"/>
      <c r="G54" s="410" t="s">
        <v>727</v>
      </c>
      <c r="H54" s="625" t="n">
        <v>1928.7</v>
      </c>
      <c r="I54" s="625"/>
    </row>
    <row r="55" customFormat="false" ht="102" hidden="false" customHeight="true" outlineLevel="0" collapsed="false">
      <c r="A55" s="625" t="s">
        <v>733</v>
      </c>
      <c r="B55" s="625"/>
      <c r="C55" s="622" t="s">
        <v>734</v>
      </c>
      <c r="D55" s="622"/>
      <c r="E55" s="622"/>
      <c r="F55" s="622"/>
      <c r="G55" s="410" t="s">
        <v>730</v>
      </c>
      <c r="H55" s="625" t="n">
        <v>1.05</v>
      </c>
      <c r="I55" s="625"/>
    </row>
    <row r="56" customFormat="false" ht="102" hidden="false" customHeight="true" outlineLevel="0" collapsed="false">
      <c r="A56" s="625" t="s">
        <v>735</v>
      </c>
      <c r="B56" s="625"/>
      <c r="C56" s="622" t="s">
        <v>736</v>
      </c>
      <c r="D56" s="622"/>
      <c r="E56" s="622"/>
      <c r="F56" s="622"/>
      <c r="G56" s="410" t="s">
        <v>727</v>
      </c>
      <c r="H56" s="625" t="n">
        <v>8397.01</v>
      </c>
      <c r="I56" s="625"/>
    </row>
    <row r="57" customFormat="false" ht="102" hidden="false" customHeight="true" outlineLevel="0" collapsed="false">
      <c r="A57" s="625" t="s">
        <v>737</v>
      </c>
      <c r="B57" s="625"/>
      <c r="C57" s="622" t="s">
        <v>738</v>
      </c>
      <c r="D57" s="622"/>
      <c r="E57" s="622"/>
      <c r="F57" s="622"/>
      <c r="G57" s="410" t="s">
        <v>730</v>
      </c>
      <c r="H57" s="625" t="n">
        <v>1.95</v>
      </c>
      <c r="I57" s="625"/>
    </row>
    <row r="58" customFormat="false" ht="12.75" hidden="false" customHeight="true" outlineLevel="0" collapsed="false">
      <c r="A58" s="625" t="n">
        <v>31</v>
      </c>
      <c r="B58" s="625"/>
      <c r="C58" s="622" t="s">
        <v>739</v>
      </c>
      <c r="D58" s="622"/>
      <c r="E58" s="622"/>
      <c r="F58" s="622"/>
      <c r="H58" s="623"/>
      <c r="I58" s="623"/>
    </row>
    <row r="59" customFormat="false" ht="12.75" hidden="false" customHeight="true" outlineLevel="0" collapsed="false">
      <c r="A59" s="625" t="n">
        <v>33</v>
      </c>
      <c r="B59" s="625"/>
      <c r="C59" s="622" t="s">
        <v>740</v>
      </c>
      <c r="D59" s="622"/>
      <c r="E59" s="622"/>
      <c r="F59" s="622"/>
      <c r="H59" s="623"/>
      <c r="I59" s="623"/>
    </row>
    <row r="60" customFormat="false" ht="23.25" hidden="false" customHeight="true" outlineLevel="0" collapsed="false">
      <c r="A60" s="625" t="s">
        <v>594</v>
      </c>
      <c r="B60" s="625"/>
      <c r="C60" s="622" t="s">
        <v>595</v>
      </c>
      <c r="D60" s="622"/>
      <c r="E60" s="622"/>
      <c r="F60" s="622"/>
      <c r="G60" s="410" t="s">
        <v>541</v>
      </c>
      <c r="H60" s="625" t="n">
        <v>0.33</v>
      </c>
      <c r="I60" s="625"/>
    </row>
    <row r="61" customFormat="false" ht="23.25" hidden="false" customHeight="true" outlineLevel="0" collapsed="false">
      <c r="A61" s="625" t="s">
        <v>597</v>
      </c>
      <c r="B61" s="625"/>
      <c r="C61" s="622" t="s">
        <v>598</v>
      </c>
      <c r="D61" s="622"/>
      <c r="E61" s="622"/>
      <c r="F61" s="622"/>
      <c r="G61" s="410" t="s">
        <v>599</v>
      </c>
      <c r="H61" s="625" t="n">
        <v>1380.6</v>
      </c>
      <c r="I61" s="625"/>
    </row>
    <row r="62" customFormat="false" ht="23.25" hidden="false" customHeight="true" outlineLevel="0" collapsed="false">
      <c r="A62" s="625" t="s">
        <v>601</v>
      </c>
      <c r="B62" s="625"/>
      <c r="C62" s="622" t="s">
        <v>602</v>
      </c>
      <c r="D62" s="622"/>
      <c r="E62" s="622"/>
      <c r="F62" s="622"/>
      <c r="G62" s="410" t="s">
        <v>541</v>
      </c>
      <c r="H62" s="625" t="n">
        <v>0.43</v>
      </c>
      <c r="I62" s="625"/>
    </row>
    <row r="63" customFormat="false" ht="23.25" hidden="false" customHeight="true" outlineLevel="0" collapsed="false">
      <c r="A63" s="625" t="s">
        <v>603</v>
      </c>
      <c r="B63" s="625"/>
      <c r="C63" s="622" t="s">
        <v>604</v>
      </c>
      <c r="D63" s="622"/>
      <c r="E63" s="622"/>
      <c r="F63" s="622"/>
      <c r="G63" s="410" t="s">
        <v>599</v>
      </c>
      <c r="H63" s="625" t="n">
        <v>3376</v>
      </c>
      <c r="I63" s="625"/>
    </row>
    <row r="64" customFormat="false" ht="12.75" hidden="false" customHeight="true" outlineLevel="0" collapsed="false">
      <c r="A64" s="625" t="n">
        <v>34</v>
      </c>
      <c r="B64" s="625"/>
      <c r="C64" s="622" t="s">
        <v>741</v>
      </c>
      <c r="D64" s="622"/>
      <c r="E64" s="622"/>
      <c r="F64" s="622"/>
      <c r="H64" s="623"/>
      <c r="I64" s="623"/>
    </row>
    <row r="65" customFormat="false" ht="23.25" hidden="false" customHeight="true" outlineLevel="0" collapsed="false">
      <c r="A65" s="625" t="s">
        <v>742</v>
      </c>
      <c r="B65" s="625"/>
      <c r="C65" s="622" t="s">
        <v>743</v>
      </c>
      <c r="D65" s="622"/>
      <c r="E65" s="622"/>
      <c r="F65" s="622"/>
      <c r="G65" s="410" t="s">
        <v>541</v>
      </c>
      <c r="H65" s="625" t="n">
        <v>0.96</v>
      </c>
      <c r="I65" s="625"/>
    </row>
    <row r="66" customFormat="false" ht="23.25" hidden="false" customHeight="true" outlineLevel="0" collapsed="false">
      <c r="A66" s="625" t="s">
        <v>744</v>
      </c>
      <c r="B66" s="625"/>
      <c r="C66" s="622" t="s">
        <v>745</v>
      </c>
      <c r="D66" s="622"/>
      <c r="E66" s="622"/>
      <c r="F66" s="622"/>
      <c r="G66" s="410" t="s">
        <v>541</v>
      </c>
      <c r="H66" s="625" t="n">
        <v>3.89</v>
      </c>
      <c r="I66" s="625"/>
    </row>
    <row r="67" customFormat="false" ht="23.25" hidden="false" customHeight="true" outlineLevel="0" collapsed="false">
      <c r="A67" s="625" t="s">
        <v>746</v>
      </c>
      <c r="B67" s="625"/>
      <c r="C67" s="622" t="s">
        <v>747</v>
      </c>
      <c r="D67" s="622"/>
      <c r="E67" s="622"/>
      <c r="F67" s="622"/>
      <c r="G67" s="410" t="s">
        <v>541</v>
      </c>
      <c r="H67" s="625" t="n">
        <v>3.39</v>
      </c>
      <c r="I67" s="625"/>
    </row>
    <row r="68" customFormat="false" ht="23.25" hidden="false" customHeight="true" outlineLevel="0" collapsed="false">
      <c r="A68" s="625" t="s">
        <v>748</v>
      </c>
      <c r="B68" s="625"/>
      <c r="C68" s="622" t="s">
        <v>749</v>
      </c>
      <c r="D68" s="622"/>
      <c r="E68" s="622"/>
      <c r="F68" s="622"/>
      <c r="G68" s="410" t="s">
        <v>541</v>
      </c>
      <c r="H68" s="625" t="n">
        <v>2.93</v>
      </c>
      <c r="I68" s="625"/>
    </row>
    <row r="69" customFormat="false" ht="23.25" hidden="false" customHeight="true" outlineLevel="0" collapsed="false">
      <c r="A69" s="625" t="s">
        <v>750</v>
      </c>
      <c r="B69" s="625"/>
      <c r="C69" s="622" t="s">
        <v>751</v>
      </c>
      <c r="D69" s="622"/>
      <c r="E69" s="622"/>
      <c r="F69" s="622"/>
      <c r="G69" s="410" t="s">
        <v>541</v>
      </c>
      <c r="H69" s="625" t="n">
        <v>2.42</v>
      </c>
      <c r="I69" s="625"/>
    </row>
    <row r="70" customFormat="false" ht="23.25" hidden="false" customHeight="true" outlineLevel="0" collapsed="false">
      <c r="A70" s="625" t="s">
        <v>752</v>
      </c>
      <c r="B70" s="625"/>
      <c r="C70" s="622" t="s">
        <v>753</v>
      </c>
      <c r="D70" s="622"/>
      <c r="E70" s="622"/>
      <c r="F70" s="622"/>
      <c r="G70" s="410" t="s">
        <v>541</v>
      </c>
      <c r="H70" s="625" t="n">
        <v>1.92</v>
      </c>
      <c r="I70" s="625"/>
    </row>
    <row r="71" customFormat="false" ht="23.25" hidden="false" customHeight="true" outlineLevel="0" collapsed="false">
      <c r="A71" s="625" t="s">
        <v>754</v>
      </c>
      <c r="B71" s="625"/>
      <c r="C71" s="622" t="s">
        <v>755</v>
      </c>
      <c r="D71" s="622"/>
      <c r="E71" s="622"/>
      <c r="F71" s="622"/>
      <c r="G71" s="410" t="s">
        <v>541</v>
      </c>
      <c r="H71" s="625" t="n">
        <v>1.46</v>
      </c>
      <c r="I71" s="625"/>
    </row>
    <row r="72" customFormat="false" ht="23.25" hidden="false" customHeight="true" outlineLevel="0" collapsed="false">
      <c r="A72" s="625" t="s">
        <v>756</v>
      </c>
      <c r="B72" s="625"/>
      <c r="C72" s="622" t="s">
        <v>757</v>
      </c>
      <c r="D72" s="622"/>
      <c r="E72" s="622"/>
      <c r="F72" s="622"/>
      <c r="G72" s="410" t="s">
        <v>541</v>
      </c>
      <c r="H72" s="625" t="n">
        <v>0.11</v>
      </c>
      <c r="I72" s="625"/>
    </row>
    <row r="73" customFormat="false" ht="34.5" hidden="false" customHeight="true" outlineLevel="0" collapsed="false">
      <c r="A73" s="625" t="s">
        <v>758</v>
      </c>
      <c r="B73" s="625"/>
      <c r="C73" s="622" t="s">
        <v>759</v>
      </c>
      <c r="D73" s="622"/>
      <c r="E73" s="622"/>
      <c r="F73" s="622"/>
      <c r="G73" s="410" t="s">
        <v>541</v>
      </c>
      <c r="H73" s="625" t="n">
        <v>0.11</v>
      </c>
      <c r="I73" s="625"/>
    </row>
    <row r="74" customFormat="false" ht="34.5" hidden="false" customHeight="true" outlineLevel="0" collapsed="false">
      <c r="A74" s="625" t="s">
        <v>760</v>
      </c>
      <c r="B74" s="625"/>
      <c r="C74" s="622" t="s">
        <v>761</v>
      </c>
      <c r="D74" s="622"/>
      <c r="E74" s="622"/>
      <c r="F74" s="622"/>
      <c r="G74" s="410" t="s">
        <v>541</v>
      </c>
      <c r="H74" s="625" t="n">
        <v>0.22</v>
      </c>
      <c r="I74" s="625"/>
    </row>
    <row r="75" customFormat="false" ht="34.5" hidden="false" customHeight="true" outlineLevel="0" collapsed="false">
      <c r="A75" s="625" t="s">
        <v>762</v>
      </c>
      <c r="B75" s="625"/>
      <c r="C75" s="622" t="s">
        <v>763</v>
      </c>
      <c r="D75" s="622"/>
      <c r="E75" s="622"/>
      <c r="F75" s="622"/>
      <c r="G75" s="410" t="s">
        <v>541</v>
      </c>
      <c r="H75" s="625" t="n">
        <v>0.16</v>
      </c>
      <c r="I75" s="625"/>
    </row>
    <row r="76" customFormat="false" ht="34.5" hidden="false" customHeight="true" outlineLevel="0" collapsed="false">
      <c r="A76" s="625" t="s">
        <v>764</v>
      </c>
      <c r="B76" s="625"/>
      <c r="C76" s="622" t="s">
        <v>765</v>
      </c>
      <c r="D76" s="622"/>
      <c r="E76" s="622"/>
      <c r="F76" s="622"/>
      <c r="G76" s="410" t="s">
        <v>541</v>
      </c>
      <c r="H76" s="625" t="n">
        <v>0.39</v>
      </c>
      <c r="I76" s="625"/>
    </row>
    <row r="77" customFormat="false" ht="34.5" hidden="false" customHeight="true" outlineLevel="0" collapsed="false">
      <c r="A77" s="625" t="s">
        <v>766</v>
      </c>
      <c r="B77" s="625"/>
      <c r="C77" s="622" t="s">
        <v>767</v>
      </c>
      <c r="D77" s="622"/>
      <c r="E77" s="622"/>
      <c r="F77" s="622"/>
      <c r="G77" s="410" t="s">
        <v>541</v>
      </c>
      <c r="H77" s="625" t="n">
        <v>0.33</v>
      </c>
      <c r="I77" s="625"/>
    </row>
    <row r="78" customFormat="false" ht="34.5" hidden="false" customHeight="true" outlineLevel="0" collapsed="false">
      <c r="A78" s="625" t="s">
        <v>768</v>
      </c>
      <c r="B78" s="625"/>
      <c r="C78" s="622" t="s">
        <v>769</v>
      </c>
      <c r="D78" s="622"/>
      <c r="E78" s="622"/>
      <c r="F78" s="622"/>
      <c r="G78" s="410" t="s">
        <v>541</v>
      </c>
      <c r="H78" s="625" t="n">
        <v>0.28</v>
      </c>
      <c r="I78" s="625"/>
    </row>
    <row r="79" customFormat="false" ht="34.5" hidden="false" customHeight="true" outlineLevel="0" collapsed="false">
      <c r="A79" s="625" t="s">
        <v>770</v>
      </c>
      <c r="B79" s="625"/>
      <c r="C79" s="622" t="s">
        <v>771</v>
      </c>
      <c r="D79" s="622"/>
      <c r="E79" s="622"/>
      <c r="F79" s="622"/>
      <c r="G79" s="410" t="s">
        <v>541</v>
      </c>
      <c r="H79" s="625" t="n">
        <v>0.45</v>
      </c>
      <c r="I79" s="625"/>
    </row>
    <row r="80" customFormat="false" ht="34.5" hidden="false" customHeight="true" outlineLevel="0" collapsed="false">
      <c r="A80" s="625" t="s">
        <v>772</v>
      </c>
      <c r="B80" s="625"/>
      <c r="C80" s="622" t="s">
        <v>773</v>
      </c>
      <c r="D80" s="622"/>
      <c r="E80" s="622"/>
      <c r="F80" s="622"/>
      <c r="G80" s="410" t="s">
        <v>541</v>
      </c>
      <c r="H80" s="625" t="n">
        <v>0.79</v>
      </c>
      <c r="I80" s="625"/>
    </row>
    <row r="81" customFormat="false" ht="34.5" hidden="false" customHeight="true" outlineLevel="0" collapsed="false">
      <c r="A81" s="625" t="s">
        <v>774</v>
      </c>
      <c r="B81" s="625"/>
      <c r="C81" s="622" t="s">
        <v>775</v>
      </c>
      <c r="D81" s="622"/>
      <c r="E81" s="622"/>
      <c r="F81" s="622"/>
      <c r="G81" s="410" t="s">
        <v>541</v>
      </c>
      <c r="H81" s="625" t="n">
        <v>2.82</v>
      </c>
      <c r="I81" s="625"/>
    </row>
    <row r="82" customFormat="false" ht="34.5" hidden="false" customHeight="true" outlineLevel="0" collapsed="false">
      <c r="A82" s="625" t="s">
        <v>776</v>
      </c>
      <c r="B82" s="625"/>
      <c r="C82" s="622" t="s">
        <v>777</v>
      </c>
      <c r="D82" s="622"/>
      <c r="E82" s="622"/>
      <c r="F82" s="622"/>
      <c r="G82" s="410" t="s">
        <v>541</v>
      </c>
      <c r="H82" s="625" t="n">
        <v>2.37</v>
      </c>
      <c r="I82" s="625"/>
    </row>
    <row r="83" customFormat="false" ht="34.5" hidden="false" customHeight="true" outlineLevel="0" collapsed="false">
      <c r="A83" s="625" t="s">
        <v>778</v>
      </c>
      <c r="B83" s="625"/>
      <c r="C83" s="622" t="s">
        <v>779</v>
      </c>
      <c r="D83" s="622"/>
      <c r="E83" s="622"/>
      <c r="F83" s="622"/>
      <c r="G83" s="410" t="s">
        <v>541</v>
      </c>
      <c r="H83" s="625" t="n">
        <v>1.97</v>
      </c>
      <c r="I83" s="625"/>
    </row>
    <row r="84" customFormat="false" ht="34.5" hidden="false" customHeight="true" outlineLevel="0" collapsed="false">
      <c r="A84" s="625" t="s">
        <v>780</v>
      </c>
      <c r="B84" s="625"/>
      <c r="C84" s="622" t="s">
        <v>781</v>
      </c>
      <c r="D84" s="622"/>
      <c r="E84" s="622"/>
      <c r="F84" s="622"/>
      <c r="G84" s="410" t="s">
        <v>541</v>
      </c>
      <c r="H84" s="625" t="n">
        <v>1.58</v>
      </c>
      <c r="I84" s="625"/>
    </row>
    <row r="85" customFormat="false" ht="34.5" hidden="false" customHeight="true" outlineLevel="0" collapsed="false">
      <c r="A85" s="625" t="s">
        <v>782</v>
      </c>
      <c r="B85" s="625"/>
      <c r="C85" s="622" t="s">
        <v>783</v>
      </c>
      <c r="D85" s="622"/>
      <c r="E85" s="622"/>
      <c r="F85" s="622"/>
      <c r="G85" s="410" t="s">
        <v>541</v>
      </c>
      <c r="H85" s="625" t="n">
        <v>1.18</v>
      </c>
      <c r="I85" s="625"/>
    </row>
    <row r="86" customFormat="false" ht="34.5" hidden="false" customHeight="true" outlineLevel="0" collapsed="false">
      <c r="A86" s="625" t="s">
        <v>784</v>
      </c>
      <c r="B86" s="625"/>
      <c r="C86" s="622" t="s">
        <v>785</v>
      </c>
      <c r="D86" s="622"/>
      <c r="E86" s="622"/>
      <c r="F86" s="622"/>
      <c r="G86" s="410" t="s">
        <v>541</v>
      </c>
      <c r="H86" s="625" t="n">
        <v>3.22</v>
      </c>
      <c r="I86" s="625"/>
    </row>
    <row r="87" customFormat="false" ht="34.5" hidden="false" customHeight="true" outlineLevel="0" collapsed="false">
      <c r="A87" s="625" t="s">
        <v>786</v>
      </c>
      <c r="B87" s="625"/>
      <c r="C87" s="622" t="s">
        <v>787</v>
      </c>
      <c r="D87" s="622"/>
      <c r="E87" s="622"/>
      <c r="F87" s="622"/>
      <c r="G87" s="410" t="s">
        <v>541</v>
      </c>
      <c r="H87" s="625" t="n">
        <v>1.18</v>
      </c>
      <c r="I87" s="625"/>
    </row>
    <row r="88" customFormat="false" ht="34.5" hidden="false" customHeight="true" outlineLevel="0" collapsed="false">
      <c r="A88" s="625" t="s">
        <v>788</v>
      </c>
      <c r="B88" s="625"/>
      <c r="C88" s="622" t="s">
        <v>789</v>
      </c>
      <c r="D88" s="622"/>
      <c r="E88" s="622"/>
      <c r="F88" s="622"/>
      <c r="G88" s="410" t="s">
        <v>541</v>
      </c>
      <c r="H88" s="625" t="n">
        <v>4.8</v>
      </c>
      <c r="I88" s="625"/>
    </row>
    <row r="89" customFormat="false" ht="34.5" hidden="false" customHeight="true" outlineLevel="0" collapsed="false">
      <c r="A89" s="625" t="s">
        <v>790</v>
      </c>
      <c r="B89" s="625"/>
      <c r="C89" s="622" t="s">
        <v>791</v>
      </c>
      <c r="D89" s="622"/>
      <c r="E89" s="622"/>
      <c r="F89" s="622"/>
      <c r="G89" s="410" t="s">
        <v>541</v>
      </c>
      <c r="H89" s="625" t="n">
        <v>4.18</v>
      </c>
      <c r="I89" s="625"/>
    </row>
    <row r="90" customFormat="false" ht="34.5" hidden="false" customHeight="true" outlineLevel="0" collapsed="false">
      <c r="A90" s="625" t="s">
        <v>792</v>
      </c>
      <c r="B90" s="625"/>
      <c r="C90" s="622" t="s">
        <v>793</v>
      </c>
      <c r="D90" s="622"/>
      <c r="E90" s="622"/>
      <c r="F90" s="622"/>
      <c r="G90" s="410" t="s">
        <v>541</v>
      </c>
      <c r="H90" s="625" t="n">
        <v>3.61</v>
      </c>
      <c r="I90" s="625"/>
    </row>
    <row r="91" customFormat="false" ht="34.5" hidden="false" customHeight="true" outlineLevel="0" collapsed="false">
      <c r="A91" s="625" t="s">
        <v>794</v>
      </c>
      <c r="B91" s="625"/>
      <c r="C91" s="622" t="s">
        <v>795</v>
      </c>
      <c r="D91" s="622"/>
      <c r="E91" s="622"/>
      <c r="F91" s="622"/>
      <c r="G91" s="410" t="s">
        <v>541</v>
      </c>
      <c r="H91" s="625" t="n">
        <v>2.99</v>
      </c>
      <c r="I91" s="625"/>
    </row>
    <row r="92" customFormat="false" ht="34.5" hidden="false" customHeight="true" outlineLevel="0" collapsed="false">
      <c r="A92" s="625" t="s">
        <v>796</v>
      </c>
      <c r="B92" s="625"/>
      <c r="C92" s="622" t="s">
        <v>797</v>
      </c>
      <c r="D92" s="622"/>
      <c r="E92" s="622"/>
      <c r="F92" s="622"/>
      <c r="G92" s="410" t="s">
        <v>541</v>
      </c>
      <c r="H92" s="625" t="n">
        <v>2.37</v>
      </c>
      <c r="I92" s="625"/>
    </row>
    <row r="93" customFormat="false" ht="34.5" hidden="false" customHeight="true" outlineLevel="0" collapsed="false">
      <c r="A93" s="625" t="s">
        <v>798</v>
      </c>
      <c r="B93" s="625"/>
      <c r="C93" s="622" t="s">
        <v>799</v>
      </c>
      <c r="D93" s="622"/>
      <c r="E93" s="622"/>
      <c r="F93" s="622"/>
      <c r="G93" s="410" t="s">
        <v>541</v>
      </c>
      <c r="H93" s="625" t="n">
        <v>1.8</v>
      </c>
      <c r="I93" s="625"/>
    </row>
    <row r="94" customFormat="false" ht="12.75" hidden="false" customHeight="true" outlineLevel="0" collapsed="false">
      <c r="A94" s="625" t="n">
        <v>35</v>
      </c>
      <c r="B94" s="625"/>
      <c r="C94" s="622" t="s">
        <v>800</v>
      </c>
      <c r="D94" s="622"/>
      <c r="E94" s="622"/>
      <c r="F94" s="622"/>
      <c r="H94" s="623"/>
      <c r="I94" s="623"/>
    </row>
    <row r="95" customFormat="false" ht="12.75" hidden="false" customHeight="true" outlineLevel="0" collapsed="false">
      <c r="A95" s="625" t="s">
        <v>801</v>
      </c>
      <c r="B95" s="625"/>
      <c r="C95" s="622" t="s">
        <v>802</v>
      </c>
      <c r="D95" s="622"/>
      <c r="E95" s="622"/>
      <c r="F95" s="622"/>
      <c r="G95" s="410" t="s">
        <v>599</v>
      </c>
      <c r="H95" s="625" t="n">
        <v>11518.31</v>
      </c>
      <c r="I95" s="625"/>
    </row>
    <row r="96" customFormat="false" ht="12.75" hidden="false" customHeight="true" outlineLevel="0" collapsed="false">
      <c r="A96" s="625" t="s">
        <v>803</v>
      </c>
      <c r="B96" s="625"/>
      <c r="C96" s="622" t="s">
        <v>804</v>
      </c>
      <c r="D96" s="622"/>
      <c r="E96" s="622"/>
      <c r="F96" s="622"/>
      <c r="G96" s="410" t="s">
        <v>599</v>
      </c>
      <c r="H96" s="625" t="n">
        <v>3353.73</v>
      </c>
      <c r="I96" s="625"/>
    </row>
    <row r="97" customFormat="false" ht="23.25" hidden="false" customHeight="true" outlineLevel="0" collapsed="false">
      <c r="A97" s="625" t="s">
        <v>805</v>
      </c>
      <c r="B97" s="625"/>
      <c r="C97" s="622" t="s">
        <v>806</v>
      </c>
      <c r="D97" s="622"/>
      <c r="E97" s="622"/>
      <c r="F97" s="622"/>
      <c r="G97" s="410" t="s">
        <v>599</v>
      </c>
      <c r="H97" s="625" t="n">
        <v>10059.39</v>
      </c>
      <c r="I97" s="625"/>
    </row>
    <row r="98" customFormat="false" ht="23.25" hidden="false" customHeight="true" outlineLevel="0" collapsed="false">
      <c r="A98" s="625" t="s">
        <v>807</v>
      </c>
      <c r="B98" s="625"/>
      <c r="C98" s="622" t="s">
        <v>808</v>
      </c>
      <c r="D98" s="622"/>
      <c r="E98" s="622"/>
      <c r="F98" s="622"/>
      <c r="G98" s="410" t="s">
        <v>599</v>
      </c>
      <c r="H98" s="625" t="n">
        <v>6707.46</v>
      </c>
      <c r="I98" s="625"/>
    </row>
    <row r="99" customFormat="false" ht="23.25" hidden="false" customHeight="true" outlineLevel="0" collapsed="false">
      <c r="A99" s="625" t="s">
        <v>809</v>
      </c>
      <c r="B99" s="625"/>
      <c r="C99" s="622" t="s">
        <v>810</v>
      </c>
      <c r="D99" s="622"/>
      <c r="E99" s="622"/>
      <c r="F99" s="622"/>
      <c r="G99" s="410" t="s">
        <v>599</v>
      </c>
      <c r="H99" s="625" t="n">
        <v>2282.24</v>
      </c>
      <c r="I99" s="625"/>
    </row>
    <row r="100" customFormat="false" ht="23.25" hidden="false" customHeight="true" outlineLevel="0" collapsed="false">
      <c r="A100" s="625" t="s">
        <v>811</v>
      </c>
      <c r="B100" s="625"/>
      <c r="C100" s="622" t="s">
        <v>812</v>
      </c>
      <c r="D100" s="622"/>
      <c r="E100" s="622"/>
      <c r="F100" s="622"/>
      <c r="G100" s="410" t="s">
        <v>599</v>
      </c>
      <c r="H100" s="625" t="n">
        <v>9286.63</v>
      </c>
      <c r="I100" s="625"/>
    </row>
    <row r="101" customFormat="false" ht="34.5" hidden="false" customHeight="true" outlineLevel="0" collapsed="false">
      <c r="A101" s="625" t="s">
        <v>813</v>
      </c>
      <c r="B101" s="625"/>
      <c r="C101" s="622" t="s">
        <v>814</v>
      </c>
      <c r="D101" s="622"/>
      <c r="E101" s="622"/>
      <c r="F101" s="622"/>
      <c r="G101" s="410" t="s">
        <v>599</v>
      </c>
      <c r="H101" s="625" t="n">
        <v>7071.63</v>
      </c>
      <c r="I101" s="625"/>
    </row>
    <row r="102" customFormat="false" ht="34.5" hidden="false" customHeight="true" outlineLevel="0" collapsed="false">
      <c r="A102" s="625" t="s">
        <v>815</v>
      </c>
      <c r="B102" s="625"/>
      <c r="C102" s="622" t="s">
        <v>816</v>
      </c>
      <c r="D102" s="622"/>
      <c r="E102" s="622"/>
      <c r="F102" s="622"/>
      <c r="G102" s="410" t="s">
        <v>599</v>
      </c>
      <c r="H102" s="625" t="n">
        <v>3543.05</v>
      </c>
      <c r="I102" s="625"/>
    </row>
    <row r="103" customFormat="false" ht="23.25" hidden="false" customHeight="true" outlineLevel="0" collapsed="false">
      <c r="A103" s="625" t="s">
        <v>817</v>
      </c>
      <c r="B103" s="625"/>
      <c r="C103" s="622" t="s">
        <v>818</v>
      </c>
      <c r="D103" s="622"/>
      <c r="E103" s="622"/>
      <c r="F103" s="622"/>
      <c r="G103" s="410" t="s">
        <v>541</v>
      </c>
      <c r="H103" s="625" t="n">
        <v>0.68</v>
      </c>
      <c r="I103" s="625"/>
    </row>
    <row r="104" customFormat="false" ht="23.25" hidden="false" customHeight="true" outlineLevel="0" collapsed="false">
      <c r="A104" s="625" t="s">
        <v>819</v>
      </c>
      <c r="B104" s="625"/>
      <c r="C104" s="622" t="s">
        <v>820</v>
      </c>
      <c r="D104" s="622"/>
      <c r="E104" s="622"/>
      <c r="F104" s="622"/>
      <c r="G104" s="410" t="s">
        <v>541</v>
      </c>
      <c r="H104" s="625" t="n">
        <v>2.39</v>
      </c>
      <c r="I104" s="625"/>
    </row>
    <row r="105" customFormat="false" ht="23.25" hidden="false" customHeight="true" outlineLevel="0" collapsed="false">
      <c r="A105" s="625" t="s">
        <v>821</v>
      </c>
      <c r="B105" s="625"/>
      <c r="C105" s="622" t="s">
        <v>822</v>
      </c>
      <c r="D105" s="622"/>
      <c r="E105" s="622"/>
      <c r="F105" s="622"/>
      <c r="G105" s="410" t="s">
        <v>541</v>
      </c>
      <c r="H105" s="625" t="n">
        <v>2.1</v>
      </c>
      <c r="I105" s="625"/>
    </row>
    <row r="106" customFormat="false" ht="23.25" hidden="false" customHeight="true" outlineLevel="0" collapsed="false">
      <c r="A106" s="625" t="s">
        <v>823</v>
      </c>
      <c r="B106" s="625"/>
      <c r="C106" s="622" t="s">
        <v>824</v>
      </c>
      <c r="D106" s="622"/>
      <c r="E106" s="622"/>
      <c r="F106" s="622"/>
      <c r="G106" s="410" t="s">
        <v>541</v>
      </c>
      <c r="H106" s="625" t="n">
        <v>1.81</v>
      </c>
      <c r="I106" s="625"/>
    </row>
    <row r="107" customFormat="false" ht="23.25" hidden="false" customHeight="true" outlineLevel="0" collapsed="false">
      <c r="A107" s="625" t="s">
        <v>825</v>
      </c>
      <c r="B107" s="625"/>
      <c r="C107" s="622" t="s">
        <v>826</v>
      </c>
      <c r="D107" s="622"/>
      <c r="E107" s="622"/>
      <c r="F107" s="622"/>
      <c r="G107" s="410" t="s">
        <v>541</v>
      </c>
      <c r="H107" s="625" t="n">
        <v>1.54</v>
      </c>
      <c r="I107" s="625"/>
    </row>
    <row r="108" customFormat="false" ht="23.25" hidden="false" customHeight="true" outlineLevel="0" collapsed="false">
      <c r="A108" s="625" t="s">
        <v>827</v>
      </c>
      <c r="B108" s="625"/>
      <c r="C108" s="622" t="s">
        <v>828</v>
      </c>
      <c r="D108" s="622"/>
      <c r="E108" s="622"/>
      <c r="F108" s="622"/>
      <c r="G108" s="410" t="s">
        <v>541</v>
      </c>
      <c r="H108" s="625" t="n">
        <v>1.26</v>
      </c>
      <c r="I108" s="625"/>
    </row>
    <row r="109" customFormat="false" ht="23.25" hidden="false" customHeight="true" outlineLevel="0" collapsed="false">
      <c r="A109" s="625" t="s">
        <v>829</v>
      </c>
      <c r="B109" s="625"/>
      <c r="C109" s="622" t="s">
        <v>830</v>
      </c>
      <c r="D109" s="622"/>
      <c r="E109" s="622"/>
      <c r="F109" s="622"/>
      <c r="G109" s="410" t="s">
        <v>541</v>
      </c>
      <c r="H109" s="625" t="n">
        <v>0.97</v>
      </c>
      <c r="I109" s="625"/>
    </row>
    <row r="110" customFormat="false" ht="12.75" hidden="false" customHeight="true" outlineLevel="0" collapsed="false">
      <c r="A110" s="625" t="s">
        <v>831</v>
      </c>
      <c r="B110" s="625"/>
      <c r="C110" s="622" t="s">
        <v>832</v>
      </c>
      <c r="D110" s="622"/>
      <c r="E110" s="622"/>
      <c r="F110" s="622"/>
      <c r="G110" s="410" t="s">
        <v>176</v>
      </c>
      <c r="H110" s="625" t="n">
        <v>6</v>
      </c>
      <c r="I110" s="625"/>
    </row>
    <row r="111" customFormat="false" ht="23.25" hidden="false" customHeight="true" outlineLevel="0" collapsed="false">
      <c r="A111" s="625" t="s">
        <v>833</v>
      </c>
      <c r="B111" s="625"/>
      <c r="C111" s="622" t="s">
        <v>834</v>
      </c>
      <c r="D111" s="622"/>
      <c r="E111" s="622"/>
      <c r="F111" s="622"/>
      <c r="G111" s="410" t="s">
        <v>607</v>
      </c>
      <c r="H111" s="625" t="n">
        <v>575.7</v>
      </c>
      <c r="I111" s="625"/>
    </row>
    <row r="112" customFormat="false" ht="12.75" hidden="false" customHeight="true" outlineLevel="0" collapsed="false">
      <c r="A112" s="625" t="s">
        <v>835</v>
      </c>
      <c r="B112" s="625"/>
      <c r="C112" s="622" t="s">
        <v>836</v>
      </c>
      <c r="D112" s="622"/>
      <c r="E112" s="622"/>
      <c r="F112" s="622"/>
      <c r="G112" s="410" t="s">
        <v>607</v>
      </c>
      <c r="H112" s="625" t="n">
        <v>443.32</v>
      </c>
      <c r="I112" s="625"/>
    </row>
    <row r="113" customFormat="false" ht="23.25" hidden="false" customHeight="true" outlineLevel="0" collapsed="false">
      <c r="A113" s="625" t="s">
        <v>605</v>
      </c>
      <c r="B113" s="625"/>
      <c r="C113" s="622" t="s">
        <v>606</v>
      </c>
      <c r="D113" s="622"/>
      <c r="E113" s="622"/>
      <c r="F113" s="622"/>
      <c r="G113" s="410" t="s">
        <v>607</v>
      </c>
      <c r="H113" s="625" t="n">
        <v>716.26</v>
      </c>
      <c r="I113" s="625"/>
    </row>
    <row r="114" customFormat="false" ht="23.25" hidden="false" customHeight="true" outlineLevel="0" collapsed="false">
      <c r="A114" s="625" t="s">
        <v>837</v>
      </c>
      <c r="B114" s="625"/>
      <c r="C114" s="622" t="s">
        <v>838</v>
      </c>
      <c r="D114" s="622"/>
      <c r="E114" s="622"/>
      <c r="F114" s="622"/>
      <c r="G114" s="410" t="s">
        <v>607</v>
      </c>
      <c r="H114" s="625" t="n">
        <v>651.39</v>
      </c>
      <c r="I114" s="625"/>
    </row>
    <row r="115" customFormat="false" ht="12.75" hidden="false" customHeight="true" outlineLevel="0" collapsed="false">
      <c r="A115" s="625" t="s">
        <v>839</v>
      </c>
      <c r="B115" s="625"/>
      <c r="C115" s="622" t="s">
        <v>840</v>
      </c>
      <c r="D115" s="622"/>
      <c r="E115" s="622"/>
      <c r="F115" s="622"/>
      <c r="G115" s="410" t="s">
        <v>599</v>
      </c>
      <c r="H115" s="625" t="n">
        <v>1498.81</v>
      </c>
      <c r="I115" s="625"/>
    </row>
    <row r="116" customFormat="false" ht="12.75" hidden="false" customHeight="true" outlineLevel="0" collapsed="false">
      <c r="A116" s="625" t="s">
        <v>841</v>
      </c>
      <c r="B116" s="625"/>
      <c r="C116" s="622" t="s">
        <v>842</v>
      </c>
      <c r="D116" s="622"/>
      <c r="E116" s="622"/>
      <c r="F116" s="622"/>
      <c r="G116" s="410" t="s">
        <v>607</v>
      </c>
      <c r="H116" s="625" t="n">
        <v>965.45</v>
      </c>
      <c r="I116" s="625"/>
    </row>
    <row r="117" customFormat="false" ht="12.75" hidden="false" customHeight="true" outlineLevel="0" collapsed="false">
      <c r="A117" s="625" t="s">
        <v>843</v>
      </c>
      <c r="B117" s="625"/>
      <c r="C117" s="622" t="s">
        <v>844</v>
      </c>
      <c r="D117" s="622"/>
      <c r="E117" s="622"/>
      <c r="F117" s="622"/>
      <c r="G117" s="410" t="s">
        <v>607</v>
      </c>
      <c r="H117" s="625" t="n">
        <v>921.03</v>
      </c>
      <c r="I117" s="625"/>
    </row>
    <row r="118" customFormat="false" ht="12.75" hidden="false" customHeight="true" outlineLevel="0" collapsed="false">
      <c r="A118" s="625" t="s">
        <v>845</v>
      </c>
      <c r="B118" s="625"/>
      <c r="C118" s="622" t="s">
        <v>846</v>
      </c>
      <c r="D118" s="622"/>
      <c r="E118" s="622"/>
      <c r="F118" s="622"/>
      <c r="G118" s="410" t="s">
        <v>607</v>
      </c>
      <c r="H118" s="625" t="n">
        <v>1463.16</v>
      </c>
      <c r="I118" s="625"/>
    </row>
    <row r="119" customFormat="false" ht="23.25" hidden="false" customHeight="true" outlineLevel="0" collapsed="false">
      <c r="A119" s="625" t="s">
        <v>847</v>
      </c>
      <c r="B119" s="625"/>
      <c r="C119" s="622" t="s">
        <v>848</v>
      </c>
      <c r="D119" s="622"/>
      <c r="E119" s="622"/>
      <c r="F119" s="622"/>
      <c r="G119" s="410" t="s">
        <v>607</v>
      </c>
      <c r="H119" s="625" t="n">
        <v>1297.42</v>
      </c>
      <c r="I119" s="625"/>
    </row>
    <row r="120" customFormat="false" ht="23.25" hidden="false" customHeight="true" outlineLevel="0" collapsed="false">
      <c r="A120" s="625" t="s">
        <v>849</v>
      </c>
      <c r="B120" s="625"/>
      <c r="C120" s="622" t="s">
        <v>850</v>
      </c>
      <c r="D120" s="622"/>
      <c r="E120" s="622"/>
      <c r="F120" s="622"/>
      <c r="G120" s="410" t="s">
        <v>607</v>
      </c>
      <c r="H120" s="625" t="n">
        <v>1768.4</v>
      </c>
      <c r="I120" s="625"/>
    </row>
    <row r="121" customFormat="false" ht="12.75" hidden="false" customHeight="true" outlineLevel="0" collapsed="false">
      <c r="A121" s="625" t="s">
        <v>851</v>
      </c>
      <c r="B121" s="625"/>
      <c r="C121" s="622" t="s">
        <v>852</v>
      </c>
      <c r="D121" s="622"/>
      <c r="E121" s="622"/>
      <c r="F121" s="622"/>
      <c r="G121" s="410" t="s">
        <v>607</v>
      </c>
      <c r="H121" s="625" t="n">
        <v>1889.35</v>
      </c>
      <c r="I121" s="625"/>
    </row>
    <row r="122" customFormat="false" ht="23.25" hidden="false" customHeight="true" outlineLevel="0" collapsed="false">
      <c r="A122" s="625" t="s">
        <v>853</v>
      </c>
      <c r="B122" s="625"/>
      <c r="C122" s="622" t="s">
        <v>854</v>
      </c>
      <c r="D122" s="622"/>
      <c r="E122" s="622"/>
      <c r="F122" s="622"/>
      <c r="G122" s="410" t="s">
        <v>607</v>
      </c>
      <c r="H122" s="625" t="n">
        <v>1702.65</v>
      </c>
      <c r="I122" s="625"/>
    </row>
    <row r="123" customFormat="false" ht="12.75" hidden="false" customHeight="true" outlineLevel="0" collapsed="false">
      <c r="A123" s="625" t="s">
        <v>855</v>
      </c>
      <c r="B123" s="625"/>
      <c r="C123" s="622" t="s">
        <v>856</v>
      </c>
      <c r="D123" s="622"/>
      <c r="E123" s="622"/>
      <c r="F123" s="622"/>
      <c r="G123" s="410" t="s">
        <v>607</v>
      </c>
      <c r="H123" s="625" t="n">
        <v>1230.94</v>
      </c>
      <c r="I123" s="625"/>
    </row>
    <row r="124" customFormat="false" ht="23.25" hidden="false" customHeight="true" outlineLevel="0" collapsed="false">
      <c r="A124" s="625" t="s">
        <v>857</v>
      </c>
      <c r="B124" s="625"/>
      <c r="C124" s="622" t="s">
        <v>858</v>
      </c>
      <c r="D124" s="622"/>
      <c r="E124" s="622"/>
      <c r="F124" s="622"/>
      <c r="G124" s="410" t="s">
        <v>607</v>
      </c>
      <c r="H124" s="625" t="n">
        <v>1304.05</v>
      </c>
      <c r="I124" s="625"/>
    </row>
    <row r="125" customFormat="false" ht="23.25" hidden="false" customHeight="true" outlineLevel="0" collapsed="false">
      <c r="A125" s="625" t="s">
        <v>859</v>
      </c>
      <c r="B125" s="625"/>
      <c r="C125" s="622" t="s">
        <v>860</v>
      </c>
      <c r="D125" s="622"/>
      <c r="E125" s="622"/>
      <c r="F125" s="622"/>
      <c r="G125" s="410" t="s">
        <v>607</v>
      </c>
      <c r="H125" s="625" t="n">
        <v>1528.35</v>
      </c>
      <c r="I125" s="625"/>
    </row>
    <row r="126" customFormat="false" ht="12.75" hidden="false" customHeight="true" outlineLevel="0" collapsed="false">
      <c r="A126" s="625" t="s">
        <v>861</v>
      </c>
      <c r="B126" s="625"/>
      <c r="C126" s="622" t="s">
        <v>862</v>
      </c>
      <c r="D126" s="622"/>
      <c r="E126" s="622"/>
      <c r="F126" s="622"/>
      <c r="G126" s="410" t="s">
        <v>607</v>
      </c>
      <c r="H126" s="625" t="n">
        <v>2221.52</v>
      </c>
      <c r="I126" s="625"/>
    </row>
    <row r="127" customFormat="false" ht="12.75" hidden="false" customHeight="true" outlineLevel="0" collapsed="false">
      <c r="A127" s="625" t="s">
        <v>863</v>
      </c>
      <c r="B127" s="625"/>
      <c r="C127" s="622" t="s">
        <v>864</v>
      </c>
      <c r="D127" s="622"/>
      <c r="E127" s="622"/>
      <c r="F127" s="622"/>
      <c r="G127" s="410" t="s">
        <v>607</v>
      </c>
      <c r="H127" s="625" t="n">
        <v>1401.37</v>
      </c>
      <c r="I127" s="625"/>
    </row>
    <row r="128" customFormat="false" ht="12.75" hidden="false" customHeight="true" outlineLevel="0" collapsed="false">
      <c r="A128" s="625" t="s">
        <v>865</v>
      </c>
      <c r="B128" s="625"/>
      <c r="C128" s="622" t="s">
        <v>866</v>
      </c>
      <c r="D128" s="622"/>
      <c r="E128" s="622"/>
      <c r="F128" s="622"/>
      <c r="G128" s="410" t="s">
        <v>607</v>
      </c>
      <c r="H128" s="625" t="n">
        <v>1212.05</v>
      </c>
      <c r="I128" s="625"/>
    </row>
    <row r="129" customFormat="false" ht="12.75" hidden="false" customHeight="true" outlineLevel="0" collapsed="false">
      <c r="A129" s="625" t="s">
        <v>867</v>
      </c>
      <c r="B129" s="625"/>
      <c r="C129" s="622" t="s">
        <v>868</v>
      </c>
      <c r="D129" s="622"/>
      <c r="E129" s="622"/>
      <c r="F129" s="622"/>
      <c r="G129" s="410" t="s">
        <v>607</v>
      </c>
      <c r="H129" s="625" t="n">
        <v>1655.39</v>
      </c>
      <c r="I129" s="625"/>
    </row>
    <row r="130" customFormat="false" ht="45.75" hidden="false" customHeight="true" outlineLevel="0" collapsed="false">
      <c r="A130" s="625" t="s">
        <v>869</v>
      </c>
      <c r="B130" s="625"/>
      <c r="C130" s="622" t="s">
        <v>870</v>
      </c>
      <c r="D130" s="622"/>
      <c r="E130" s="622"/>
      <c r="F130" s="622"/>
      <c r="G130" s="410" t="s">
        <v>607</v>
      </c>
      <c r="H130" s="625" t="n">
        <v>967.79</v>
      </c>
      <c r="I130" s="625"/>
    </row>
    <row r="131" customFormat="false" ht="23.25" hidden="false" customHeight="true" outlineLevel="0" collapsed="false">
      <c r="A131" s="625" t="s">
        <v>871</v>
      </c>
      <c r="B131" s="625"/>
      <c r="C131" s="622" t="s">
        <v>872</v>
      </c>
      <c r="D131" s="622"/>
      <c r="E131" s="622"/>
      <c r="F131" s="622"/>
      <c r="G131" s="410" t="s">
        <v>607</v>
      </c>
      <c r="H131" s="625" t="n">
        <v>1768.4</v>
      </c>
      <c r="I131" s="625"/>
    </row>
    <row r="132" customFormat="false" ht="23.25" hidden="false" customHeight="true" outlineLevel="0" collapsed="false">
      <c r="A132" s="625" t="s">
        <v>873</v>
      </c>
      <c r="B132" s="625"/>
      <c r="C132" s="622" t="s">
        <v>874</v>
      </c>
      <c r="D132" s="622"/>
      <c r="E132" s="622"/>
      <c r="F132" s="622"/>
      <c r="G132" s="410" t="s">
        <v>607</v>
      </c>
      <c r="H132" s="625" t="n">
        <v>1401.37</v>
      </c>
      <c r="I132" s="625"/>
    </row>
    <row r="133" customFormat="false" ht="23.25" hidden="false" customHeight="true" outlineLevel="0" collapsed="false">
      <c r="A133" s="625" t="s">
        <v>875</v>
      </c>
      <c r="B133" s="625"/>
      <c r="C133" s="622" t="s">
        <v>876</v>
      </c>
      <c r="D133" s="622"/>
      <c r="E133" s="622"/>
      <c r="F133" s="622"/>
      <c r="G133" s="410" t="s">
        <v>607</v>
      </c>
      <c r="H133" s="625" t="n">
        <v>1700.46</v>
      </c>
      <c r="I133" s="625"/>
    </row>
    <row r="134" customFormat="false" ht="12.75" hidden="false" customHeight="true" outlineLevel="0" collapsed="false">
      <c r="A134" s="625" t="s">
        <v>877</v>
      </c>
      <c r="B134" s="625"/>
      <c r="C134" s="622" t="s">
        <v>878</v>
      </c>
      <c r="D134" s="622"/>
      <c r="E134" s="622"/>
      <c r="F134" s="622"/>
      <c r="G134" s="410" t="s">
        <v>607</v>
      </c>
      <c r="H134" s="625" t="n">
        <v>1632.52</v>
      </c>
      <c r="I134" s="625"/>
    </row>
    <row r="135" customFormat="false" ht="12.75" hidden="false" customHeight="true" outlineLevel="0" collapsed="false">
      <c r="A135" s="625" t="s">
        <v>879</v>
      </c>
      <c r="B135" s="625"/>
      <c r="C135" s="622" t="s">
        <v>880</v>
      </c>
      <c r="D135" s="622"/>
      <c r="E135" s="622"/>
      <c r="F135" s="622"/>
      <c r="G135" s="410" t="s">
        <v>607</v>
      </c>
      <c r="H135" s="625" t="n">
        <v>1477.29</v>
      </c>
      <c r="I135" s="625"/>
    </row>
    <row r="136" customFormat="false" ht="23.25" hidden="false" customHeight="true" outlineLevel="0" collapsed="false">
      <c r="A136" s="625" t="s">
        <v>881</v>
      </c>
      <c r="B136" s="625"/>
      <c r="C136" s="622" t="s">
        <v>882</v>
      </c>
      <c r="D136" s="622"/>
      <c r="E136" s="622"/>
      <c r="F136" s="622"/>
      <c r="G136" s="410" t="s">
        <v>607</v>
      </c>
      <c r="H136" s="625" t="n">
        <v>1486.7</v>
      </c>
      <c r="I136" s="625"/>
    </row>
    <row r="137" customFormat="false" ht="12.75" hidden="false" customHeight="true" outlineLevel="0" collapsed="false">
      <c r="A137" s="625" t="s">
        <v>883</v>
      </c>
      <c r="B137" s="625"/>
      <c r="C137" s="622" t="s">
        <v>884</v>
      </c>
      <c r="D137" s="622"/>
      <c r="E137" s="622"/>
      <c r="F137" s="622"/>
      <c r="G137" s="410" t="s">
        <v>607</v>
      </c>
      <c r="H137" s="625" t="n">
        <v>1204.61</v>
      </c>
      <c r="I137" s="625"/>
    </row>
    <row r="138" customFormat="false" ht="12.75" hidden="false" customHeight="true" outlineLevel="0" collapsed="false">
      <c r="A138" s="625" t="s">
        <v>885</v>
      </c>
      <c r="B138" s="625"/>
      <c r="C138" s="622" t="s">
        <v>886</v>
      </c>
      <c r="D138" s="622"/>
      <c r="E138" s="622"/>
      <c r="F138" s="622"/>
      <c r="G138" s="410" t="s">
        <v>607</v>
      </c>
      <c r="H138" s="625" t="n">
        <v>1285.12</v>
      </c>
      <c r="I138" s="625"/>
    </row>
    <row r="139" customFormat="false" ht="23.25" hidden="false" customHeight="true" outlineLevel="0" collapsed="false">
      <c r="A139" s="625" t="s">
        <v>887</v>
      </c>
      <c r="B139" s="625"/>
      <c r="C139" s="622" t="s">
        <v>888</v>
      </c>
      <c r="D139" s="622"/>
      <c r="E139" s="622"/>
      <c r="F139" s="622"/>
      <c r="G139" s="410" t="s">
        <v>607</v>
      </c>
      <c r="H139" s="625" t="n">
        <v>1111.46</v>
      </c>
      <c r="I139" s="625"/>
    </row>
    <row r="140" customFormat="false" ht="23.25" hidden="false" customHeight="true" outlineLevel="0" collapsed="false">
      <c r="A140" s="625" t="s">
        <v>889</v>
      </c>
      <c r="B140" s="625"/>
      <c r="C140" s="622" t="s">
        <v>890</v>
      </c>
      <c r="D140" s="622"/>
      <c r="E140" s="622"/>
      <c r="F140" s="622"/>
      <c r="G140" s="410" t="s">
        <v>607</v>
      </c>
      <c r="H140" s="625" t="n">
        <v>602.06</v>
      </c>
      <c r="I140" s="625"/>
    </row>
    <row r="141" customFormat="false" ht="12.75" hidden="false" customHeight="true" outlineLevel="0" collapsed="false">
      <c r="A141" s="625" t="s">
        <v>891</v>
      </c>
      <c r="B141" s="625"/>
      <c r="C141" s="622" t="s">
        <v>892</v>
      </c>
      <c r="D141" s="622"/>
      <c r="E141" s="622"/>
      <c r="F141" s="622"/>
      <c r="G141" s="410" t="s">
        <v>607</v>
      </c>
      <c r="H141" s="625" t="n">
        <v>707.26</v>
      </c>
      <c r="I141" s="625"/>
    </row>
    <row r="142" customFormat="false" ht="12.75" hidden="false" customHeight="true" outlineLevel="0" collapsed="false">
      <c r="A142" s="625" t="s">
        <v>893</v>
      </c>
      <c r="B142" s="625"/>
      <c r="C142" s="622" t="s">
        <v>894</v>
      </c>
      <c r="D142" s="622"/>
      <c r="E142" s="622"/>
      <c r="F142" s="622"/>
      <c r="G142" s="410" t="s">
        <v>607</v>
      </c>
      <c r="H142" s="625" t="n">
        <v>965.45</v>
      </c>
      <c r="I142" s="625"/>
    </row>
    <row r="143" customFormat="false" ht="12.75" hidden="false" customHeight="true" outlineLevel="0" collapsed="false">
      <c r="A143" s="625" t="n">
        <v>37</v>
      </c>
      <c r="B143" s="625"/>
      <c r="C143" s="622" t="s">
        <v>895</v>
      </c>
      <c r="D143" s="622"/>
      <c r="E143" s="622"/>
      <c r="F143" s="622"/>
      <c r="H143" s="623"/>
      <c r="I143" s="623"/>
    </row>
    <row r="144" customFormat="false" ht="12.75" hidden="false" customHeight="true" outlineLevel="0" collapsed="false">
      <c r="A144" s="625" t="s">
        <v>896</v>
      </c>
      <c r="B144" s="625"/>
      <c r="C144" s="622" t="s">
        <v>897</v>
      </c>
      <c r="D144" s="622"/>
      <c r="E144" s="622"/>
      <c r="F144" s="622"/>
      <c r="G144" s="410" t="s">
        <v>730</v>
      </c>
      <c r="H144" s="625" t="n">
        <v>1.16</v>
      </c>
      <c r="I144" s="625"/>
    </row>
    <row r="145" customFormat="false" ht="23.25" hidden="false" customHeight="true" outlineLevel="0" collapsed="false">
      <c r="A145" s="625" t="s">
        <v>898</v>
      </c>
      <c r="B145" s="625"/>
      <c r="C145" s="622" t="s">
        <v>899</v>
      </c>
      <c r="D145" s="622"/>
      <c r="E145" s="622"/>
      <c r="F145" s="622"/>
      <c r="G145" s="410" t="s">
        <v>646</v>
      </c>
      <c r="H145" s="625" t="n">
        <v>33.97</v>
      </c>
      <c r="I145" s="625"/>
    </row>
    <row r="146" customFormat="false" ht="12.75" hidden="false" customHeight="true" outlineLevel="0" collapsed="false">
      <c r="A146" s="625" t="n">
        <v>38</v>
      </c>
      <c r="B146" s="625"/>
      <c r="C146" s="622" t="s">
        <v>900</v>
      </c>
      <c r="D146" s="622"/>
      <c r="E146" s="622"/>
      <c r="F146" s="622"/>
      <c r="H146" s="623"/>
      <c r="I146" s="623"/>
    </row>
    <row r="147" customFormat="false" ht="23.25" hidden="false" customHeight="true" outlineLevel="0" collapsed="false">
      <c r="A147" s="625" t="s">
        <v>609</v>
      </c>
      <c r="B147" s="625"/>
      <c r="C147" s="622" t="s">
        <v>901</v>
      </c>
      <c r="D147" s="622"/>
      <c r="E147" s="622"/>
      <c r="F147" s="622"/>
      <c r="G147" s="410" t="s">
        <v>541</v>
      </c>
      <c r="H147" s="625" t="n">
        <v>0.22</v>
      </c>
      <c r="I147" s="625"/>
    </row>
    <row r="148" customFormat="false" ht="23.25" hidden="false" customHeight="true" outlineLevel="0" collapsed="false">
      <c r="A148" s="625" t="s">
        <v>611</v>
      </c>
      <c r="B148" s="625"/>
      <c r="C148" s="622" t="s">
        <v>612</v>
      </c>
      <c r="D148" s="622"/>
      <c r="E148" s="622"/>
      <c r="F148" s="622"/>
      <c r="G148" s="410" t="s">
        <v>541</v>
      </c>
      <c r="H148" s="625" t="n">
        <v>0.84</v>
      </c>
      <c r="I148" s="625"/>
    </row>
    <row r="149" customFormat="false" ht="23.25" hidden="false" customHeight="true" outlineLevel="0" collapsed="false">
      <c r="A149" s="625" t="s">
        <v>613</v>
      </c>
      <c r="B149" s="625"/>
      <c r="C149" s="622" t="s">
        <v>614</v>
      </c>
      <c r="D149" s="622"/>
      <c r="E149" s="622"/>
      <c r="F149" s="622"/>
      <c r="G149" s="410" t="s">
        <v>541</v>
      </c>
      <c r="H149" s="625" t="n">
        <v>0.73</v>
      </c>
      <c r="I149" s="625"/>
    </row>
    <row r="150" customFormat="false" ht="23.25" hidden="false" customHeight="true" outlineLevel="0" collapsed="false">
      <c r="A150" s="625" t="s">
        <v>615</v>
      </c>
      <c r="B150" s="625"/>
      <c r="C150" s="622" t="s">
        <v>616</v>
      </c>
      <c r="D150" s="622"/>
      <c r="E150" s="622"/>
      <c r="F150" s="622"/>
      <c r="G150" s="410" t="s">
        <v>541</v>
      </c>
      <c r="H150" s="625" t="n">
        <v>0.63</v>
      </c>
      <c r="I150" s="625"/>
    </row>
    <row r="151" customFormat="false" ht="23.25" hidden="false" customHeight="true" outlineLevel="0" collapsed="false">
      <c r="A151" s="625" t="s">
        <v>617</v>
      </c>
      <c r="B151" s="625"/>
      <c r="C151" s="622" t="s">
        <v>618</v>
      </c>
      <c r="D151" s="622"/>
      <c r="E151" s="622"/>
      <c r="F151" s="622"/>
      <c r="G151" s="410" t="s">
        <v>541</v>
      </c>
      <c r="H151" s="625" t="n">
        <v>0.53</v>
      </c>
      <c r="I151" s="625"/>
    </row>
    <row r="152" customFormat="false" ht="23.25" hidden="false" customHeight="true" outlineLevel="0" collapsed="false">
      <c r="A152" s="625" t="s">
        <v>619</v>
      </c>
      <c r="B152" s="625"/>
      <c r="C152" s="622" t="s">
        <v>620</v>
      </c>
      <c r="D152" s="622"/>
      <c r="E152" s="622"/>
      <c r="F152" s="622"/>
      <c r="G152" s="410" t="s">
        <v>541</v>
      </c>
      <c r="H152" s="625" t="n">
        <v>0.43</v>
      </c>
      <c r="I152" s="625"/>
    </row>
    <row r="153" customFormat="false" ht="23.25" hidden="false" customHeight="true" outlineLevel="0" collapsed="false">
      <c r="A153" s="625" t="s">
        <v>621</v>
      </c>
      <c r="B153" s="625"/>
      <c r="C153" s="622" t="s">
        <v>902</v>
      </c>
      <c r="D153" s="622"/>
      <c r="E153" s="622"/>
      <c r="F153" s="622"/>
      <c r="G153" s="410" t="s">
        <v>541</v>
      </c>
      <c r="H153" s="625" t="n">
        <v>0.32</v>
      </c>
      <c r="I153" s="625"/>
    </row>
    <row r="154" customFormat="false" ht="23.25" hidden="false" customHeight="true" outlineLevel="0" collapsed="false">
      <c r="A154" s="625" t="s">
        <v>903</v>
      </c>
      <c r="B154" s="625"/>
      <c r="C154" s="622" t="s">
        <v>904</v>
      </c>
      <c r="D154" s="622"/>
      <c r="E154" s="622"/>
      <c r="F154" s="622"/>
      <c r="G154" s="410" t="s">
        <v>541</v>
      </c>
      <c r="H154" s="625" t="n">
        <v>0.07</v>
      </c>
      <c r="I154" s="625"/>
    </row>
    <row r="155" customFormat="false" ht="45.75" hidden="false" customHeight="true" outlineLevel="0" collapsed="false">
      <c r="A155" s="625" t="s">
        <v>905</v>
      </c>
      <c r="B155" s="625"/>
      <c r="C155" s="622" t="s">
        <v>906</v>
      </c>
      <c r="D155" s="622"/>
      <c r="E155" s="622"/>
      <c r="F155" s="622"/>
      <c r="G155" s="410" t="s">
        <v>541</v>
      </c>
      <c r="H155" s="625" t="n">
        <v>0.49</v>
      </c>
      <c r="I155" s="625"/>
    </row>
    <row r="156" customFormat="false" ht="45.75" hidden="false" customHeight="true" outlineLevel="0" collapsed="false">
      <c r="A156" s="625" t="s">
        <v>907</v>
      </c>
      <c r="B156" s="625"/>
      <c r="C156" s="622" t="s">
        <v>908</v>
      </c>
      <c r="D156" s="622"/>
      <c r="E156" s="622"/>
      <c r="F156" s="622"/>
      <c r="G156" s="410" t="s">
        <v>541</v>
      </c>
      <c r="H156" s="625" t="n">
        <v>2.01</v>
      </c>
      <c r="I156" s="625"/>
    </row>
    <row r="157" customFormat="false" ht="45.75" hidden="false" customHeight="true" outlineLevel="0" collapsed="false">
      <c r="A157" s="625" t="s">
        <v>909</v>
      </c>
      <c r="B157" s="625"/>
      <c r="C157" s="622" t="s">
        <v>910</v>
      </c>
      <c r="D157" s="622"/>
      <c r="E157" s="622"/>
      <c r="F157" s="622"/>
      <c r="G157" s="410" t="s">
        <v>541</v>
      </c>
      <c r="H157" s="625" t="n">
        <v>1.76</v>
      </c>
      <c r="I157" s="625"/>
    </row>
    <row r="158" customFormat="false" ht="45.75" hidden="false" customHeight="true" outlineLevel="0" collapsed="false">
      <c r="A158" s="625" t="s">
        <v>911</v>
      </c>
      <c r="B158" s="625"/>
      <c r="C158" s="622" t="s">
        <v>912</v>
      </c>
      <c r="D158" s="622"/>
      <c r="E158" s="622"/>
      <c r="F158" s="622"/>
      <c r="G158" s="410" t="s">
        <v>541</v>
      </c>
      <c r="H158" s="625" t="n">
        <v>1.5</v>
      </c>
      <c r="I158" s="625"/>
    </row>
    <row r="159" customFormat="false" ht="45.75" hidden="false" customHeight="true" outlineLevel="0" collapsed="false">
      <c r="A159" s="625" t="s">
        <v>913</v>
      </c>
      <c r="B159" s="625"/>
      <c r="C159" s="622" t="s">
        <v>914</v>
      </c>
      <c r="D159" s="622"/>
      <c r="E159" s="622"/>
      <c r="F159" s="622"/>
      <c r="G159" s="410" t="s">
        <v>541</v>
      </c>
      <c r="H159" s="625" t="n">
        <v>1.25</v>
      </c>
      <c r="I159" s="625"/>
    </row>
    <row r="160" customFormat="false" ht="45.75" hidden="false" customHeight="true" outlineLevel="0" collapsed="false">
      <c r="A160" s="625" t="s">
        <v>915</v>
      </c>
      <c r="B160" s="625"/>
      <c r="C160" s="622" t="s">
        <v>916</v>
      </c>
      <c r="D160" s="622"/>
      <c r="E160" s="622"/>
      <c r="F160" s="622"/>
      <c r="G160" s="410" t="s">
        <v>541</v>
      </c>
      <c r="H160" s="625" t="n">
        <v>1</v>
      </c>
      <c r="I160" s="625"/>
    </row>
    <row r="161" customFormat="false" ht="45.75" hidden="false" customHeight="true" outlineLevel="0" collapsed="false">
      <c r="A161" s="625" t="s">
        <v>917</v>
      </c>
      <c r="B161" s="625"/>
      <c r="C161" s="622" t="s">
        <v>918</v>
      </c>
      <c r="D161" s="622"/>
      <c r="E161" s="622"/>
      <c r="F161" s="622"/>
      <c r="G161" s="410" t="s">
        <v>541</v>
      </c>
      <c r="H161" s="625" t="n">
        <v>0.74</v>
      </c>
      <c r="I161" s="625"/>
    </row>
    <row r="162" customFormat="false" ht="57" hidden="false" customHeight="true" outlineLevel="0" collapsed="false">
      <c r="A162" s="625" t="s">
        <v>919</v>
      </c>
      <c r="B162" s="625"/>
      <c r="C162" s="622" t="s">
        <v>920</v>
      </c>
      <c r="D162" s="622"/>
      <c r="E162" s="622"/>
      <c r="F162" s="622"/>
      <c r="G162" s="410" t="s">
        <v>541</v>
      </c>
      <c r="H162" s="625" t="n">
        <v>0.07</v>
      </c>
      <c r="I162" s="625"/>
    </row>
    <row r="163" customFormat="false" ht="57" hidden="false" customHeight="true" outlineLevel="0" collapsed="false">
      <c r="A163" s="625" t="s">
        <v>921</v>
      </c>
      <c r="B163" s="625"/>
      <c r="C163" s="622" t="s">
        <v>922</v>
      </c>
      <c r="D163" s="622"/>
      <c r="E163" s="622"/>
      <c r="F163" s="622"/>
      <c r="G163" s="410" t="s">
        <v>541</v>
      </c>
      <c r="H163" s="625" t="n">
        <v>0.11</v>
      </c>
      <c r="I163" s="625"/>
    </row>
    <row r="164" customFormat="false" ht="57" hidden="false" customHeight="true" outlineLevel="0" collapsed="false">
      <c r="A164" s="625" t="s">
        <v>923</v>
      </c>
      <c r="B164" s="625"/>
      <c r="C164" s="622" t="s">
        <v>924</v>
      </c>
      <c r="D164" s="622"/>
      <c r="E164" s="622"/>
      <c r="F164" s="622"/>
      <c r="G164" s="410" t="s">
        <v>541</v>
      </c>
      <c r="H164" s="625" t="n">
        <v>0.09</v>
      </c>
      <c r="I164" s="625"/>
    </row>
    <row r="165" customFormat="false" ht="57" hidden="false" customHeight="true" outlineLevel="0" collapsed="false">
      <c r="A165" s="625" t="s">
        <v>925</v>
      </c>
      <c r="B165" s="625"/>
      <c r="C165" s="622" t="s">
        <v>926</v>
      </c>
      <c r="D165" s="622"/>
      <c r="E165" s="622"/>
      <c r="F165" s="622"/>
      <c r="G165" s="410" t="s">
        <v>541</v>
      </c>
      <c r="H165" s="625" t="n">
        <v>0.2</v>
      </c>
      <c r="I165" s="625"/>
    </row>
    <row r="166" customFormat="false" ht="57" hidden="false" customHeight="true" outlineLevel="0" collapsed="false">
      <c r="A166" s="625" t="s">
        <v>927</v>
      </c>
      <c r="B166" s="625"/>
      <c r="C166" s="622" t="s">
        <v>928</v>
      </c>
      <c r="D166" s="622"/>
      <c r="E166" s="622"/>
      <c r="F166" s="622"/>
      <c r="G166" s="410" t="s">
        <v>541</v>
      </c>
      <c r="H166" s="625" t="n">
        <v>0.16</v>
      </c>
      <c r="I166" s="625"/>
    </row>
    <row r="167" customFormat="false" ht="57" hidden="false" customHeight="true" outlineLevel="0" collapsed="false">
      <c r="A167" s="625" t="s">
        <v>929</v>
      </c>
      <c r="B167" s="625"/>
      <c r="C167" s="622" t="s">
        <v>930</v>
      </c>
      <c r="D167" s="622"/>
      <c r="E167" s="622"/>
      <c r="F167" s="622"/>
      <c r="G167" s="410" t="s">
        <v>541</v>
      </c>
      <c r="H167" s="625" t="n">
        <v>0.14</v>
      </c>
      <c r="I167" s="625"/>
    </row>
    <row r="168" customFormat="false" ht="57" hidden="false" customHeight="true" outlineLevel="0" collapsed="false">
      <c r="A168" s="625" t="s">
        <v>931</v>
      </c>
      <c r="B168" s="625"/>
      <c r="C168" s="622" t="s">
        <v>932</v>
      </c>
      <c r="D168" s="622"/>
      <c r="E168" s="622"/>
      <c r="F168" s="622"/>
      <c r="G168" s="410" t="s">
        <v>541</v>
      </c>
      <c r="H168" s="625" t="n">
        <v>0.22</v>
      </c>
      <c r="I168" s="625"/>
    </row>
    <row r="169" customFormat="false" ht="57" hidden="false" customHeight="true" outlineLevel="0" collapsed="false">
      <c r="A169" s="625" t="s">
        <v>623</v>
      </c>
      <c r="B169" s="625"/>
      <c r="C169" s="622" t="s">
        <v>624</v>
      </c>
      <c r="D169" s="622"/>
      <c r="E169" s="622"/>
      <c r="F169" s="622"/>
      <c r="G169" s="410" t="s">
        <v>541</v>
      </c>
      <c r="H169" s="625" t="n">
        <v>0.42</v>
      </c>
      <c r="I169" s="625"/>
    </row>
    <row r="170" customFormat="false" ht="57" hidden="false" customHeight="true" outlineLevel="0" collapsed="false">
      <c r="A170" s="625" t="s">
        <v>625</v>
      </c>
      <c r="B170" s="625"/>
      <c r="C170" s="622" t="s">
        <v>626</v>
      </c>
      <c r="D170" s="622"/>
      <c r="E170" s="622"/>
      <c r="F170" s="622"/>
      <c r="G170" s="410" t="s">
        <v>541</v>
      </c>
      <c r="H170" s="625" t="n">
        <v>1.45</v>
      </c>
      <c r="I170" s="625"/>
    </row>
    <row r="171" customFormat="false" ht="57" hidden="false" customHeight="true" outlineLevel="0" collapsed="false">
      <c r="A171" s="625" t="s">
        <v>627</v>
      </c>
      <c r="B171" s="625"/>
      <c r="C171" s="622" t="s">
        <v>628</v>
      </c>
      <c r="D171" s="622"/>
      <c r="E171" s="622"/>
      <c r="F171" s="622"/>
      <c r="G171" s="410" t="s">
        <v>541</v>
      </c>
      <c r="H171" s="625" t="n">
        <v>1.23</v>
      </c>
      <c r="I171" s="625"/>
    </row>
    <row r="172" customFormat="false" ht="57" hidden="false" customHeight="true" outlineLevel="0" collapsed="false">
      <c r="A172" s="625" t="s">
        <v>629</v>
      </c>
      <c r="B172" s="625"/>
      <c r="C172" s="622" t="s">
        <v>630</v>
      </c>
      <c r="D172" s="622"/>
      <c r="E172" s="622"/>
      <c r="F172" s="622"/>
      <c r="G172" s="410" t="s">
        <v>541</v>
      </c>
      <c r="H172" s="625" t="n">
        <v>1.03</v>
      </c>
      <c r="I172" s="625"/>
    </row>
    <row r="173" customFormat="false" ht="57" hidden="false" customHeight="true" outlineLevel="0" collapsed="false">
      <c r="A173" s="625" t="s">
        <v>631</v>
      </c>
      <c r="B173" s="625"/>
      <c r="C173" s="622" t="s">
        <v>632</v>
      </c>
      <c r="D173" s="622"/>
      <c r="E173" s="622"/>
      <c r="F173" s="622"/>
      <c r="G173" s="410" t="s">
        <v>541</v>
      </c>
      <c r="H173" s="625" t="n">
        <v>0.82</v>
      </c>
      <c r="I173" s="625"/>
    </row>
    <row r="174" customFormat="false" ht="57" hidden="false" customHeight="true" outlineLevel="0" collapsed="false">
      <c r="A174" s="625" t="s">
        <v>633</v>
      </c>
      <c r="B174" s="625"/>
      <c r="C174" s="622" t="s">
        <v>634</v>
      </c>
      <c r="D174" s="622"/>
      <c r="E174" s="622"/>
      <c r="F174" s="622"/>
      <c r="G174" s="410" t="s">
        <v>541</v>
      </c>
      <c r="H174" s="625" t="n">
        <v>0.62</v>
      </c>
      <c r="I174" s="625"/>
    </row>
    <row r="175" customFormat="false" ht="57" hidden="false" customHeight="true" outlineLevel="0" collapsed="false">
      <c r="A175" s="625" t="s">
        <v>635</v>
      </c>
      <c r="B175" s="625"/>
      <c r="C175" s="622" t="s">
        <v>636</v>
      </c>
      <c r="D175" s="622"/>
      <c r="E175" s="622"/>
      <c r="F175" s="622"/>
      <c r="G175" s="410" t="s">
        <v>541</v>
      </c>
      <c r="H175" s="625" t="n">
        <v>1.63</v>
      </c>
      <c r="I175" s="625"/>
    </row>
    <row r="176" customFormat="false" ht="57" hidden="false" customHeight="true" outlineLevel="0" collapsed="false">
      <c r="A176" s="625" t="s">
        <v>933</v>
      </c>
      <c r="B176" s="625"/>
      <c r="C176" s="622" t="s">
        <v>934</v>
      </c>
      <c r="D176" s="622"/>
      <c r="E176" s="622"/>
      <c r="F176" s="622"/>
      <c r="G176" s="410" t="s">
        <v>541</v>
      </c>
      <c r="H176" s="625" t="n">
        <v>0.62</v>
      </c>
      <c r="I176" s="625"/>
    </row>
    <row r="177" customFormat="false" ht="57" hidden="false" customHeight="true" outlineLevel="0" collapsed="false">
      <c r="A177" s="625" t="s">
        <v>935</v>
      </c>
      <c r="B177" s="625"/>
      <c r="C177" s="622" t="s">
        <v>936</v>
      </c>
      <c r="D177" s="622"/>
      <c r="E177" s="622"/>
      <c r="F177" s="622"/>
      <c r="G177" s="410" t="s">
        <v>541</v>
      </c>
      <c r="H177" s="625" t="n">
        <v>2.46</v>
      </c>
      <c r="I177" s="625"/>
    </row>
    <row r="178" customFormat="false" ht="57" hidden="false" customHeight="true" outlineLevel="0" collapsed="false">
      <c r="A178" s="625" t="s">
        <v>937</v>
      </c>
      <c r="B178" s="625"/>
      <c r="C178" s="622" t="s">
        <v>938</v>
      </c>
      <c r="D178" s="622"/>
      <c r="E178" s="622"/>
      <c r="F178" s="622"/>
      <c r="G178" s="410" t="s">
        <v>541</v>
      </c>
      <c r="H178" s="625" t="n">
        <v>2.14</v>
      </c>
      <c r="I178" s="625"/>
    </row>
    <row r="179" customFormat="false" ht="57" hidden="false" customHeight="true" outlineLevel="0" collapsed="false">
      <c r="A179" s="625" t="s">
        <v>939</v>
      </c>
      <c r="B179" s="625"/>
      <c r="C179" s="622" t="s">
        <v>940</v>
      </c>
      <c r="D179" s="622"/>
      <c r="E179" s="622"/>
      <c r="F179" s="622"/>
      <c r="G179" s="410" t="s">
        <v>541</v>
      </c>
      <c r="H179" s="625" t="n">
        <v>1.83</v>
      </c>
      <c r="I179" s="625"/>
    </row>
    <row r="180" customFormat="false" ht="57" hidden="false" customHeight="true" outlineLevel="0" collapsed="false">
      <c r="A180" s="625" t="s">
        <v>941</v>
      </c>
      <c r="B180" s="625"/>
      <c r="C180" s="622" t="s">
        <v>942</v>
      </c>
      <c r="D180" s="622"/>
      <c r="E180" s="622"/>
      <c r="F180" s="622"/>
      <c r="G180" s="410" t="s">
        <v>541</v>
      </c>
      <c r="H180" s="625" t="n">
        <v>1.52</v>
      </c>
      <c r="I180" s="625"/>
    </row>
    <row r="181" customFormat="false" ht="57" hidden="false" customHeight="true" outlineLevel="0" collapsed="false">
      <c r="A181" s="625" t="s">
        <v>943</v>
      </c>
      <c r="B181" s="625"/>
      <c r="C181" s="622" t="s">
        <v>944</v>
      </c>
      <c r="D181" s="622"/>
      <c r="E181" s="622"/>
      <c r="F181" s="622"/>
      <c r="G181" s="410" t="s">
        <v>541</v>
      </c>
      <c r="H181" s="625" t="n">
        <v>1.23</v>
      </c>
      <c r="I181" s="625"/>
    </row>
    <row r="182" customFormat="false" ht="57" hidden="false" customHeight="true" outlineLevel="0" collapsed="false">
      <c r="A182" s="625" t="s">
        <v>945</v>
      </c>
      <c r="B182" s="625"/>
      <c r="C182" s="622" t="s">
        <v>946</v>
      </c>
      <c r="D182" s="622"/>
      <c r="E182" s="622"/>
      <c r="F182" s="622"/>
      <c r="G182" s="410" t="s">
        <v>541</v>
      </c>
      <c r="H182" s="625" t="n">
        <v>0.92</v>
      </c>
      <c r="I182" s="625"/>
    </row>
    <row r="183" customFormat="false" ht="34.5" hidden="false" customHeight="true" outlineLevel="0" collapsed="false">
      <c r="A183" s="625" t="s">
        <v>947</v>
      </c>
      <c r="B183" s="625"/>
      <c r="C183" s="622" t="s">
        <v>948</v>
      </c>
      <c r="D183" s="622"/>
      <c r="E183" s="622"/>
      <c r="F183" s="622"/>
      <c r="G183" s="410" t="s">
        <v>541</v>
      </c>
      <c r="H183" s="625" t="n">
        <v>0.14</v>
      </c>
      <c r="I183" s="625"/>
    </row>
    <row r="184" customFormat="false" ht="34.5" hidden="false" customHeight="true" outlineLevel="0" collapsed="false">
      <c r="A184" s="625" t="s">
        <v>949</v>
      </c>
      <c r="B184" s="625"/>
      <c r="C184" s="622" t="s">
        <v>950</v>
      </c>
      <c r="D184" s="622"/>
      <c r="E184" s="622"/>
      <c r="F184" s="622"/>
      <c r="G184" s="410" t="s">
        <v>541</v>
      </c>
      <c r="H184" s="625" t="n">
        <v>0.56</v>
      </c>
      <c r="I184" s="625"/>
    </row>
    <row r="185" customFormat="false" ht="34.5" hidden="false" customHeight="true" outlineLevel="0" collapsed="false">
      <c r="A185" s="625" t="s">
        <v>951</v>
      </c>
      <c r="B185" s="625"/>
      <c r="C185" s="622" t="s">
        <v>952</v>
      </c>
      <c r="D185" s="622"/>
      <c r="E185" s="622"/>
      <c r="F185" s="622"/>
      <c r="G185" s="410" t="s">
        <v>541</v>
      </c>
      <c r="H185" s="625" t="n">
        <v>0.5</v>
      </c>
      <c r="I185" s="625"/>
    </row>
    <row r="186" customFormat="false" ht="34.5" hidden="false" customHeight="true" outlineLevel="0" collapsed="false">
      <c r="A186" s="625" t="s">
        <v>953</v>
      </c>
      <c r="B186" s="625"/>
      <c r="C186" s="622" t="s">
        <v>954</v>
      </c>
      <c r="D186" s="622"/>
      <c r="E186" s="622"/>
      <c r="F186" s="622"/>
      <c r="G186" s="410" t="s">
        <v>541</v>
      </c>
      <c r="H186" s="625" t="n">
        <v>0.45</v>
      </c>
      <c r="I186" s="625"/>
    </row>
    <row r="187" customFormat="false" ht="34.5" hidden="false" customHeight="true" outlineLevel="0" collapsed="false">
      <c r="A187" s="625" t="s">
        <v>955</v>
      </c>
      <c r="B187" s="625"/>
      <c r="C187" s="622" t="s">
        <v>956</v>
      </c>
      <c r="D187" s="622"/>
      <c r="E187" s="622"/>
      <c r="F187" s="622"/>
      <c r="G187" s="410" t="s">
        <v>541</v>
      </c>
      <c r="H187" s="625" t="n">
        <v>0.33</v>
      </c>
      <c r="I187" s="625"/>
    </row>
    <row r="188" customFormat="false" ht="34.5" hidden="false" customHeight="true" outlineLevel="0" collapsed="false">
      <c r="A188" s="625" t="s">
        <v>957</v>
      </c>
      <c r="B188" s="625"/>
      <c r="C188" s="622" t="s">
        <v>958</v>
      </c>
      <c r="D188" s="622"/>
      <c r="E188" s="622"/>
      <c r="F188" s="622"/>
      <c r="G188" s="410" t="s">
        <v>541</v>
      </c>
      <c r="H188" s="625" t="n">
        <v>0.28</v>
      </c>
      <c r="I188" s="625"/>
    </row>
    <row r="189" customFormat="false" ht="34.5" hidden="false" customHeight="true" outlineLevel="0" collapsed="false">
      <c r="A189" s="625" t="s">
        <v>959</v>
      </c>
      <c r="B189" s="625"/>
      <c r="C189" s="622" t="s">
        <v>960</v>
      </c>
      <c r="D189" s="622"/>
      <c r="E189" s="622"/>
      <c r="F189" s="622"/>
      <c r="G189" s="410" t="s">
        <v>541</v>
      </c>
      <c r="H189" s="625" t="n">
        <v>0.22</v>
      </c>
      <c r="I189" s="625"/>
    </row>
    <row r="190" customFormat="false" ht="45.75" hidden="false" customHeight="true" outlineLevel="0" collapsed="false">
      <c r="A190" s="625" t="s">
        <v>961</v>
      </c>
      <c r="B190" s="625"/>
      <c r="C190" s="622" t="s">
        <v>962</v>
      </c>
      <c r="D190" s="622"/>
      <c r="E190" s="622"/>
      <c r="F190" s="622"/>
      <c r="G190" s="410" t="s">
        <v>541</v>
      </c>
      <c r="H190" s="625" t="n">
        <v>0.12</v>
      </c>
      <c r="I190" s="625"/>
    </row>
    <row r="191" customFormat="false" ht="45.75" hidden="false" customHeight="true" outlineLevel="0" collapsed="false">
      <c r="A191" s="625" t="s">
        <v>963</v>
      </c>
      <c r="B191" s="625"/>
      <c r="C191" s="622" t="s">
        <v>964</v>
      </c>
      <c r="D191" s="622"/>
      <c r="E191" s="622"/>
      <c r="F191" s="622"/>
      <c r="G191" s="410" t="s">
        <v>541</v>
      </c>
      <c r="H191" s="625" t="n">
        <v>0.41</v>
      </c>
      <c r="I191" s="625"/>
    </row>
    <row r="192" customFormat="false" ht="45.75" hidden="false" customHeight="true" outlineLevel="0" collapsed="false">
      <c r="A192" s="625" t="s">
        <v>965</v>
      </c>
      <c r="B192" s="625"/>
      <c r="C192" s="622" t="s">
        <v>966</v>
      </c>
      <c r="D192" s="622"/>
      <c r="E192" s="622"/>
      <c r="F192" s="622"/>
      <c r="G192" s="410" t="s">
        <v>541</v>
      </c>
      <c r="H192" s="625" t="n">
        <v>0.36</v>
      </c>
      <c r="I192" s="625"/>
    </row>
    <row r="193" customFormat="false" ht="45.75" hidden="false" customHeight="true" outlineLevel="0" collapsed="false">
      <c r="A193" s="625" t="s">
        <v>967</v>
      </c>
      <c r="B193" s="625"/>
      <c r="C193" s="622" t="s">
        <v>968</v>
      </c>
      <c r="D193" s="622"/>
      <c r="E193" s="622"/>
      <c r="F193" s="622"/>
      <c r="G193" s="410" t="s">
        <v>541</v>
      </c>
      <c r="H193" s="625" t="n">
        <v>0.28</v>
      </c>
      <c r="I193" s="625"/>
    </row>
    <row r="194" customFormat="false" ht="45.75" hidden="false" customHeight="true" outlineLevel="0" collapsed="false">
      <c r="A194" s="625" t="s">
        <v>969</v>
      </c>
      <c r="B194" s="625"/>
      <c r="C194" s="622" t="s">
        <v>970</v>
      </c>
      <c r="D194" s="622"/>
      <c r="E194" s="622"/>
      <c r="F194" s="622"/>
      <c r="G194" s="410" t="s">
        <v>541</v>
      </c>
      <c r="H194" s="625" t="n">
        <v>0.22</v>
      </c>
      <c r="I194" s="625"/>
    </row>
    <row r="195" customFormat="false" ht="45.75" hidden="false" customHeight="true" outlineLevel="0" collapsed="false">
      <c r="A195" s="625" t="s">
        <v>971</v>
      </c>
      <c r="B195" s="625"/>
      <c r="C195" s="622" t="s">
        <v>972</v>
      </c>
      <c r="D195" s="622"/>
      <c r="E195" s="622"/>
      <c r="F195" s="622"/>
      <c r="G195" s="410" t="s">
        <v>541</v>
      </c>
      <c r="H195" s="625" t="n">
        <v>0.19</v>
      </c>
      <c r="I195" s="625"/>
    </row>
    <row r="196" customFormat="false" ht="45.75" hidden="false" customHeight="true" outlineLevel="0" collapsed="false">
      <c r="A196" s="625" t="s">
        <v>973</v>
      </c>
      <c r="B196" s="625"/>
      <c r="C196" s="622" t="s">
        <v>974</v>
      </c>
      <c r="D196" s="622"/>
      <c r="E196" s="622"/>
      <c r="F196" s="622"/>
      <c r="G196" s="410" t="s">
        <v>541</v>
      </c>
      <c r="H196" s="625" t="n">
        <v>0.48</v>
      </c>
      <c r="I196" s="625"/>
    </row>
    <row r="197" customFormat="false" ht="45.75" hidden="false" customHeight="true" outlineLevel="0" collapsed="false">
      <c r="A197" s="625" t="s">
        <v>975</v>
      </c>
      <c r="B197" s="625"/>
      <c r="C197" s="622" t="s">
        <v>976</v>
      </c>
      <c r="D197" s="622"/>
      <c r="E197" s="622"/>
      <c r="F197" s="622"/>
      <c r="G197" s="410" t="s">
        <v>541</v>
      </c>
      <c r="H197" s="625" t="n">
        <v>0.18</v>
      </c>
      <c r="I197" s="625"/>
    </row>
    <row r="198" customFormat="false" ht="45.75" hidden="false" customHeight="true" outlineLevel="0" collapsed="false">
      <c r="A198" s="625" t="s">
        <v>977</v>
      </c>
      <c r="B198" s="625"/>
      <c r="C198" s="622" t="s">
        <v>978</v>
      </c>
      <c r="D198" s="622"/>
      <c r="E198" s="622"/>
      <c r="F198" s="622"/>
      <c r="G198" s="410" t="s">
        <v>541</v>
      </c>
      <c r="H198" s="625" t="n">
        <v>0.62</v>
      </c>
      <c r="I198" s="625"/>
    </row>
    <row r="199" customFormat="false" ht="45.75" hidden="false" customHeight="true" outlineLevel="0" collapsed="false">
      <c r="A199" s="625" t="s">
        <v>979</v>
      </c>
      <c r="B199" s="625"/>
      <c r="C199" s="622" t="s">
        <v>980</v>
      </c>
      <c r="D199" s="622"/>
      <c r="E199" s="622"/>
      <c r="F199" s="622"/>
      <c r="G199" s="410" t="s">
        <v>541</v>
      </c>
      <c r="H199" s="625" t="n">
        <v>0.45</v>
      </c>
      <c r="I199" s="625"/>
    </row>
    <row r="200" customFormat="false" ht="45.75" hidden="false" customHeight="true" outlineLevel="0" collapsed="false">
      <c r="A200" s="625" t="s">
        <v>981</v>
      </c>
      <c r="B200" s="625"/>
      <c r="C200" s="622" t="s">
        <v>982</v>
      </c>
      <c r="D200" s="622"/>
      <c r="E200" s="622"/>
      <c r="F200" s="622"/>
      <c r="G200" s="410" t="s">
        <v>541</v>
      </c>
      <c r="H200" s="625" t="n">
        <v>0.37</v>
      </c>
      <c r="I200" s="625"/>
    </row>
    <row r="201" customFormat="false" ht="45.75" hidden="false" customHeight="true" outlineLevel="0" collapsed="false">
      <c r="A201" s="625" t="s">
        <v>983</v>
      </c>
      <c r="B201" s="625"/>
      <c r="C201" s="622" t="s">
        <v>984</v>
      </c>
      <c r="D201" s="622"/>
      <c r="E201" s="622"/>
      <c r="F201" s="622"/>
      <c r="G201" s="410" t="s">
        <v>541</v>
      </c>
      <c r="H201" s="625" t="n">
        <v>0.27</v>
      </c>
      <c r="I201" s="625"/>
    </row>
    <row r="202" customFormat="false" ht="45.75" hidden="false" customHeight="true" outlineLevel="0" collapsed="false">
      <c r="A202" s="625" t="s">
        <v>985</v>
      </c>
      <c r="B202" s="625"/>
      <c r="C202" s="622" t="s">
        <v>986</v>
      </c>
      <c r="D202" s="622"/>
      <c r="E202" s="622"/>
      <c r="F202" s="622"/>
      <c r="G202" s="410" t="s">
        <v>541</v>
      </c>
      <c r="H202" s="625" t="n">
        <v>0.73</v>
      </c>
      <c r="I202" s="625"/>
    </row>
    <row r="203" customFormat="false" ht="45.75" hidden="false" customHeight="true" outlineLevel="0" collapsed="false">
      <c r="A203" s="625" t="s">
        <v>987</v>
      </c>
      <c r="B203" s="625"/>
      <c r="C203" s="622" t="s">
        <v>988</v>
      </c>
      <c r="D203" s="622"/>
      <c r="E203" s="622"/>
      <c r="F203" s="622"/>
      <c r="G203" s="410" t="s">
        <v>541</v>
      </c>
      <c r="H203" s="625" t="n">
        <v>0.53</v>
      </c>
      <c r="I203" s="625"/>
    </row>
    <row r="204" customFormat="false" ht="12.75" hidden="false" customHeight="true" outlineLevel="0" collapsed="false">
      <c r="A204" s="625" t="n">
        <v>39</v>
      </c>
      <c r="B204" s="625"/>
      <c r="C204" s="622" t="s">
        <v>989</v>
      </c>
      <c r="D204" s="622"/>
      <c r="E204" s="622"/>
      <c r="F204" s="622"/>
      <c r="H204" s="623"/>
      <c r="I204" s="623"/>
    </row>
    <row r="205" customFormat="false" ht="12.75" hidden="false" customHeight="true" outlineLevel="0" collapsed="false">
      <c r="A205" s="625" t="s">
        <v>990</v>
      </c>
      <c r="B205" s="625"/>
      <c r="C205" s="622" t="s">
        <v>991</v>
      </c>
      <c r="D205" s="622"/>
      <c r="E205" s="622"/>
      <c r="F205" s="622"/>
      <c r="G205" s="410" t="s">
        <v>992</v>
      </c>
      <c r="H205" s="625" t="n">
        <v>170</v>
      </c>
      <c r="I205" s="625"/>
    </row>
    <row r="206" customFormat="false" ht="23.25" hidden="false" customHeight="true" outlineLevel="0" collapsed="false">
      <c r="A206" s="625" t="s">
        <v>993</v>
      </c>
      <c r="B206" s="625"/>
      <c r="C206" s="622" t="s">
        <v>994</v>
      </c>
      <c r="D206" s="622"/>
      <c r="E206" s="622"/>
      <c r="F206" s="622"/>
      <c r="G206" s="410" t="s">
        <v>992</v>
      </c>
      <c r="H206" s="625" t="n">
        <v>130</v>
      </c>
      <c r="I206" s="625"/>
    </row>
    <row r="207" customFormat="false" ht="12.75" hidden="false" customHeight="true" outlineLevel="0" collapsed="false">
      <c r="A207" s="625" t="s">
        <v>995</v>
      </c>
      <c r="B207" s="625"/>
      <c r="C207" s="622" t="s">
        <v>996</v>
      </c>
      <c r="D207" s="622"/>
      <c r="E207" s="622"/>
      <c r="F207" s="622"/>
      <c r="G207" s="410" t="s">
        <v>992</v>
      </c>
      <c r="H207" s="625" t="n">
        <v>50</v>
      </c>
      <c r="I207" s="625"/>
    </row>
    <row r="208" customFormat="false" ht="12.75" hidden="false" customHeight="true" outlineLevel="0" collapsed="false">
      <c r="A208" s="625" t="s">
        <v>997</v>
      </c>
      <c r="B208" s="625"/>
      <c r="C208" s="622" t="s">
        <v>998</v>
      </c>
      <c r="D208" s="622"/>
      <c r="E208" s="622"/>
      <c r="F208" s="622"/>
      <c r="G208" s="410" t="s">
        <v>992</v>
      </c>
      <c r="H208" s="625" t="n">
        <v>25</v>
      </c>
      <c r="I208" s="625"/>
    </row>
    <row r="209" customFormat="false" ht="12.75" hidden="false" customHeight="true" outlineLevel="0" collapsed="false">
      <c r="A209" s="625" t="n">
        <v>245</v>
      </c>
      <c r="B209" s="625"/>
      <c r="C209" s="622" t="s">
        <v>999</v>
      </c>
      <c r="D209" s="622"/>
      <c r="E209" s="622"/>
      <c r="F209" s="622"/>
      <c r="H209" s="623"/>
      <c r="I209" s="623"/>
    </row>
    <row r="210" customFormat="false" ht="45.75" hidden="false" customHeight="true" outlineLevel="0" collapsed="false">
      <c r="A210" s="625" t="s">
        <v>1000</v>
      </c>
      <c r="B210" s="625"/>
      <c r="C210" s="622" t="s">
        <v>1001</v>
      </c>
      <c r="D210" s="622"/>
      <c r="E210" s="622"/>
      <c r="F210" s="622"/>
      <c r="G210" s="410" t="s">
        <v>599</v>
      </c>
      <c r="H210" s="625" t="n">
        <v>850</v>
      </c>
      <c r="I210" s="625"/>
    </row>
    <row r="211" customFormat="false" ht="45.75" hidden="false" customHeight="true" outlineLevel="0" collapsed="false">
      <c r="A211" s="625" t="s">
        <v>1002</v>
      </c>
      <c r="B211" s="625"/>
      <c r="C211" s="622" t="s">
        <v>1003</v>
      </c>
      <c r="D211" s="622"/>
      <c r="E211" s="622"/>
      <c r="F211" s="622"/>
      <c r="G211" s="410" t="s">
        <v>730</v>
      </c>
      <c r="H211" s="625" t="n">
        <v>2.1</v>
      </c>
      <c r="I211" s="625"/>
    </row>
    <row r="212" customFormat="false" ht="34.5" hidden="false" customHeight="true" outlineLevel="0" collapsed="false">
      <c r="A212" s="625" t="s">
        <v>1004</v>
      </c>
      <c r="B212" s="625"/>
      <c r="C212" s="622" t="s">
        <v>1005</v>
      </c>
      <c r="D212" s="622"/>
      <c r="E212" s="622"/>
      <c r="F212" s="622"/>
      <c r="G212" s="410" t="s">
        <v>1006</v>
      </c>
      <c r="H212" s="625" t="n">
        <v>72.5</v>
      </c>
      <c r="I212" s="625"/>
    </row>
    <row r="213" customFormat="false" ht="12.75" hidden="false" customHeight="true" outlineLevel="0" collapsed="false">
      <c r="A213" s="622" t="s">
        <v>1007</v>
      </c>
      <c r="B213" s="622"/>
      <c r="C213" s="622"/>
      <c r="D213" s="622"/>
      <c r="E213" s="622"/>
      <c r="F213" s="622" t="s">
        <v>1008</v>
      </c>
      <c r="G213" s="622"/>
      <c r="H213" s="622"/>
      <c r="I213" s="622"/>
    </row>
    <row r="214" customFormat="false" ht="45.75" hidden="false" customHeight="true" outlineLevel="0" collapsed="false">
      <c r="A214" s="622" t="s">
        <v>1009</v>
      </c>
      <c r="B214" s="622"/>
      <c r="C214" s="622"/>
      <c r="D214" s="622"/>
      <c r="E214" s="622"/>
      <c r="F214" s="622" t="s">
        <v>1010</v>
      </c>
      <c r="G214" s="622"/>
      <c r="H214" s="622"/>
      <c r="I214" s="622"/>
    </row>
  </sheetData>
  <autoFilter ref="A8:H214"/>
  <mergeCells count="626">
    <mergeCell ref="A1:I1"/>
    <mergeCell ref="A2:I2"/>
    <mergeCell ref="A3:I3"/>
    <mergeCell ref="A4:I4"/>
    <mergeCell ref="A5:I5"/>
    <mergeCell ref="A6:I6"/>
    <mergeCell ref="A7:I7"/>
    <mergeCell ref="A8:B8"/>
    <mergeCell ref="C8:F8"/>
    <mergeCell ref="H8:I8"/>
    <mergeCell ref="A9:B9"/>
    <mergeCell ref="C9:F9"/>
    <mergeCell ref="H9:I9"/>
    <mergeCell ref="A10:B10"/>
    <mergeCell ref="C10:F10"/>
    <mergeCell ref="H10:I10"/>
    <mergeCell ref="A11:B11"/>
    <mergeCell ref="C11:F11"/>
    <mergeCell ref="H11:I11"/>
    <mergeCell ref="A12:B12"/>
    <mergeCell ref="C12:F12"/>
    <mergeCell ref="H12:I12"/>
    <mergeCell ref="A13:B13"/>
    <mergeCell ref="C13:F13"/>
    <mergeCell ref="H13:I13"/>
    <mergeCell ref="A14:B14"/>
    <mergeCell ref="C14:F14"/>
    <mergeCell ref="H14:I14"/>
    <mergeCell ref="A15:B15"/>
    <mergeCell ref="C15:F15"/>
    <mergeCell ref="H15:I15"/>
    <mergeCell ref="A16:B16"/>
    <mergeCell ref="C16:F16"/>
    <mergeCell ref="H16:I16"/>
    <mergeCell ref="A17:B17"/>
    <mergeCell ref="C17:F17"/>
    <mergeCell ref="H17:I17"/>
    <mergeCell ref="A18:B18"/>
    <mergeCell ref="C18:F18"/>
    <mergeCell ref="H18:I18"/>
    <mergeCell ref="A19:B19"/>
    <mergeCell ref="C19:F19"/>
    <mergeCell ref="H19:I19"/>
    <mergeCell ref="A20:B20"/>
    <mergeCell ref="C20:F20"/>
    <mergeCell ref="H20:I20"/>
    <mergeCell ref="A21:B21"/>
    <mergeCell ref="C21:F21"/>
    <mergeCell ref="H21:I21"/>
    <mergeCell ref="A22:B22"/>
    <mergeCell ref="C22:F22"/>
    <mergeCell ref="H22:I22"/>
    <mergeCell ref="A23:B23"/>
    <mergeCell ref="C23:F23"/>
    <mergeCell ref="H23:I23"/>
    <mergeCell ref="A24:B24"/>
    <mergeCell ref="C24:F24"/>
    <mergeCell ref="H24:I24"/>
    <mergeCell ref="A25:B25"/>
    <mergeCell ref="C25:F25"/>
    <mergeCell ref="H25:I25"/>
    <mergeCell ref="A26:B26"/>
    <mergeCell ref="C26:F26"/>
    <mergeCell ref="H26:I26"/>
    <mergeCell ref="A27:B27"/>
    <mergeCell ref="C27:F27"/>
    <mergeCell ref="H27:I27"/>
    <mergeCell ref="A28:B28"/>
    <mergeCell ref="C28:F28"/>
    <mergeCell ref="H28:I28"/>
    <mergeCell ref="A29:B29"/>
    <mergeCell ref="C29:F29"/>
    <mergeCell ref="H29:I29"/>
    <mergeCell ref="A30:B30"/>
    <mergeCell ref="C30:F30"/>
    <mergeCell ref="H30:I30"/>
    <mergeCell ref="A31:B31"/>
    <mergeCell ref="C31:F31"/>
    <mergeCell ref="H31:I31"/>
    <mergeCell ref="A32:B32"/>
    <mergeCell ref="C32:F32"/>
    <mergeCell ref="H32:I32"/>
    <mergeCell ref="A33:B33"/>
    <mergeCell ref="C33:F33"/>
    <mergeCell ref="H33:I33"/>
    <mergeCell ref="A34:B34"/>
    <mergeCell ref="C34:F34"/>
    <mergeCell ref="H34:I34"/>
    <mergeCell ref="A35:B35"/>
    <mergeCell ref="C35:F35"/>
    <mergeCell ref="H35:I35"/>
    <mergeCell ref="A36:B36"/>
    <mergeCell ref="C36:F36"/>
    <mergeCell ref="H36:I36"/>
    <mergeCell ref="A37:B37"/>
    <mergeCell ref="C37:F37"/>
    <mergeCell ref="H37:I37"/>
    <mergeCell ref="A38:B38"/>
    <mergeCell ref="C38:F38"/>
    <mergeCell ref="H38:I38"/>
    <mergeCell ref="A39:B39"/>
    <mergeCell ref="C39:F39"/>
    <mergeCell ref="H39:I39"/>
    <mergeCell ref="A40:B40"/>
    <mergeCell ref="C40:F40"/>
    <mergeCell ref="H40:I40"/>
    <mergeCell ref="A41:B41"/>
    <mergeCell ref="C41:F41"/>
    <mergeCell ref="H41:I41"/>
    <mergeCell ref="A42:B42"/>
    <mergeCell ref="C42:F42"/>
    <mergeCell ref="H42:I42"/>
    <mergeCell ref="A43:B43"/>
    <mergeCell ref="C43:F43"/>
    <mergeCell ref="H43:I43"/>
    <mergeCell ref="A44:B44"/>
    <mergeCell ref="C44:F44"/>
    <mergeCell ref="H44:I44"/>
    <mergeCell ref="A45:B45"/>
    <mergeCell ref="C45:F45"/>
    <mergeCell ref="H45:I45"/>
    <mergeCell ref="A46:B46"/>
    <mergeCell ref="C46:F46"/>
    <mergeCell ref="H46:I46"/>
    <mergeCell ref="A47:B47"/>
    <mergeCell ref="C47:F47"/>
    <mergeCell ref="H47:I47"/>
    <mergeCell ref="A48:B48"/>
    <mergeCell ref="C48:F48"/>
    <mergeCell ref="H48:I48"/>
    <mergeCell ref="A49:B49"/>
    <mergeCell ref="C49:F49"/>
    <mergeCell ref="H49:I49"/>
    <mergeCell ref="A50:B50"/>
    <mergeCell ref="C50:F50"/>
    <mergeCell ref="H50:I50"/>
    <mergeCell ref="A51:B51"/>
    <mergeCell ref="C51:F51"/>
    <mergeCell ref="H51:I51"/>
    <mergeCell ref="A52:B52"/>
    <mergeCell ref="C52:F52"/>
    <mergeCell ref="H52:I52"/>
    <mergeCell ref="A53:B53"/>
    <mergeCell ref="C53:F53"/>
    <mergeCell ref="H53:I53"/>
    <mergeCell ref="A54:B54"/>
    <mergeCell ref="C54:F54"/>
    <mergeCell ref="H54:I54"/>
    <mergeCell ref="A55:B55"/>
    <mergeCell ref="C55:F55"/>
    <mergeCell ref="H55:I55"/>
    <mergeCell ref="A56:B56"/>
    <mergeCell ref="C56:F56"/>
    <mergeCell ref="H56:I56"/>
    <mergeCell ref="A57:B57"/>
    <mergeCell ref="C57:F57"/>
    <mergeCell ref="H57:I57"/>
    <mergeCell ref="A58:B58"/>
    <mergeCell ref="C58:F58"/>
    <mergeCell ref="H58:I58"/>
    <mergeCell ref="A59:B59"/>
    <mergeCell ref="C59:F59"/>
    <mergeCell ref="H59:I59"/>
    <mergeCell ref="A60:B60"/>
    <mergeCell ref="C60:F60"/>
    <mergeCell ref="H60:I60"/>
    <mergeCell ref="A61:B61"/>
    <mergeCell ref="C61:F61"/>
    <mergeCell ref="H61:I61"/>
    <mergeCell ref="A62:B62"/>
    <mergeCell ref="C62:F62"/>
    <mergeCell ref="H62:I62"/>
    <mergeCell ref="A63:B63"/>
    <mergeCell ref="C63:F63"/>
    <mergeCell ref="H63:I63"/>
    <mergeCell ref="A64:B64"/>
    <mergeCell ref="C64:F64"/>
    <mergeCell ref="H64:I64"/>
    <mergeCell ref="A65:B65"/>
    <mergeCell ref="C65:F65"/>
    <mergeCell ref="H65:I65"/>
    <mergeCell ref="A66:B66"/>
    <mergeCell ref="C66:F66"/>
    <mergeCell ref="H66:I66"/>
    <mergeCell ref="A67:B67"/>
    <mergeCell ref="C67:F67"/>
    <mergeCell ref="H67:I67"/>
    <mergeCell ref="A68:B68"/>
    <mergeCell ref="C68:F68"/>
    <mergeCell ref="H68:I68"/>
    <mergeCell ref="A69:B69"/>
    <mergeCell ref="C69:F69"/>
    <mergeCell ref="H69:I69"/>
    <mergeCell ref="A70:B70"/>
    <mergeCell ref="C70:F70"/>
    <mergeCell ref="H70:I70"/>
    <mergeCell ref="A71:B71"/>
    <mergeCell ref="C71:F71"/>
    <mergeCell ref="H71:I71"/>
    <mergeCell ref="A72:B72"/>
    <mergeCell ref="C72:F72"/>
    <mergeCell ref="H72:I72"/>
    <mergeCell ref="A73:B73"/>
    <mergeCell ref="C73:F73"/>
    <mergeCell ref="H73:I73"/>
    <mergeCell ref="A74:B74"/>
    <mergeCell ref="C74:F74"/>
    <mergeCell ref="H74:I74"/>
    <mergeCell ref="A75:B75"/>
    <mergeCell ref="C75:F75"/>
    <mergeCell ref="H75:I75"/>
    <mergeCell ref="A76:B76"/>
    <mergeCell ref="C76:F76"/>
    <mergeCell ref="H76:I76"/>
    <mergeCell ref="A77:B77"/>
    <mergeCell ref="C77:F77"/>
    <mergeCell ref="H77:I77"/>
    <mergeCell ref="A78:B78"/>
    <mergeCell ref="C78:F78"/>
    <mergeCell ref="H78:I78"/>
    <mergeCell ref="A79:B79"/>
    <mergeCell ref="C79:F79"/>
    <mergeCell ref="H79:I79"/>
    <mergeCell ref="A80:B80"/>
    <mergeCell ref="C80:F80"/>
    <mergeCell ref="H80:I80"/>
    <mergeCell ref="A81:B81"/>
    <mergeCell ref="C81:F81"/>
    <mergeCell ref="H81:I81"/>
    <mergeCell ref="A82:B82"/>
    <mergeCell ref="C82:F82"/>
    <mergeCell ref="H82:I82"/>
    <mergeCell ref="A83:B83"/>
    <mergeCell ref="C83:F83"/>
    <mergeCell ref="H83:I83"/>
    <mergeCell ref="A84:B84"/>
    <mergeCell ref="C84:F84"/>
    <mergeCell ref="H84:I84"/>
    <mergeCell ref="A85:B85"/>
    <mergeCell ref="C85:F85"/>
    <mergeCell ref="H85:I85"/>
    <mergeCell ref="A86:B86"/>
    <mergeCell ref="C86:F86"/>
    <mergeCell ref="H86:I86"/>
    <mergeCell ref="A87:B87"/>
    <mergeCell ref="C87:F87"/>
    <mergeCell ref="H87:I87"/>
    <mergeCell ref="A88:B88"/>
    <mergeCell ref="C88:F88"/>
    <mergeCell ref="H88:I88"/>
    <mergeCell ref="A89:B89"/>
    <mergeCell ref="C89:F89"/>
    <mergeCell ref="H89:I89"/>
    <mergeCell ref="A90:B90"/>
    <mergeCell ref="C90:F90"/>
    <mergeCell ref="H90:I90"/>
    <mergeCell ref="A91:B91"/>
    <mergeCell ref="C91:F91"/>
    <mergeCell ref="H91:I91"/>
    <mergeCell ref="A92:B92"/>
    <mergeCell ref="C92:F92"/>
    <mergeCell ref="H92:I92"/>
    <mergeCell ref="A93:B93"/>
    <mergeCell ref="C93:F93"/>
    <mergeCell ref="H93:I93"/>
    <mergeCell ref="A94:B94"/>
    <mergeCell ref="C94:F94"/>
    <mergeCell ref="H94:I94"/>
    <mergeCell ref="A95:B95"/>
    <mergeCell ref="C95:F95"/>
    <mergeCell ref="H95:I95"/>
    <mergeCell ref="A96:B96"/>
    <mergeCell ref="C96:F96"/>
    <mergeCell ref="H96:I96"/>
    <mergeCell ref="A97:B97"/>
    <mergeCell ref="C97:F97"/>
    <mergeCell ref="H97:I97"/>
    <mergeCell ref="A98:B98"/>
    <mergeCell ref="C98:F98"/>
    <mergeCell ref="H98:I98"/>
    <mergeCell ref="A99:B99"/>
    <mergeCell ref="C99:F99"/>
    <mergeCell ref="H99:I99"/>
    <mergeCell ref="A100:B100"/>
    <mergeCell ref="C100:F100"/>
    <mergeCell ref="H100:I100"/>
    <mergeCell ref="A101:B101"/>
    <mergeCell ref="C101:F101"/>
    <mergeCell ref="H101:I101"/>
    <mergeCell ref="A102:B102"/>
    <mergeCell ref="C102:F102"/>
    <mergeCell ref="H102:I102"/>
    <mergeCell ref="A103:B103"/>
    <mergeCell ref="C103:F103"/>
    <mergeCell ref="H103:I103"/>
    <mergeCell ref="A104:B104"/>
    <mergeCell ref="C104:F104"/>
    <mergeCell ref="H104:I104"/>
    <mergeCell ref="A105:B105"/>
    <mergeCell ref="C105:F105"/>
    <mergeCell ref="H105:I105"/>
    <mergeCell ref="A106:B106"/>
    <mergeCell ref="C106:F106"/>
    <mergeCell ref="H106:I106"/>
    <mergeCell ref="A107:B107"/>
    <mergeCell ref="C107:F107"/>
    <mergeCell ref="H107:I107"/>
    <mergeCell ref="A108:B108"/>
    <mergeCell ref="C108:F108"/>
    <mergeCell ref="H108:I108"/>
    <mergeCell ref="A109:B109"/>
    <mergeCell ref="C109:F109"/>
    <mergeCell ref="H109:I109"/>
    <mergeCell ref="A110:B110"/>
    <mergeCell ref="C110:F110"/>
    <mergeCell ref="H110:I110"/>
    <mergeCell ref="A111:B111"/>
    <mergeCell ref="C111:F111"/>
    <mergeCell ref="H111:I111"/>
    <mergeCell ref="A112:B112"/>
    <mergeCell ref="C112:F112"/>
    <mergeCell ref="H112:I112"/>
    <mergeCell ref="A113:B113"/>
    <mergeCell ref="C113:F113"/>
    <mergeCell ref="H113:I113"/>
    <mergeCell ref="A114:B114"/>
    <mergeCell ref="C114:F114"/>
    <mergeCell ref="H114:I114"/>
    <mergeCell ref="A115:B115"/>
    <mergeCell ref="C115:F115"/>
    <mergeCell ref="H115:I115"/>
    <mergeCell ref="A116:B116"/>
    <mergeCell ref="C116:F116"/>
    <mergeCell ref="H116:I116"/>
    <mergeCell ref="A117:B117"/>
    <mergeCell ref="C117:F117"/>
    <mergeCell ref="H117:I117"/>
    <mergeCell ref="A118:B118"/>
    <mergeCell ref="C118:F118"/>
    <mergeCell ref="H118:I118"/>
    <mergeCell ref="A119:B119"/>
    <mergeCell ref="C119:F119"/>
    <mergeCell ref="H119:I119"/>
    <mergeCell ref="A120:B120"/>
    <mergeCell ref="C120:F120"/>
    <mergeCell ref="H120:I120"/>
    <mergeCell ref="A121:B121"/>
    <mergeCell ref="C121:F121"/>
    <mergeCell ref="H121:I121"/>
    <mergeCell ref="A122:B122"/>
    <mergeCell ref="C122:F122"/>
    <mergeCell ref="H122:I122"/>
    <mergeCell ref="A123:B123"/>
    <mergeCell ref="C123:F123"/>
    <mergeCell ref="H123:I123"/>
    <mergeCell ref="A124:B124"/>
    <mergeCell ref="C124:F124"/>
    <mergeCell ref="H124:I124"/>
    <mergeCell ref="A125:B125"/>
    <mergeCell ref="C125:F125"/>
    <mergeCell ref="H125:I125"/>
    <mergeCell ref="A126:B126"/>
    <mergeCell ref="C126:F126"/>
    <mergeCell ref="H126:I126"/>
    <mergeCell ref="A127:B127"/>
    <mergeCell ref="C127:F127"/>
    <mergeCell ref="H127:I127"/>
    <mergeCell ref="A128:B128"/>
    <mergeCell ref="C128:F128"/>
    <mergeCell ref="H128:I128"/>
    <mergeCell ref="A129:B129"/>
    <mergeCell ref="C129:F129"/>
    <mergeCell ref="H129:I129"/>
    <mergeCell ref="A130:B130"/>
    <mergeCell ref="C130:F130"/>
    <mergeCell ref="H130:I130"/>
    <mergeCell ref="A131:B131"/>
    <mergeCell ref="C131:F131"/>
    <mergeCell ref="H131:I131"/>
    <mergeCell ref="A132:B132"/>
    <mergeCell ref="C132:F132"/>
    <mergeCell ref="H132:I132"/>
    <mergeCell ref="A133:B133"/>
    <mergeCell ref="C133:F133"/>
    <mergeCell ref="H133:I133"/>
    <mergeCell ref="A134:B134"/>
    <mergeCell ref="C134:F134"/>
    <mergeCell ref="H134:I134"/>
    <mergeCell ref="A135:B135"/>
    <mergeCell ref="C135:F135"/>
    <mergeCell ref="H135:I135"/>
    <mergeCell ref="A136:B136"/>
    <mergeCell ref="C136:F136"/>
    <mergeCell ref="H136:I136"/>
    <mergeCell ref="A137:B137"/>
    <mergeCell ref="C137:F137"/>
    <mergeCell ref="H137:I137"/>
    <mergeCell ref="A138:B138"/>
    <mergeCell ref="C138:F138"/>
    <mergeCell ref="H138:I138"/>
    <mergeCell ref="A139:B139"/>
    <mergeCell ref="C139:F139"/>
    <mergeCell ref="H139:I139"/>
    <mergeCell ref="A140:B140"/>
    <mergeCell ref="C140:F140"/>
    <mergeCell ref="H140:I140"/>
    <mergeCell ref="A141:B141"/>
    <mergeCell ref="C141:F141"/>
    <mergeCell ref="H141:I141"/>
    <mergeCell ref="A142:B142"/>
    <mergeCell ref="C142:F142"/>
    <mergeCell ref="H142:I142"/>
    <mergeCell ref="A143:B143"/>
    <mergeCell ref="C143:F143"/>
    <mergeCell ref="H143:I143"/>
    <mergeCell ref="A144:B144"/>
    <mergeCell ref="C144:F144"/>
    <mergeCell ref="H144:I144"/>
    <mergeCell ref="A145:B145"/>
    <mergeCell ref="C145:F145"/>
    <mergeCell ref="H145:I145"/>
    <mergeCell ref="A146:B146"/>
    <mergeCell ref="C146:F146"/>
    <mergeCell ref="H146:I146"/>
    <mergeCell ref="A147:B147"/>
    <mergeCell ref="C147:F147"/>
    <mergeCell ref="H147:I147"/>
    <mergeCell ref="A148:B148"/>
    <mergeCell ref="C148:F148"/>
    <mergeCell ref="H148:I148"/>
    <mergeCell ref="A149:B149"/>
    <mergeCell ref="C149:F149"/>
    <mergeCell ref="H149:I149"/>
    <mergeCell ref="A150:B150"/>
    <mergeCell ref="C150:F150"/>
    <mergeCell ref="H150:I150"/>
    <mergeCell ref="A151:B151"/>
    <mergeCell ref="C151:F151"/>
    <mergeCell ref="H151:I151"/>
    <mergeCell ref="A152:B152"/>
    <mergeCell ref="C152:F152"/>
    <mergeCell ref="H152:I152"/>
    <mergeCell ref="A153:B153"/>
    <mergeCell ref="C153:F153"/>
    <mergeCell ref="H153:I153"/>
    <mergeCell ref="A154:B154"/>
    <mergeCell ref="C154:F154"/>
    <mergeCell ref="H154:I154"/>
    <mergeCell ref="A155:B155"/>
    <mergeCell ref="C155:F155"/>
    <mergeCell ref="H155:I155"/>
    <mergeCell ref="A156:B156"/>
    <mergeCell ref="C156:F156"/>
    <mergeCell ref="H156:I156"/>
    <mergeCell ref="A157:B157"/>
    <mergeCell ref="C157:F157"/>
    <mergeCell ref="H157:I157"/>
    <mergeCell ref="A158:B158"/>
    <mergeCell ref="C158:F158"/>
    <mergeCell ref="H158:I158"/>
    <mergeCell ref="A159:B159"/>
    <mergeCell ref="C159:F159"/>
    <mergeCell ref="H159:I159"/>
    <mergeCell ref="A160:B160"/>
    <mergeCell ref="C160:F160"/>
    <mergeCell ref="H160:I160"/>
    <mergeCell ref="A161:B161"/>
    <mergeCell ref="C161:F161"/>
    <mergeCell ref="H161:I161"/>
    <mergeCell ref="A162:B162"/>
    <mergeCell ref="C162:F162"/>
    <mergeCell ref="H162:I162"/>
    <mergeCell ref="A163:B163"/>
    <mergeCell ref="C163:F163"/>
    <mergeCell ref="H163:I163"/>
    <mergeCell ref="A164:B164"/>
    <mergeCell ref="C164:F164"/>
    <mergeCell ref="H164:I164"/>
    <mergeCell ref="A165:B165"/>
    <mergeCell ref="C165:F165"/>
    <mergeCell ref="H165:I165"/>
    <mergeCell ref="A166:B166"/>
    <mergeCell ref="C166:F166"/>
    <mergeCell ref="H166:I166"/>
    <mergeCell ref="A167:B167"/>
    <mergeCell ref="C167:F167"/>
    <mergeCell ref="H167:I167"/>
    <mergeCell ref="A168:B168"/>
    <mergeCell ref="C168:F168"/>
    <mergeCell ref="H168:I168"/>
    <mergeCell ref="A169:B169"/>
    <mergeCell ref="C169:F169"/>
    <mergeCell ref="H169:I169"/>
    <mergeCell ref="A170:B170"/>
    <mergeCell ref="C170:F170"/>
    <mergeCell ref="H170:I170"/>
    <mergeCell ref="A171:B171"/>
    <mergeCell ref="C171:F171"/>
    <mergeCell ref="H171:I171"/>
    <mergeCell ref="A172:B172"/>
    <mergeCell ref="C172:F172"/>
    <mergeCell ref="H172:I172"/>
    <mergeCell ref="A173:B173"/>
    <mergeCell ref="C173:F173"/>
    <mergeCell ref="H173:I173"/>
    <mergeCell ref="A174:B174"/>
    <mergeCell ref="C174:F174"/>
    <mergeCell ref="H174:I174"/>
    <mergeCell ref="A175:B175"/>
    <mergeCell ref="C175:F175"/>
    <mergeCell ref="H175:I175"/>
    <mergeCell ref="A176:B176"/>
    <mergeCell ref="C176:F176"/>
    <mergeCell ref="H176:I176"/>
    <mergeCell ref="A177:B177"/>
    <mergeCell ref="C177:F177"/>
    <mergeCell ref="H177:I177"/>
    <mergeCell ref="A178:B178"/>
    <mergeCell ref="C178:F178"/>
    <mergeCell ref="H178:I178"/>
    <mergeCell ref="A179:B179"/>
    <mergeCell ref="C179:F179"/>
    <mergeCell ref="H179:I179"/>
    <mergeCell ref="A180:B180"/>
    <mergeCell ref="C180:F180"/>
    <mergeCell ref="H180:I180"/>
    <mergeCell ref="A181:B181"/>
    <mergeCell ref="C181:F181"/>
    <mergeCell ref="H181:I181"/>
    <mergeCell ref="A182:B182"/>
    <mergeCell ref="C182:F182"/>
    <mergeCell ref="H182:I182"/>
    <mergeCell ref="A183:B183"/>
    <mergeCell ref="C183:F183"/>
    <mergeCell ref="H183:I183"/>
    <mergeCell ref="A184:B184"/>
    <mergeCell ref="C184:F184"/>
    <mergeCell ref="H184:I184"/>
    <mergeCell ref="A185:B185"/>
    <mergeCell ref="C185:F185"/>
    <mergeCell ref="H185:I185"/>
    <mergeCell ref="A186:B186"/>
    <mergeCell ref="C186:F186"/>
    <mergeCell ref="H186:I186"/>
    <mergeCell ref="A187:B187"/>
    <mergeCell ref="C187:F187"/>
    <mergeCell ref="H187:I187"/>
    <mergeCell ref="A188:B188"/>
    <mergeCell ref="C188:F188"/>
    <mergeCell ref="H188:I188"/>
    <mergeCell ref="A189:B189"/>
    <mergeCell ref="C189:F189"/>
    <mergeCell ref="H189:I189"/>
    <mergeCell ref="A190:B190"/>
    <mergeCell ref="C190:F190"/>
    <mergeCell ref="H190:I190"/>
    <mergeCell ref="A191:B191"/>
    <mergeCell ref="C191:F191"/>
    <mergeCell ref="H191:I191"/>
    <mergeCell ref="A192:B192"/>
    <mergeCell ref="C192:F192"/>
    <mergeCell ref="H192:I192"/>
    <mergeCell ref="A193:B193"/>
    <mergeCell ref="C193:F193"/>
    <mergeCell ref="H193:I193"/>
    <mergeCell ref="A194:B194"/>
    <mergeCell ref="C194:F194"/>
    <mergeCell ref="H194:I194"/>
    <mergeCell ref="A195:B195"/>
    <mergeCell ref="C195:F195"/>
    <mergeCell ref="H195:I195"/>
    <mergeCell ref="A196:B196"/>
    <mergeCell ref="C196:F196"/>
    <mergeCell ref="H196:I196"/>
    <mergeCell ref="A197:B197"/>
    <mergeCell ref="C197:F197"/>
    <mergeCell ref="H197:I197"/>
    <mergeCell ref="A198:B198"/>
    <mergeCell ref="C198:F198"/>
    <mergeCell ref="H198:I198"/>
    <mergeCell ref="A199:B199"/>
    <mergeCell ref="C199:F199"/>
    <mergeCell ref="H199:I199"/>
    <mergeCell ref="A200:B200"/>
    <mergeCell ref="C200:F200"/>
    <mergeCell ref="H200:I200"/>
    <mergeCell ref="A201:B201"/>
    <mergeCell ref="C201:F201"/>
    <mergeCell ref="H201:I201"/>
    <mergeCell ref="A202:B202"/>
    <mergeCell ref="C202:F202"/>
    <mergeCell ref="H202:I202"/>
    <mergeCell ref="A203:B203"/>
    <mergeCell ref="C203:F203"/>
    <mergeCell ref="H203:I203"/>
    <mergeCell ref="A204:B204"/>
    <mergeCell ref="C204:F204"/>
    <mergeCell ref="H204:I204"/>
    <mergeCell ref="A205:B205"/>
    <mergeCell ref="C205:F205"/>
    <mergeCell ref="H205:I205"/>
    <mergeCell ref="A206:B206"/>
    <mergeCell ref="C206:F206"/>
    <mergeCell ref="H206:I206"/>
    <mergeCell ref="A207:B207"/>
    <mergeCell ref="C207:F207"/>
    <mergeCell ref="H207:I207"/>
    <mergeCell ref="A208:B208"/>
    <mergeCell ref="C208:F208"/>
    <mergeCell ref="H208:I208"/>
    <mergeCell ref="A209:B209"/>
    <mergeCell ref="C209:F209"/>
    <mergeCell ref="H209:I209"/>
    <mergeCell ref="A210:B210"/>
    <mergeCell ref="C210:F210"/>
    <mergeCell ref="H210:I210"/>
    <mergeCell ref="A211:B211"/>
    <mergeCell ref="C211:F211"/>
    <mergeCell ref="H211:I211"/>
    <mergeCell ref="A212:B212"/>
    <mergeCell ref="C212:F212"/>
    <mergeCell ref="H212:I212"/>
    <mergeCell ref="A213:E213"/>
    <mergeCell ref="F213:I213"/>
    <mergeCell ref="A214:E214"/>
    <mergeCell ref="F214:I21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4"/>
  <sheetViews>
    <sheetView showFormulas="false" showGridLines="true" showRowColHeaders="true" showZeros="true" rightToLeft="false" tabSelected="false" showOutlineSymbols="true" defaultGridColor="true" view="normal" topLeftCell="A202" colorId="64" zoomScale="80" zoomScaleNormal="80" zoomScalePageLayoutView="100" workbookViewId="0">
      <selection pane="topLeft" activeCell="C233" activeCellId="0" sqref="C233"/>
    </sheetView>
  </sheetViews>
  <sheetFormatPr defaultColWidth="11.70703125" defaultRowHeight="12.8" zeroHeight="false" outlineLevelRow="0" outlineLevelCol="0"/>
  <sheetData>
    <row r="1" customFormat="false" ht="29.25" hidden="false" customHeight="true" outlineLevel="0" collapsed="false">
      <c r="A1" s="626" t="s">
        <v>23</v>
      </c>
      <c r="B1" s="627" t="s">
        <v>1011</v>
      </c>
      <c r="C1" s="627" t="s">
        <v>1012</v>
      </c>
      <c r="D1" s="627"/>
      <c r="E1" s="627"/>
      <c r="F1" s="627"/>
      <c r="G1" s="627"/>
      <c r="H1" s="627"/>
      <c r="I1" s="627"/>
      <c r="J1" s="627"/>
      <c r="K1" s="627"/>
      <c r="L1" s="627" t="s">
        <v>490</v>
      </c>
      <c r="M1" s="627" t="s">
        <v>109</v>
      </c>
      <c r="N1" s="628" t="s">
        <v>1013</v>
      </c>
      <c r="O1" s="629" t="s">
        <v>1014</v>
      </c>
    </row>
    <row r="2" customFormat="false" ht="12.75" hidden="false" customHeight="true" outlineLevel="0" collapsed="false">
      <c r="A2" s="630" t="s">
        <v>1015</v>
      </c>
      <c r="B2" s="631"/>
      <c r="C2" s="632" t="s">
        <v>1016</v>
      </c>
      <c r="D2" s="632"/>
      <c r="E2" s="632"/>
      <c r="F2" s="632"/>
      <c r="G2" s="632"/>
      <c r="H2" s="632"/>
      <c r="I2" s="632"/>
      <c r="J2" s="632"/>
      <c r="K2" s="632"/>
      <c r="L2" s="633"/>
      <c r="M2" s="633"/>
      <c r="N2" s="634"/>
      <c r="O2" s="635"/>
    </row>
    <row r="3" customFormat="false" ht="12.75" hidden="false" customHeight="true" outlineLevel="0" collapsed="false">
      <c r="A3" s="636" t="s">
        <v>1017</v>
      </c>
      <c r="B3" s="637" t="s">
        <v>1018</v>
      </c>
      <c r="C3" s="637" t="s">
        <v>1019</v>
      </c>
      <c r="D3" s="637"/>
      <c r="E3" s="637"/>
      <c r="F3" s="637"/>
      <c r="G3" s="637"/>
      <c r="H3" s="637"/>
      <c r="I3" s="637"/>
      <c r="J3" s="637"/>
      <c r="K3" s="637"/>
      <c r="L3" s="638"/>
      <c r="M3" s="638"/>
      <c r="N3" s="639"/>
      <c r="O3" s="640"/>
    </row>
    <row r="4" customFormat="false" ht="12.75" hidden="false" customHeight="true" outlineLevel="0" collapsed="false">
      <c r="A4" s="641" t="s">
        <v>1020</v>
      </c>
      <c r="B4" s="642" t="s">
        <v>1018</v>
      </c>
      <c r="C4" s="642" t="s">
        <v>1021</v>
      </c>
      <c r="D4" s="642"/>
      <c r="E4" s="642"/>
      <c r="F4" s="642"/>
      <c r="G4" s="642"/>
      <c r="H4" s="642"/>
      <c r="I4" s="642"/>
      <c r="J4" s="642"/>
      <c r="K4" s="642"/>
      <c r="L4" s="642" t="s">
        <v>250</v>
      </c>
      <c r="M4" s="643" t="n">
        <v>189.1</v>
      </c>
      <c r="N4" s="644" t="e">
        <f aca="false">VLOOKUP(A4,'[1]2023.10 CPU´s'!U$1:AF$1048576,11,FALSE())</f>
        <v>#N/A</v>
      </c>
      <c r="O4" s="645" t="e">
        <f aca="false">(N4/M4)-1</f>
        <v>#N/A</v>
      </c>
    </row>
    <row r="5" customFormat="false" ht="12.75" hidden="false" customHeight="true" outlineLevel="0" collapsed="false">
      <c r="A5" s="641" t="s">
        <v>1022</v>
      </c>
      <c r="B5" s="642" t="s">
        <v>1018</v>
      </c>
      <c r="C5" s="642" t="s">
        <v>1023</v>
      </c>
      <c r="D5" s="642"/>
      <c r="E5" s="642"/>
      <c r="F5" s="642"/>
      <c r="G5" s="642"/>
      <c r="H5" s="642"/>
      <c r="I5" s="642"/>
      <c r="J5" s="642"/>
      <c r="K5" s="642"/>
      <c r="L5" s="642" t="s">
        <v>250</v>
      </c>
      <c r="M5" s="643" t="n">
        <v>172.92</v>
      </c>
      <c r="N5" s="644" t="e">
        <f aca="false">VLOOKUP(A5,'[1]2023.10 CPU´s'!U$1:AF$1048576,11,FALSE())</f>
        <v>#N/A</v>
      </c>
      <c r="O5" s="645" t="e">
        <f aca="false">(N5/M5)-1</f>
        <v>#N/A</v>
      </c>
    </row>
    <row r="6" customFormat="false" ht="12.75" hidden="false" customHeight="true" outlineLevel="0" collapsed="false">
      <c r="A6" s="641" t="s">
        <v>1024</v>
      </c>
      <c r="B6" s="642" t="s">
        <v>1018</v>
      </c>
      <c r="C6" s="642" t="s">
        <v>1025</v>
      </c>
      <c r="D6" s="642"/>
      <c r="E6" s="642"/>
      <c r="F6" s="642"/>
      <c r="G6" s="642"/>
      <c r="H6" s="642"/>
      <c r="I6" s="642"/>
      <c r="J6" s="642"/>
      <c r="K6" s="642"/>
      <c r="L6" s="642" t="s">
        <v>250</v>
      </c>
      <c r="M6" s="643" t="n">
        <v>156.74</v>
      </c>
      <c r="N6" s="644" t="e">
        <f aca="false">VLOOKUP(A6,'[1]2023.10 CPU´s'!U$1:AF$1048576,11,FALSE())</f>
        <v>#N/A</v>
      </c>
      <c r="O6" s="645" t="e">
        <f aca="false">(N6/M6)-1</f>
        <v>#N/A</v>
      </c>
    </row>
    <row r="7" customFormat="false" ht="12.75" hidden="false" customHeight="true" outlineLevel="0" collapsed="false">
      <c r="A7" s="641" t="s">
        <v>1026</v>
      </c>
      <c r="B7" s="642" t="s">
        <v>1018</v>
      </c>
      <c r="C7" s="642" t="s">
        <v>1027</v>
      </c>
      <c r="D7" s="642"/>
      <c r="E7" s="642"/>
      <c r="F7" s="642"/>
      <c r="G7" s="642"/>
      <c r="H7" s="642"/>
      <c r="I7" s="642"/>
      <c r="J7" s="642"/>
      <c r="K7" s="642"/>
      <c r="L7" s="642" t="s">
        <v>250</v>
      </c>
      <c r="M7" s="643" t="n">
        <v>140.57</v>
      </c>
      <c r="N7" s="644" t="e">
        <f aca="false">VLOOKUP(A7,'[1]2023.10 CPU´s'!U$1:AF$1048576,11,FALSE())</f>
        <v>#N/A</v>
      </c>
      <c r="O7" s="645" t="e">
        <f aca="false">(N7/M7)-1</f>
        <v>#N/A</v>
      </c>
    </row>
    <row r="8" customFormat="false" ht="12.75" hidden="false" customHeight="true" outlineLevel="0" collapsed="false">
      <c r="A8" s="641" t="s">
        <v>1028</v>
      </c>
      <c r="B8" s="642" t="s">
        <v>1018</v>
      </c>
      <c r="C8" s="642" t="s">
        <v>1029</v>
      </c>
      <c r="D8" s="642"/>
      <c r="E8" s="642"/>
      <c r="F8" s="642"/>
      <c r="G8" s="642"/>
      <c r="H8" s="642"/>
      <c r="I8" s="642"/>
      <c r="J8" s="642"/>
      <c r="K8" s="642"/>
      <c r="L8" s="642" t="s">
        <v>250</v>
      </c>
      <c r="M8" s="643" t="n">
        <v>124.39</v>
      </c>
      <c r="N8" s="644" t="e">
        <f aca="false">VLOOKUP(A8,'[1]2023.10 CPU´s'!U$1:AF$1048576,11,FALSE())</f>
        <v>#N/A</v>
      </c>
      <c r="O8" s="645" t="e">
        <f aca="false">(N8/M8)-1</f>
        <v>#N/A</v>
      </c>
    </row>
    <row r="9" customFormat="false" ht="12.75" hidden="false" customHeight="true" outlineLevel="0" collapsed="false">
      <c r="A9" s="641" t="s">
        <v>1030</v>
      </c>
      <c r="B9" s="642" t="s">
        <v>1018</v>
      </c>
      <c r="C9" s="642" t="s">
        <v>1031</v>
      </c>
      <c r="D9" s="642"/>
      <c r="E9" s="642"/>
      <c r="F9" s="642"/>
      <c r="G9" s="642"/>
      <c r="H9" s="642"/>
      <c r="I9" s="642"/>
      <c r="J9" s="642"/>
      <c r="K9" s="642"/>
      <c r="L9" s="642" t="s">
        <v>250</v>
      </c>
      <c r="M9" s="643" t="n">
        <v>111.52</v>
      </c>
      <c r="N9" s="644" t="e">
        <f aca="false">VLOOKUP(A9,'[1]2023.10 CPU´s'!U$1:AF$1048576,11,FALSE())</f>
        <v>#N/A</v>
      </c>
      <c r="O9" s="645" t="e">
        <f aca="false">(N9/M9)-1</f>
        <v>#N/A</v>
      </c>
    </row>
    <row r="10" customFormat="false" ht="12.75" hidden="false" customHeight="true" outlineLevel="0" collapsed="false">
      <c r="A10" s="641" t="s">
        <v>1032</v>
      </c>
      <c r="B10" s="642" t="s">
        <v>1018</v>
      </c>
      <c r="C10" s="642" t="s">
        <v>1033</v>
      </c>
      <c r="D10" s="642"/>
      <c r="E10" s="642"/>
      <c r="F10" s="642"/>
      <c r="G10" s="642"/>
      <c r="H10" s="642"/>
      <c r="I10" s="642"/>
      <c r="J10" s="642"/>
      <c r="K10" s="642"/>
      <c r="L10" s="642" t="s">
        <v>250</v>
      </c>
      <c r="M10" s="643" t="n">
        <v>79.67</v>
      </c>
      <c r="N10" s="644" t="e">
        <f aca="false">VLOOKUP(A10,'[1]2023.10 CPU´s'!U$1:AF$1048576,11,FALSE())</f>
        <v>#N/A</v>
      </c>
      <c r="O10" s="645" t="e">
        <f aca="false">(N10/M10)-1</f>
        <v>#N/A</v>
      </c>
    </row>
    <row r="11" customFormat="false" ht="12.75" hidden="false" customHeight="true" outlineLevel="0" collapsed="false">
      <c r="A11" s="641" t="s">
        <v>1034</v>
      </c>
      <c r="B11" s="642" t="s">
        <v>1018</v>
      </c>
      <c r="C11" s="642" t="s">
        <v>1035</v>
      </c>
      <c r="D11" s="642"/>
      <c r="E11" s="642"/>
      <c r="F11" s="642"/>
      <c r="G11" s="642"/>
      <c r="H11" s="642"/>
      <c r="I11" s="642"/>
      <c r="J11" s="642"/>
      <c r="K11" s="642"/>
      <c r="L11" s="642" t="s">
        <v>250</v>
      </c>
      <c r="M11" s="643" t="n">
        <v>189.1</v>
      </c>
      <c r="N11" s="644" t="e">
        <f aca="false">VLOOKUP(A11,'[1]2023.10 CPU´s'!U$1:AF$1048576,11,FALSE())</f>
        <v>#N/A</v>
      </c>
      <c r="O11" s="645" t="e">
        <f aca="false">(N11/M11)-1</f>
        <v>#N/A</v>
      </c>
    </row>
    <row r="12" customFormat="false" ht="12.75" hidden="false" customHeight="true" outlineLevel="0" collapsed="false">
      <c r="A12" s="641" t="s">
        <v>1036</v>
      </c>
      <c r="B12" s="642" t="s">
        <v>1018</v>
      </c>
      <c r="C12" s="642" t="s">
        <v>1037</v>
      </c>
      <c r="D12" s="642"/>
      <c r="E12" s="642"/>
      <c r="F12" s="642"/>
      <c r="G12" s="642"/>
      <c r="H12" s="642"/>
      <c r="I12" s="642"/>
      <c r="J12" s="642"/>
      <c r="K12" s="642"/>
      <c r="L12" s="642" t="s">
        <v>250</v>
      </c>
      <c r="M12" s="643" t="n">
        <v>172.92</v>
      </c>
      <c r="N12" s="644" t="e">
        <f aca="false">VLOOKUP(A12,'[1]2023.10 CPU´s'!U$1:AF$1048576,11,FALSE())</f>
        <v>#N/A</v>
      </c>
      <c r="O12" s="645" t="e">
        <f aca="false">(N12/M12)-1</f>
        <v>#N/A</v>
      </c>
    </row>
    <row r="13" customFormat="false" ht="12.75" hidden="false" customHeight="true" outlineLevel="0" collapsed="false">
      <c r="A13" s="641" t="s">
        <v>1038</v>
      </c>
      <c r="B13" s="642" t="s">
        <v>1018</v>
      </c>
      <c r="C13" s="642" t="s">
        <v>1039</v>
      </c>
      <c r="D13" s="642"/>
      <c r="E13" s="642"/>
      <c r="F13" s="642"/>
      <c r="G13" s="642"/>
      <c r="H13" s="642"/>
      <c r="I13" s="642"/>
      <c r="J13" s="642"/>
      <c r="K13" s="642"/>
      <c r="L13" s="642" t="s">
        <v>250</v>
      </c>
      <c r="M13" s="643" t="n">
        <v>156.74</v>
      </c>
      <c r="N13" s="644" t="e">
        <f aca="false">VLOOKUP(A13,'[1]2023.10 CPU´s'!U$1:AF$1048576,11,FALSE())</f>
        <v>#N/A</v>
      </c>
      <c r="O13" s="645" t="e">
        <f aca="false">(N13/M13)-1</f>
        <v>#N/A</v>
      </c>
    </row>
    <row r="14" customFormat="false" ht="12.75" hidden="false" customHeight="true" outlineLevel="0" collapsed="false">
      <c r="A14" s="641" t="s">
        <v>1040</v>
      </c>
      <c r="B14" s="642" t="s">
        <v>1018</v>
      </c>
      <c r="C14" s="642" t="s">
        <v>1041</v>
      </c>
      <c r="D14" s="642"/>
      <c r="E14" s="642"/>
      <c r="F14" s="642"/>
      <c r="G14" s="642"/>
      <c r="H14" s="642"/>
      <c r="I14" s="642"/>
      <c r="J14" s="642"/>
      <c r="K14" s="642"/>
      <c r="L14" s="642" t="s">
        <v>250</v>
      </c>
      <c r="M14" s="643" t="n">
        <v>140.57</v>
      </c>
      <c r="N14" s="644" t="e">
        <f aca="false">VLOOKUP(A14,'[1]2023.10 CPU´s'!U$1:AF$1048576,11,FALSE())</f>
        <v>#N/A</v>
      </c>
      <c r="O14" s="645" t="e">
        <f aca="false">(N14/M14)-1</f>
        <v>#N/A</v>
      </c>
    </row>
    <row r="15" customFormat="false" ht="12.75" hidden="false" customHeight="true" outlineLevel="0" collapsed="false">
      <c r="A15" s="641" t="s">
        <v>1042</v>
      </c>
      <c r="B15" s="642" t="s">
        <v>1018</v>
      </c>
      <c r="C15" s="642" t="s">
        <v>1043</v>
      </c>
      <c r="D15" s="642"/>
      <c r="E15" s="642"/>
      <c r="F15" s="642"/>
      <c r="G15" s="642"/>
      <c r="H15" s="642"/>
      <c r="I15" s="642"/>
      <c r="J15" s="642"/>
      <c r="K15" s="642"/>
      <c r="L15" s="642" t="s">
        <v>250</v>
      </c>
      <c r="M15" s="643" t="n">
        <v>124.39</v>
      </c>
      <c r="N15" s="644" t="e">
        <f aca="false">VLOOKUP(A15,'[1]2023.10 CPU´s'!U$1:AF$1048576,11,FALSE())</f>
        <v>#N/A</v>
      </c>
      <c r="O15" s="645" t="e">
        <f aca="false">(N15/M15)-1</f>
        <v>#N/A</v>
      </c>
    </row>
    <row r="16" customFormat="false" ht="12.75" hidden="false" customHeight="true" outlineLevel="0" collapsed="false">
      <c r="A16" s="641" t="s">
        <v>1044</v>
      </c>
      <c r="B16" s="642" t="s">
        <v>1018</v>
      </c>
      <c r="C16" s="642" t="s">
        <v>1045</v>
      </c>
      <c r="D16" s="642"/>
      <c r="E16" s="642"/>
      <c r="F16" s="642"/>
      <c r="G16" s="642"/>
      <c r="H16" s="642"/>
      <c r="I16" s="642"/>
      <c r="J16" s="642"/>
      <c r="K16" s="642"/>
      <c r="L16" s="642" t="s">
        <v>250</v>
      </c>
      <c r="M16" s="643" t="n">
        <v>111.52</v>
      </c>
      <c r="N16" s="644" t="e">
        <f aca="false">VLOOKUP(A16,'[1]2023.10 CPU´s'!U$1:AF$1048576,11,FALSE())</f>
        <v>#N/A</v>
      </c>
      <c r="O16" s="645" t="e">
        <f aca="false">(N16/M16)-1</f>
        <v>#N/A</v>
      </c>
    </row>
    <row r="17" customFormat="false" ht="12.75" hidden="false" customHeight="true" outlineLevel="0" collapsed="false">
      <c r="A17" s="641" t="s">
        <v>1046</v>
      </c>
      <c r="B17" s="642" t="s">
        <v>1018</v>
      </c>
      <c r="C17" s="642" t="s">
        <v>1047</v>
      </c>
      <c r="D17" s="642"/>
      <c r="E17" s="642"/>
      <c r="F17" s="642"/>
      <c r="G17" s="642"/>
      <c r="H17" s="642"/>
      <c r="I17" s="642"/>
      <c r="J17" s="642"/>
      <c r="K17" s="642"/>
      <c r="L17" s="642" t="s">
        <v>250</v>
      </c>
      <c r="M17" s="643" t="n">
        <v>79.67</v>
      </c>
      <c r="N17" s="644" t="e">
        <f aca="false">VLOOKUP(A17,'[1]2023.10 CPU´s'!U$1:AF$1048576,11,FALSE())</f>
        <v>#N/A</v>
      </c>
      <c r="O17" s="645" t="e">
        <f aca="false">(N17/M17)-1</f>
        <v>#N/A</v>
      </c>
    </row>
    <row r="18" customFormat="false" ht="12.75" hidden="false" customHeight="true" outlineLevel="0" collapsed="false">
      <c r="A18" s="641" t="s">
        <v>1048</v>
      </c>
      <c r="B18" s="642" t="s">
        <v>1018</v>
      </c>
      <c r="C18" s="642" t="s">
        <v>1049</v>
      </c>
      <c r="D18" s="642"/>
      <c r="E18" s="642"/>
      <c r="F18" s="642"/>
      <c r="G18" s="642"/>
      <c r="H18" s="642"/>
      <c r="I18" s="642"/>
      <c r="J18" s="642"/>
      <c r="K18" s="642"/>
      <c r="L18" s="642" t="s">
        <v>250</v>
      </c>
      <c r="M18" s="643" t="n">
        <v>54.13</v>
      </c>
      <c r="N18" s="644" t="e">
        <f aca="false">VLOOKUP(A18,'[1]2023.10 CPU´s'!U$1:AF$1048576,11,FALSE())</f>
        <v>#N/A</v>
      </c>
      <c r="O18" s="645" t="e">
        <f aca="false">(N18/M18)-1</f>
        <v>#N/A</v>
      </c>
    </row>
    <row r="19" customFormat="false" ht="12.75" hidden="false" customHeight="true" outlineLevel="0" collapsed="false">
      <c r="A19" s="641" t="s">
        <v>1050</v>
      </c>
      <c r="B19" s="642" t="s">
        <v>1018</v>
      </c>
      <c r="C19" s="642" t="s">
        <v>1051</v>
      </c>
      <c r="D19" s="642"/>
      <c r="E19" s="642"/>
      <c r="F19" s="642"/>
      <c r="G19" s="642"/>
      <c r="H19" s="642"/>
      <c r="I19" s="642"/>
      <c r="J19" s="642"/>
      <c r="K19" s="642"/>
      <c r="L19" s="642" t="s">
        <v>250</v>
      </c>
      <c r="M19" s="643" t="n">
        <v>82.06</v>
      </c>
      <c r="N19" s="644" t="e">
        <f aca="false">VLOOKUP(A19,'[1]2023.10 CPU´s'!U$1:AF$1048576,11,FALSE())</f>
        <v>#N/A</v>
      </c>
      <c r="O19" s="645" t="e">
        <f aca="false">(N19/M19)-1</f>
        <v>#N/A</v>
      </c>
    </row>
    <row r="20" customFormat="false" ht="12.75" hidden="false" customHeight="true" outlineLevel="0" collapsed="false">
      <c r="A20" s="641" t="s">
        <v>1052</v>
      </c>
      <c r="B20" s="642" t="s">
        <v>1018</v>
      </c>
      <c r="C20" s="642" t="s">
        <v>1053</v>
      </c>
      <c r="D20" s="642"/>
      <c r="E20" s="642"/>
      <c r="F20" s="642"/>
      <c r="G20" s="642"/>
      <c r="H20" s="642"/>
      <c r="I20" s="642"/>
      <c r="J20" s="642"/>
      <c r="K20" s="642"/>
      <c r="L20" s="642" t="s">
        <v>250</v>
      </c>
      <c r="M20" s="643" t="n">
        <v>9.39</v>
      </c>
      <c r="N20" s="644" t="e">
        <f aca="false">VLOOKUP(A20,'[1]2023.10 CPU´s'!U$1:AF$1048576,11,FALSE())</f>
        <v>#N/A</v>
      </c>
      <c r="O20" s="645" t="e">
        <f aca="false">(N20/M20)-1</f>
        <v>#N/A</v>
      </c>
    </row>
    <row r="21" customFormat="false" ht="12.75" hidden="false" customHeight="true" outlineLevel="0" collapsed="false">
      <c r="A21" s="636" t="s">
        <v>1054</v>
      </c>
      <c r="B21" s="637" t="s">
        <v>1018</v>
      </c>
      <c r="C21" s="637" t="s">
        <v>1055</v>
      </c>
      <c r="D21" s="637"/>
      <c r="E21" s="637"/>
      <c r="F21" s="637"/>
      <c r="G21" s="637"/>
      <c r="H21" s="637"/>
      <c r="I21" s="637"/>
      <c r="J21" s="637"/>
      <c r="K21" s="637"/>
      <c r="L21" s="638"/>
      <c r="M21" s="638"/>
      <c r="N21" s="639"/>
      <c r="O21" s="640"/>
    </row>
    <row r="22" customFormat="false" ht="12.75" hidden="false" customHeight="true" outlineLevel="0" collapsed="false">
      <c r="A22" s="641" t="s">
        <v>1056</v>
      </c>
      <c r="B22" s="642" t="s">
        <v>1018</v>
      </c>
      <c r="C22" s="642" t="s">
        <v>1057</v>
      </c>
      <c r="D22" s="642"/>
      <c r="E22" s="642"/>
      <c r="F22" s="642"/>
      <c r="G22" s="642"/>
      <c r="H22" s="642"/>
      <c r="I22" s="642"/>
      <c r="J22" s="642"/>
      <c r="K22" s="642"/>
      <c r="L22" s="642" t="s">
        <v>250</v>
      </c>
      <c r="M22" s="643" t="n">
        <v>25.28</v>
      </c>
      <c r="N22" s="644" t="e">
        <f aca="false">VLOOKUP(A22,'[1]2023.10 CPU´s'!U$1:AF$1048576,11,FALSE())</f>
        <v>#N/A</v>
      </c>
      <c r="O22" s="645" t="e">
        <f aca="false">(N22/M22)-1</f>
        <v>#N/A</v>
      </c>
    </row>
    <row r="23" customFormat="false" ht="12.75" hidden="false" customHeight="true" outlineLevel="0" collapsed="false">
      <c r="A23" s="641" t="s">
        <v>1058</v>
      </c>
      <c r="B23" s="642" t="s">
        <v>1018</v>
      </c>
      <c r="C23" s="642" t="s">
        <v>1059</v>
      </c>
      <c r="D23" s="642"/>
      <c r="E23" s="642"/>
      <c r="F23" s="642"/>
      <c r="G23" s="642"/>
      <c r="H23" s="642"/>
      <c r="I23" s="642"/>
      <c r="J23" s="642"/>
      <c r="K23" s="642"/>
      <c r="L23" s="642" t="s">
        <v>250</v>
      </c>
      <c r="M23" s="643" t="n">
        <v>23.23</v>
      </c>
      <c r="N23" s="644" t="e">
        <f aca="false">VLOOKUP(A23,'[1]2023.10 CPU´s'!U$1:AF$1048576,11,FALSE())</f>
        <v>#N/A</v>
      </c>
      <c r="O23" s="645" t="e">
        <f aca="false">(N23/M23)-1</f>
        <v>#N/A</v>
      </c>
    </row>
    <row r="24" customFormat="false" ht="12.75" hidden="false" customHeight="true" outlineLevel="0" collapsed="false">
      <c r="A24" s="636" t="s">
        <v>1060</v>
      </c>
      <c r="B24" s="637" t="s">
        <v>1018</v>
      </c>
      <c r="C24" s="637" t="s">
        <v>1061</v>
      </c>
      <c r="D24" s="637"/>
      <c r="E24" s="637"/>
      <c r="F24" s="637"/>
      <c r="G24" s="637"/>
      <c r="H24" s="637"/>
      <c r="I24" s="637"/>
      <c r="J24" s="637"/>
      <c r="K24" s="637"/>
      <c r="L24" s="638"/>
      <c r="M24" s="638"/>
      <c r="N24" s="639"/>
      <c r="O24" s="640"/>
    </row>
    <row r="25" customFormat="false" ht="12.75" hidden="false" customHeight="true" outlineLevel="0" collapsed="false">
      <c r="A25" s="641" t="s">
        <v>1062</v>
      </c>
      <c r="B25" s="642" t="s">
        <v>1018</v>
      </c>
      <c r="C25" s="642" t="s">
        <v>1063</v>
      </c>
      <c r="D25" s="642"/>
      <c r="E25" s="642"/>
      <c r="F25" s="642"/>
      <c r="G25" s="642"/>
      <c r="H25" s="642"/>
      <c r="I25" s="642"/>
      <c r="J25" s="642"/>
      <c r="K25" s="642"/>
      <c r="L25" s="642" t="s">
        <v>250</v>
      </c>
      <c r="M25" s="643" t="n">
        <v>35.75</v>
      </c>
      <c r="N25" s="644" t="e">
        <f aca="false">VLOOKUP(A25,'[1]2023.10 CPU´s'!U$1:AF$1048576,11,FALSE())</f>
        <v>#N/A</v>
      </c>
      <c r="O25" s="645" t="e">
        <f aca="false">(N25/M25)-1</f>
        <v>#N/A</v>
      </c>
    </row>
    <row r="26" customFormat="false" ht="12.75" hidden="false" customHeight="true" outlineLevel="0" collapsed="false">
      <c r="A26" s="641" t="s">
        <v>1064</v>
      </c>
      <c r="B26" s="642" t="s">
        <v>1018</v>
      </c>
      <c r="C26" s="642" t="s">
        <v>1065</v>
      </c>
      <c r="D26" s="642"/>
      <c r="E26" s="642"/>
      <c r="F26" s="642"/>
      <c r="G26" s="642"/>
      <c r="H26" s="642"/>
      <c r="I26" s="642"/>
      <c r="J26" s="642"/>
      <c r="K26" s="642"/>
      <c r="L26" s="642" t="s">
        <v>250</v>
      </c>
      <c r="M26" s="643" t="n">
        <v>32.05</v>
      </c>
      <c r="N26" s="644" t="e">
        <f aca="false">VLOOKUP(A26,'[1]2023.10 CPU´s'!U$1:AF$1048576,11,FALSE())</f>
        <v>#N/A</v>
      </c>
      <c r="O26" s="645" t="e">
        <f aca="false">(N26/M26)-1</f>
        <v>#N/A</v>
      </c>
    </row>
    <row r="27" customFormat="false" ht="12.75" hidden="false" customHeight="true" outlineLevel="0" collapsed="false">
      <c r="A27" s="641" t="s">
        <v>1066</v>
      </c>
      <c r="B27" s="642" t="s">
        <v>1018</v>
      </c>
      <c r="C27" s="642" t="s">
        <v>1067</v>
      </c>
      <c r="D27" s="642"/>
      <c r="E27" s="642"/>
      <c r="F27" s="642"/>
      <c r="G27" s="642"/>
      <c r="H27" s="642"/>
      <c r="I27" s="642"/>
      <c r="J27" s="642"/>
      <c r="K27" s="642"/>
      <c r="L27" s="642" t="s">
        <v>250</v>
      </c>
      <c r="M27" s="643" t="n">
        <v>28.74</v>
      </c>
      <c r="N27" s="644" t="e">
        <f aca="false">VLOOKUP(A27,'[1]2023.10 CPU´s'!U$1:AF$1048576,11,FALSE())</f>
        <v>#N/A</v>
      </c>
      <c r="O27" s="645" t="e">
        <f aca="false">(N27/M27)-1</f>
        <v>#N/A</v>
      </c>
    </row>
    <row r="28" customFormat="false" ht="12.75" hidden="false" customHeight="true" outlineLevel="0" collapsed="false">
      <c r="A28" s="641" t="s">
        <v>1068</v>
      </c>
      <c r="B28" s="642" t="s">
        <v>1018</v>
      </c>
      <c r="C28" s="642" t="s">
        <v>1069</v>
      </c>
      <c r="D28" s="642"/>
      <c r="E28" s="642"/>
      <c r="F28" s="642"/>
      <c r="G28" s="642"/>
      <c r="H28" s="642"/>
      <c r="I28" s="642"/>
      <c r="J28" s="642"/>
      <c r="K28" s="642"/>
      <c r="L28" s="642" t="s">
        <v>250</v>
      </c>
      <c r="M28" s="643" t="n">
        <v>35.75</v>
      </c>
      <c r="N28" s="644" t="e">
        <f aca="false">VLOOKUP(A28,'[1]2023.10 CPU´s'!U$1:AF$1048576,11,FALSE())</f>
        <v>#N/A</v>
      </c>
      <c r="O28" s="645" t="e">
        <f aca="false">(N28/M28)-1</f>
        <v>#N/A</v>
      </c>
    </row>
    <row r="29" customFormat="false" ht="12.75" hidden="false" customHeight="true" outlineLevel="0" collapsed="false">
      <c r="A29" s="636" t="s">
        <v>1070</v>
      </c>
      <c r="B29" s="637" t="s">
        <v>1018</v>
      </c>
      <c r="C29" s="637" t="s">
        <v>1071</v>
      </c>
      <c r="D29" s="637"/>
      <c r="E29" s="637"/>
      <c r="F29" s="637"/>
      <c r="G29" s="637"/>
      <c r="H29" s="637"/>
      <c r="I29" s="637"/>
      <c r="J29" s="637"/>
      <c r="K29" s="637"/>
      <c r="L29" s="638"/>
      <c r="M29" s="638"/>
      <c r="N29" s="639"/>
      <c r="O29" s="640"/>
    </row>
    <row r="30" customFormat="false" ht="12.75" hidden="false" customHeight="true" outlineLevel="0" collapsed="false">
      <c r="A30" s="641" t="s">
        <v>1072</v>
      </c>
      <c r="B30" s="642" t="s">
        <v>1018</v>
      </c>
      <c r="C30" s="642" t="s">
        <v>1073</v>
      </c>
      <c r="D30" s="642"/>
      <c r="E30" s="642"/>
      <c r="F30" s="642"/>
      <c r="G30" s="642"/>
      <c r="H30" s="642"/>
      <c r="I30" s="642"/>
      <c r="J30" s="642"/>
      <c r="K30" s="642"/>
      <c r="L30" s="642" t="s">
        <v>250</v>
      </c>
      <c r="M30" s="643" t="n">
        <v>35.75</v>
      </c>
      <c r="N30" s="644" t="e">
        <f aca="false">VLOOKUP(A30,'[1]2023.10 CPU´s'!U$1:AF$1048576,11,FALSE())</f>
        <v>#N/A</v>
      </c>
      <c r="O30" s="645" t="e">
        <f aca="false">(N30/M30)-1</f>
        <v>#N/A</v>
      </c>
    </row>
    <row r="31" customFormat="false" ht="12.75" hidden="false" customHeight="true" outlineLevel="0" collapsed="false">
      <c r="A31" s="641" t="s">
        <v>1074</v>
      </c>
      <c r="B31" s="642" t="s">
        <v>1018</v>
      </c>
      <c r="C31" s="642" t="s">
        <v>1075</v>
      </c>
      <c r="D31" s="642"/>
      <c r="E31" s="642"/>
      <c r="F31" s="642"/>
      <c r="G31" s="642"/>
      <c r="H31" s="642"/>
      <c r="I31" s="642"/>
      <c r="J31" s="642"/>
      <c r="K31" s="642"/>
      <c r="L31" s="642" t="s">
        <v>250</v>
      </c>
      <c r="M31" s="643" t="n">
        <v>32.05</v>
      </c>
      <c r="N31" s="644" t="e">
        <f aca="false">VLOOKUP(A31,'[1]2023.10 CPU´s'!U$1:AF$1048576,11,FALSE())</f>
        <v>#N/A</v>
      </c>
      <c r="O31" s="645" t="e">
        <f aca="false">(N31/M31)-1</f>
        <v>#N/A</v>
      </c>
    </row>
    <row r="32" customFormat="false" ht="12.75" hidden="false" customHeight="true" outlineLevel="0" collapsed="false">
      <c r="A32" s="641" t="s">
        <v>1076</v>
      </c>
      <c r="B32" s="642" t="s">
        <v>1018</v>
      </c>
      <c r="C32" s="642" t="s">
        <v>1077</v>
      </c>
      <c r="D32" s="642"/>
      <c r="E32" s="642"/>
      <c r="F32" s="642"/>
      <c r="G32" s="642"/>
      <c r="H32" s="642"/>
      <c r="I32" s="642"/>
      <c r="J32" s="642"/>
      <c r="K32" s="642"/>
      <c r="L32" s="642" t="s">
        <v>250</v>
      </c>
      <c r="M32" s="643" t="n">
        <v>28.74</v>
      </c>
      <c r="N32" s="644" t="e">
        <f aca="false">VLOOKUP(A32,'[1]2023.10 CPU´s'!U$1:AF$1048576,11,FALSE())</f>
        <v>#N/A</v>
      </c>
      <c r="O32" s="645" t="e">
        <f aca="false">(N32/M32)-1</f>
        <v>#N/A</v>
      </c>
    </row>
    <row r="33" customFormat="false" ht="12.75" hidden="false" customHeight="true" outlineLevel="0" collapsed="false">
      <c r="A33" s="636" t="s">
        <v>1078</v>
      </c>
      <c r="B33" s="637" t="s">
        <v>1018</v>
      </c>
      <c r="C33" s="637" t="s">
        <v>1079</v>
      </c>
      <c r="D33" s="637"/>
      <c r="E33" s="637"/>
      <c r="F33" s="637"/>
      <c r="G33" s="637"/>
      <c r="H33" s="637"/>
      <c r="I33" s="637"/>
      <c r="J33" s="637"/>
      <c r="K33" s="637"/>
      <c r="L33" s="638"/>
      <c r="M33" s="638"/>
      <c r="N33" s="639"/>
      <c r="O33" s="640"/>
    </row>
    <row r="34" customFormat="false" ht="12.75" hidden="false" customHeight="true" outlineLevel="0" collapsed="false">
      <c r="A34" s="641" t="s">
        <v>1080</v>
      </c>
      <c r="B34" s="642" t="s">
        <v>1018</v>
      </c>
      <c r="C34" s="642" t="s">
        <v>1081</v>
      </c>
      <c r="D34" s="642"/>
      <c r="E34" s="642"/>
      <c r="F34" s="642"/>
      <c r="G34" s="642"/>
      <c r="H34" s="642"/>
      <c r="I34" s="642"/>
      <c r="J34" s="642"/>
      <c r="K34" s="642"/>
      <c r="L34" s="642" t="s">
        <v>250</v>
      </c>
      <c r="M34" s="643" t="n">
        <v>32.05</v>
      </c>
      <c r="N34" s="644" t="e">
        <f aca="false">VLOOKUP(A34,'[1]2023.10 CPU´s'!U$1:AF$1048576,11,FALSE())</f>
        <v>#N/A</v>
      </c>
      <c r="O34" s="645" t="e">
        <f aca="false">(N34/M34)-1</f>
        <v>#N/A</v>
      </c>
    </row>
    <row r="35" customFormat="false" ht="12.75" hidden="false" customHeight="true" outlineLevel="0" collapsed="false">
      <c r="A35" s="641" t="s">
        <v>1082</v>
      </c>
      <c r="B35" s="642" t="s">
        <v>1018</v>
      </c>
      <c r="C35" s="642" t="s">
        <v>1083</v>
      </c>
      <c r="D35" s="642"/>
      <c r="E35" s="642"/>
      <c r="F35" s="642"/>
      <c r="G35" s="642"/>
      <c r="H35" s="642"/>
      <c r="I35" s="642"/>
      <c r="J35" s="642"/>
      <c r="K35" s="642"/>
      <c r="L35" s="642" t="s">
        <v>250</v>
      </c>
      <c r="M35" s="643" t="n">
        <v>28.74</v>
      </c>
      <c r="N35" s="644" t="e">
        <f aca="false">VLOOKUP(A35,'[1]2023.10 CPU´s'!U$1:AF$1048576,11,FALSE())</f>
        <v>#N/A</v>
      </c>
      <c r="O35" s="645" t="e">
        <f aca="false">(N35/M35)-1</f>
        <v>#N/A</v>
      </c>
    </row>
    <row r="36" customFormat="false" ht="12.75" hidden="false" customHeight="true" outlineLevel="0" collapsed="false">
      <c r="A36" s="641" t="s">
        <v>1084</v>
      </c>
      <c r="B36" s="642" t="s">
        <v>1018</v>
      </c>
      <c r="C36" s="642" t="s">
        <v>1085</v>
      </c>
      <c r="D36" s="642"/>
      <c r="E36" s="642"/>
      <c r="F36" s="642"/>
      <c r="G36" s="642"/>
      <c r="H36" s="642"/>
      <c r="I36" s="642"/>
      <c r="J36" s="642"/>
      <c r="K36" s="642"/>
      <c r="L36" s="642" t="s">
        <v>250</v>
      </c>
      <c r="M36" s="643" t="n">
        <v>20.39</v>
      </c>
      <c r="N36" s="644" t="e">
        <f aca="false">VLOOKUP(A36,'[1]2023.10 CPU´s'!U$1:AF$1048576,11,FALSE())</f>
        <v>#N/A</v>
      </c>
      <c r="O36" s="645" t="e">
        <f aca="false">(N36/M36)-1</f>
        <v>#N/A</v>
      </c>
    </row>
    <row r="37" customFormat="false" ht="12.75" hidden="false" customHeight="true" outlineLevel="0" collapsed="false">
      <c r="A37" s="636" t="s">
        <v>1086</v>
      </c>
      <c r="B37" s="637" t="s">
        <v>1018</v>
      </c>
      <c r="C37" s="637" t="s">
        <v>1087</v>
      </c>
      <c r="D37" s="637"/>
      <c r="E37" s="637"/>
      <c r="F37" s="637"/>
      <c r="G37" s="637"/>
      <c r="H37" s="637"/>
      <c r="I37" s="637"/>
      <c r="J37" s="637"/>
      <c r="K37" s="637"/>
      <c r="L37" s="638"/>
      <c r="M37" s="638"/>
      <c r="N37" s="639"/>
      <c r="O37" s="640"/>
    </row>
    <row r="38" customFormat="false" ht="12.75" hidden="false" customHeight="true" outlineLevel="0" collapsed="false">
      <c r="A38" s="641" t="s">
        <v>1088</v>
      </c>
      <c r="B38" s="642" t="s">
        <v>1018</v>
      </c>
      <c r="C38" s="642" t="s">
        <v>1089</v>
      </c>
      <c r="D38" s="642"/>
      <c r="E38" s="642"/>
      <c r="F38" s="642"/>
      <c r="G38" s="642"/>
      <c r="H38" s="642"/>
      <c r="I38" s="642"/>
      <c r="J38" s="642"/>
      <c r="K38" s="642"/>
      <c r="L38" s="642" t="s">
        <v>250</v>
      </c>
      <c r="M38" s="643" t="n">
        <v>24.89</v>
      </c>
      <c r="N38" s="644" t="e">
        <f aca="false">VLOOKUP(A38,'[1]2023.10 CPU´s'!U$1:AF$1048576,11,FALSE())</f>
        <v>#N/A</v>
      </c>
      <c r="O38" s="645" t="e">
        <f aca="false">(N38/M38)-1</f>
        <v>#N/A</v>
      </c>
    </row>
    <row r="39" customFormat="false" ht="12.75" hidden="false" customHeight="true" outlineLevel="0" collapsed="false">
      <c r="A39" s="641" t="s">
        <v>1090</v>
      </c>
      <c r="B39" s="642" t="s">
        <v>1018</v>
      </c>
      <c r="C39" s="642" t="s">
        <v>1091</v>
      </c>
      <c r="D39" s="642"/>
      <c r="E39" s="642"/>
      <c r="F39" s="642"/>
      <c r="G39" s="642"/>
      <c r="H39" s="642"/>
      <c r="I39" s="642"/>
      <c r="J39" s="642"/>
      <c r="K39" s="642"/>
      <c r="L39" s="642" t="s">
        <v>250</v>
      </c>
      <c r="M39" s="643" t="n">
        <v>22.64</v>
      </c>
      <c r="N39" s="644" t="e">
        <f aca="false">VLOOKUP(A39,'[1]2023.10 CPU´s'!U$1:AF$1048576,11,FALSE())</f>
        <v>#N/A</v>
      </c>
      <c r="O39" s="645" t="e">
        <f aca="false">(N39/M39)-1</f>
        <v>#N/A</v>
      </c>
    </row>
    <row r="40" customFormat="false" ht="12.75" hidden="false" customHeight="true" outlineLevel="0" collapsed="false">
      <c r="A40" s="641" t="s">
        <v>1092</v>
      </c>
      <c r="B40" s="642" t="s">
        <v>1018</v>
      </c>
      <c r="C40" s="642" t="s">
        <v>1093</v>
      </c>
      <c r="D40" s="642"/>
      <c r="E40" s="642"/>
      <c r="F40" s="642"/>
      <c r="G40" s="642"/>
      <c r="H40" s="642"/>
      <c r="I40" s="642"/>
      <c r="J40" s="642"/>
      <c r="K40" s="642"/>
      <c r="L40" s="642" t="s">
        <v>250</v>
      </c>
      <c r="M40" s="643" t="n">
        <v>20.39</v>
      </c>
      <c r="N40" s="644" t="e">
        <f aca="false">VLOOKUP(A40,'[1]2023.10 CPU´s'!U$1:AF$1048576,11,FALSE())</f>
        <v>#N/A</v>
      </c>
      <c r="O40" s="645" t="e">
        <f aca="false">(N40/M40)-1</f>
        <v>#N/A</v>
      </c>
    </row>
    <row r="41" customFormat="false" ht="12.75" hidden="false" customHeight="true" outlineLevel="0" collapsed="false">
      <c r="A41" s="636" t="s">
        <v>1094</v>
      </c>
      <c r="B41" s="637" t="s">
        <v>1018</v>
      </c>
      <c r="C41" s="637" t="s">
        <v>1095</v>
      </c>
      <c r="D41" s="637"/>
      <c r="E41" s="637"/>
      <c r="F41" s="637"/>
      <c r="G41" s="637"/>
      <c r="H41" s="637"/>
      <c r="I41" s="637"/>
      <c r="J41" s="637"/>
      <c r="K41" s="637"/>
      <c r="L41" s="638"/>
      <c r="M41" s="638"/>
      <c r="N41" s="639"/>
      <c r="O41" s="640"/>
    </row>
    <row r="42" customFormat="false" ht="12.75" hidden="false" customHeight="true" outlineLevel="0" collapsed="false">
      <c r="A42" s="641" t="s">
        <v>1096</v>
      </c>
      <c r="B42" s="642" t="s">
        <v>1018</v>
      </c>
      <c r="C42" s="642" t="s">
        <v>1023</v>
      </c>
      <c r="D42" s="642"/>
      <c r="E42" s="642"/>
      <c r="F42" s="642"/>
      <c r="G42" s="642"/>
      <c r="H42" s="642"/>
      <c r="I42" s="642"/>
      <c r="J42" s="642"/>
      <c r="K42" s="642"/>
      <c r="L42" s="642" t="s">
        <v>250</v>
      </c>
      <c r="M42" s="643" t="n">
        <v>157.2</v>
      </c>
      <c r="N42" s="644" t="e">
        <f aca="false">VLOOKUP(A42,'[1]2023.10 CPU´s'!U$1:AF$1048576,11,FALSE())</f>
        <v>#N/A</v>
      </c>
      <c r="O42" s="645" t="e">
        <f aca="false">(N42/M42)-1</f>
        <v>#N/A</v>
      </c>
    </row>
    <row r="43" customFormat="false" ht="12.75" hidden="false" customHeight="true" outlineLevel="0" collapsed="false">
      <c r="A43" s="641" t="s">
        <v>1097</v>
      </c>
      <c r="B43" s="642" t="s">
        <v>1018</v>
      </c>
      <c r="C43" s="642" t="s">
        <v>1025</v>
      </c>
      <c r="D43" s="642"/>
      <c r="E43" s="642"/>
      <c r="F43" s="642"/>
      <c r="G43" s="642"/>
      <c r="H43" s="642"/>
      <c r="I43" s="642"/>
      <c r="J43" s="642"/>
      <c r="K43" s="642"/>
      <c r="L43" s="642" t="s">
        <v>250</v>
      </c>
      <c r="M43" s="643" t="n">
        <v>142.5</v>
      </c>
      <c r="N43" s="644" t="e">
        <f aca="false">VLOOKUP(A43,'[1]2023.10 CPU´s'!U$1:AF$1048576,11,FALSE())</f>
        <v>#N/A</v>
      </c>
      <c r="O43" s="645" t="e">
        <f aca="false">(N43/M43)-1</f>
        <v>#N/A</v>
      </c>
    </row>
    <row r="44" customFormat="false" ht="12.75" hidden="false" customHeight="true" outlineLevel="0" collapsed="false">
      <c r="A44" s="641" t="s">
        <v>1098</v>
      </c>
      <c r="B44" s="642" t="s">
        <v>1018</v>
      </c>
      <c r="C44" s="642" t="s">
        <v>1027</v>
      </c>
      <c r="D44" s="642"/>
      <c r="E44" s="642"/>
      <c r="F44" s="642"/>
      <c r="G44" s="642"/>
      <c r="H44" s="642"/>
      <c r="I44" s="642"/>
      <c r="J44" s="642"/>
      <c r="K44" s="642"/>
      <c r="L44" s="642" t="s">
        <v>250</v>
      </c>
      <c r="M44" s="643" t="n">
        <v>127.79</v>
      </c>
      <c r="N44" s="644" t="e">
        <f aca="false">VLOOKUP(A44,'[1]2023.10 CPU´s'!U$1:AF$1048576,11,FALSE())</f>
        <v>#N/A</v>
      </c>
      <c r="O44" s="645" t="e">
        <f aca="false">(N44/M44)-1</f>
        <v>#N/A</v>
      </c>
    </row>
    <row r="45" customFormat="false" ht="12.75" hidden="false" customHeight="true" outlineLevel="0" collapsed="false">
      <c r="A45" s="641" t="s">
        <v>1099</v>
      </c>
      <c r="B45" s="642" t="s">
        <v>1018</v>
      </c>
      <c r="C45" s="642" t="s">
        <v>1029</v>
      </c>
      <c r="D45" s="642"/>
      <c r="E45" s="642"/>
      <c r="F45" s="642"/>
      <c r="G45" s="642"/>
      <c r="H45" s="642"/>
      <c r="I45" s="642"/>
      <c r="J45" s="642"/>
      <c r="K45" s="642"/>
      <c r="L45" s="642" t="s">
        <v>250</v>
      </c>
      <c r="M45" s="643" t="n">
        <v>113.08</v>
      </c>
      <c r="N45" s="644" t="e">
        <f aca="false">VLOOKUP(A45,'[1]2023.10 CPU´s'!U$1:AF$1048576,11,FALSE())</f>
        <v>#N/A</v>
      </c>
      <c r="O45" s="645" t="e">
        <f aca="false">(N45/M45)-1</f>
        <v>#N/A</v>
      </c>
    </row>
    <row r="46" customFormat="false" ht="12.75" hidden="false" customHeight="true" outlineLevel="0" collapsed="false">
      <c r="A46" s="641" t="s">
        <v>1100</v>
      </c>
      <c r="B46" s="642" t="s">
        <v>1018</v>
      </c>
      <c r="C46" s="642" t="s">
        <v>1031</v>
      </c>
      <c r="D46" s="642"/>
      <c r="E46" s="642"/>
      <c r="F46" s="642"/>
      <c r="G46" s="642"/>
      <c r="H46" s="642"/>
      <c r="I46" s="642"/>
      <c r="J46" s="642"/>
      <c r="K46" s="642"/>
      <c r="L46" s="642" t="s">
        <v>250</v>
      </c>
      <c r="M46" s="643" t="n">
        <v>101.38</v>
      </c>
      <c r="N46" s="644" t="e">
        <f aca="false">VLOOKUP(A46,'[1]2023.10 CPU´s'!U$1:AF$1048576,11,FALSE())</f>
        <v>#N/A</v>
      </c>
      <c r="O46" s="645" t="e">
        <f aca="false">(N46/M46)-1</f>
        <v>#N/A</v>
      </c>
    </row>
    <row r="47" customFormat="false" ht="12.75" hidden="false" customHeight="true" outlineLevel="0" collapsed="false">
      <c r="A47" s="641" t="s">
        <v>1101</v>
      </c>
      <c r="B47" s="642" t="s">
        <v>1018</v>
      </c>
      <c r="C47" s="642" t="s">
        <v>1033</v>
      </c>
      <c r="D47" s="642"/>
      <c r="E47" s="642"/>
      <c r="F47" s="642"/>
      <c r="G47" s="642"/>
      <c r="H47" s="642"/>
      <c r="I47" s="642"/>
      <c r="J47" s="642"/>
      <c r="K47" s="642"/>
      <c r="L47" s="642" t="s">
        <v>250</v>
      </c>
      <c r="M47" s="643" t="n">
        <v>72.43</v>
      </c>
      <c r="N47" s="644" t="e">
        <f aca="false">VLOOKUP(A47,'[1]2023.10 CPU´s'!U$1:AF$1048576,11,FALSE())</f>
        <v>#N/A</v>
      </c>
      <c r="O47" s="645" t="e">
        <f aca="false">(N47/M47)-1</f>
        <v>#N/A</v>
      </c>
    </row>
    <row r="48" customFormat="false" ht="12.75" hidden="false" customHeight="true" outlineLevel="0" collapsed="false">
      <c r="A48" s="641" t="s">
        <v>1102</v>
      </c>
      <c r="B48" s="642" t="s">
        <v>1018</v>
      </c>
      <c r="C48" s="642" t="s">
        <v>1037</v>
      </c>
      <c r="D48" s="642"/>
      <c r="E48" s="642"/>
      <c r="F48" s="642"/>
      <c r="G48" s="642"/>
      <c r="H48" s="642"/>
      <c r="I48" s="642"/>
      <c r="J48" s="642"/>
      <c r="K48" s="642"/>
      <c r="L48" s="642" t="s">
        <v>250</v>
      </c>
      <c r="M48" s="643" t="n">
        <v>157.2</v>
      </c>
      <c r="N48" s="644" t="e">
        <f aca="false">VLOOKUP(A48,'[1]2023.10 CPU´s'!U$1:AF$1048576,11,FALSE())</f>
        <v>#N/A</v>
      </c>
      <c r="O48" s="645" t="e">
        <f aca="false">(N48/M48)-1</f>
        <v>#N/A</v>
      </c>
    </row>
    <row r="49" customFormat="false" ht="12.75" hidden="false" customHeight="true" outlineLevel="0" collapsed="false">
      <c r="A49" s="641" t="s">
        <v>1103</v>
      </c>
      <c r="B49" s="642" t="s">
        <v>1018</v>
      </c>
      <c r="C49" s="642" t="s">
        <v>1039</v>
      </c>
      <c r="D49" s="642"/>
      <c r="E49" s="642"/>
      <c r="F49" s="642"/>
      <c r="G49" s="642"/>
      <c r="H49" s="642"/>
      <c r="I49" s="642"/>
      <c r="J49" s="642"/>
      <c r="K49" s="642"/>
      <c r="L49" s="642" t="s">
        <v>250</v>
      </c>
      <c r="M49" s="643" t="n">
        <v>142.5</v>
      </c>
      <c r="N49" s="644" t="e">
        <f aca="false">VLOOKUP(A49,'[1]2023.10 CPU´s'!U$1:AF$1048576,11,FALSE())</f>
        <v>#N/A</v>
      </c>
      <c r="O49" s="645" t="e">
        <f aca="false">(N49/M49)-1</f>
        <v>#N/A</v>
      </c>
    </row>
    <row r="50" customFormat="false" ht="12.75" hidden="false" customHeight="true" outlineLevel="0" collapsed="false">
      <c r="A50" s="641" t="s">
        <v>1104</v>
      </c>
      <c r="B50" s="642" t="s">
        <v>1018</v>
      </c>
      <c r="C50" s="642" t="s">
        <v>1041</v>
      </c>
      <c r="D50" s="642"/>
      <c r="E50" s="642"/>
      <c r="F50" s="642"/>
      <c r="G50" s="642"/>
      <c r="H50" s="642"/>
      <c r="I50" s="642"/>
      <c r="J50" s="642"/>
      <c r="K50" s="642"/>
      <c r="L50" s="642" t="s">
        <v>250</v>
      </c>
      <c r="M50" s="643" t="n">
        <v>127.79</v>
      </c>
      <c r="N50" s="644" t="e">
        <f aca="false">VLOOKUP(A50,'[1]2023.10 CPU´s'!U$1:AF$1048576,11,FALSE())</f>
        <v>#N/A</v>
      </c>
      <c r="O50" s="645" t="e">
        <f aca="false">(N50/M50)-1</f>
        <v>#N/A</v>
      </c>
    </row>
    <row r="51" customFormat="false" ht="12.75" hidden="false" customHeight="true" outlineLevel="0" collapsed="false">
      <c r="A51" s="641" t="s">
        <v>1105</v>
      </c>
      <c r="B51" s="642" t="s">
        <v>1018</v>
      </c>
      <c r="C51" s="642" t="s">
        <v>1043</v>
      </c>
      <c r="D51" s="642"/>
      <c r="E51" s="642"/>
      <c r="F51" s="642"/>
      <c r="G51" s="642"/>
      <c r="H51" s="642"/>
      <c r="I51" s="642"/>
      <c r="J51" s="642"/>
      <c r="K51" s="642"/>
      <c r="L51" s="642" t="s">
        <v>250</v>
      </c>
      <c r="M51" s="643" t="n">
        <v>113.08</v>
      </c>
      <c r="N51" s="644" t="e">
        <f aca="false">VLOOKUP(A51,'[1]2023.10 CPU´s'!U$1:AF$1048576,11,FALSE())</f>
        <v>#N/A</v>
      </c>
      <c r="O51" s="645" t="e">
        <f aca="false">(N51/M51)-1</f>
        <v>#N/A</v>
      </c>
    </row>
    <row r="52" customFormat="false" ht="12.75" hidden="false" customHeight="true" outlineLevel="0" collapsed="false">
      <c r="A52" s="641" t="s">
        <v>1106</v>
      </c>
      <c r="B52" s="642" t="s">
        <v>1018</v>
      </c>
      <c r="C52" s="642" t="s">
        <v>1045</v>
      </c>
      <c r="D52" s="642"/>
      <c r="E52" s="642"/>
      <c r="F52" s="642"/>
      <c r="G52" s="642"/>
      <c r="H52" s="642"/>
      <c r="I52" s="642"/>
      <c r="J52" s="642"/>
      <c r="K52" s="642"/>
      <c r="L52" s="642" t="s">
        <v>250</v>
      </c>
      <c r="M52" s="643" t="n">
        <v>101.38</v>
      </c>
      <c r="N52" s="644" t="e">
        <f aca="false">VLOOKUP(A52,'[1]2023.10 CPU´s'!U$1:AF$1048576,11,FALSE())</f>
        <v>#N/A</v>
      </c>
      <c r="O52" s="645" t="e">
        <f aca="false">(N52/M52)-1</f>
        <v>#N/A</v>
      </c>
    </row>
    <row r="53" customFormat="false" ht="12.75" hidden="false" customHeight="true" outlineLevel="0" collapsed="false">
      <c r="A53" s="641" t="s">
        <v>1107</v>
      </c>
      <c r="B53" s="642" t="s">
        <v>1018</v>
      </c>
      <c r="C53" s="642" t="s">
        <v>1047</v>
      </c>
      <c r="D53" s="642"/>
      <c r="E53" s="642"/>
      <c r="F53" s="642"/>
      <c r="G53" s="642"/>
      <c r="H53" s="642"/>
      <c r="I53" s="642"/>
      <c r="J53" s="642"/>
      <c r="K53" s="642"/>
      <c r="L53" s="642" t="s">
        <v>250</v>
      </c>
      <c r="M53" s="643" t="n">
        <v>72.43</v>
      </c>
      <c r="N53" s="644" t="e">
        <f aca="false">VLOOKUP(A53,'[1]2023.10 CPU´s'!U$1:AF$1048576,11,FALSE())</f>
        <v>#N/A</v>
      </c>
      <c r="O53" s="645" t="e">
        <f aca="false">(N53/M53)-1</f>
        <v>#N/A</v>
      </c>
    </row>
    <row r="54" customFormat="false" ht="12.75" hidden="false" customHeight="true" outlineLevel="0" collapsed="false">
      <c r="A54" s="636" t="s">
        <v>1108</v>
      </c>
      <c r="B54" s="637" t="s">
        <v>1018</v>
      </c>
      <c r="C54" s="637" t="s">
        <v>1055</v>
      </c>
      <c r="D54" s="637"/>
      <c r="E54" s="637"/>
      <c r="F54" s="637"/>
      <c r="G54" s="637"/>
      <c r="H54" s="637"/>
      <c r="I54" s="637"/>
      <c r="J54" s="637"/>
      <c r="K54" s="637"/>
      <c r="L54" s="638"/>
      <c r="M54" s="638"/>
      <c r="N54" s="639"/>
      <c r="O54" s="640"/>
    </row>
    <row r="55" customFormat="false" ht="12.75" hidden="false" customHeight="true" outlineLevel="0" collapsed="false">
      <c r="A55" s="641" t="s">
        <v>1109</v>
      </c>
      <c r="B55" s="642" t="s">
        <v>1018</v>
      </c>
      <c r="C55" s="642" t="s">
        <v>1110</v>
      </c>
      <c r="D55" s="642"/>
      <c r="E55" s="642"/>
      <c r="F55" s="642"/>
      <c r="G55" s="642"/>
      <c r="H55" s="642"/>
      <c r="I55" s="642"/>
      <c r="J55" s="642"/>
      <c r="K55" s="642"/>
      <c r="L55" s="642" t="s">
        <v>250</v>
      </c>
      <c r="M55" s="643" t="n">
        <v>22.98</v>
      </c>
      <c r="N55" s="644" t="e">
        <f aca="false">VLOOKUP(A55,'[1]2023.10 CPU´s'!U$1:AF$1048576,11,FALSE())</f>
        <v>#N/A</v>
      </c>
      <c r="O55" s="645" t="e">
        <f aca="false">(N55/M55)-1</f>
        <v>#N/A</v>
      </c>
    </row>
    <row r="56" customFormat="false" ht="12.75" hidden="false" customHeight="true" outlineLevel="0" collapsed="false">
      <c r="A56" s="641" t="s">
        <v>1111</v>
      </c>
      <c r="B56" s="642" t="s">
        <v>1018</v>
      </c>
      <c r="C56" s="642" t="s">
        <v>1112</v>
      </c>
      <c r="D56" s="642"/>
      <c r="E56" s="642"/>
      <c r="F56" s="642"/>
      <c r="G56" s="642"/>
      <c r="H56" s="642"/>
      <c r="I56" s="642"/>
      <c r="J56" s="642"/>
      <c r="K56" s="642"/>
      <c r="L56" s="642" t="s">
        <v>250</v>
      </c>
      <c r="M56" s="643" t="n">
        <v>21.12</v>
      </c>
      <c r="N56" s="644" t="e">
        <f aca="false">VLOOKUP(A56,'[1]2023.10 CPU´s'!U$1:AF$1048576,11,FALSE())</f>
        <v>#N/A</v>
      </c>
      <c r="O56" s="645" t="e">
        <f aca="false">(N56/M56)-1</f>
        <v>#N/A</v>
      </c>
    </row>
    <row r="57" customFormat="false" ht="12.75" hidden="false" customHeight="true" outlineLevel="0" collapsed="false">
      <c r="A57" s="636" t="s">
        <v>1113</v>
      </c>
      <c r="B57" s="637" t="s">
        <v>1018</v>
      </c>
      <c r="C57" s="637" t="s">
        <v>1114</v>
      </c>
      <c r="D57" s="637"/>
      <c r="E57" s="637"/>
      <c r="F57" s="637"/>
      <c r="G57" s="637"/>
      <c r="H57" s="637"/>
      <c r="I57" s="637"/>
      <c r="J57" s="637"/>
      <c r="K57" s="637"/>
      <c r="L57" s="638"/>
      <c r="M57" s="638"/>
      <c r="N57" s="639"/>
      <c r="O57" s="640"/>
    </row>
    <row r="58" customFormat="false" ht="12.75" hidden="false" customHeight="true" outlineLevel="0" collapsed="false">
      <c r="A58" s="641" t="s">
        <v>1115</v>
      </c>
      <c r="B58" s="642" t="s">
        <v>1018</v>
      </c>
      <c r="C58" s="642" t="s">
        <v>1073</v>
      </c>
      <c r="D58" s="642"/>
      <c r="E58" s="642"/>
      <c r="F58" s="642"/>
      <c r="G58" s="642"/>
      <c r="H58" s="642"/>
      <c r="I58" s="642"/>
      <c r="J58" s="642"/>
      <c r="K58" s="642"/>
      <c r="L58" s="642" t="s">
        <v>250</v>
      </c>
      <c r="M58" s="643" t="n">
        <v>32.5</v>
      </c>
      <c r="N58" s="644" t="e">
        <f aca="false">VLOOKUP(A58,'[1]2023.10 CPU´s'!U$1:AF$1048576,11,FALSE())</f>
        <v>#N/A</v>
      </c>
      <c r="O58" s="645" t="e">
        <f aca="false">(N58/M58)-1</f>
        <v>#N/A</v>
      </c>
    </row>
    <row r="59" customFormat="false" ht="12.75" hidden="false" customHeight="true" outlineLevel="0" collapsed="false">
      <c r="A59" s="641" t="s">
        <v>1116</v>
      </c>
      <c r="B59" s="642" t="s">
        <v>1018</v>
      </c>
      <c r="C59" s="642" t="s">
        <v>1075</v>
      </c>
      <c r="D59" s="642"/>
      <c r="E59" s="642"/>
      <c r="F59" s="642"/>
      <c r="G59" s="642"/>
      <c r="H59" s="642"/>
      <c r="I59" s="642"/>
      <c r="J59" s="642"/>
      <c r="K59" s="642"/>
      <c r="L59" s="642" t="s">
        <v>250</v>
      </c>
      <c r="M59" s="643" t="n">
        <v>29.14</v>
      </c>
      <c r="N59" s="644" t="e">
        <f aca="false">VLOOKUP(A59,'[1]2023.10 CPU´s'!U$1:AF$1048576,11,FALSE())</f>
        <v>#N/A</v>
      </c>
      <c r="O59" s="645" t="e">
        <f aca="false">(N59/M59)-1</f>
        <v>#N/A</v>
      </c>
    </row>
    <row r="60" customFormat="false" ht="12.75" hidden="false" customHeight="true" outlineLevel="0" collapsed="false">
      <c r="A60" s="641" t="s">
        <v>1117</v>
      </c>
      <c r="B60" s="642" t="s">
        <v>1018</v>
      </c>
      <c r="C60" s="642" t="s">
        <v>1077</v>
      </c>
      <c r="D60" s="642"/>
      <c r="E60" s="642"/>
      <c r="F60" s="642"/>
      <c r="G60" s="642"/>
      <c r="H60" s="642"/>
      <c r="I60" s="642"/>
      <c r="J60" s="642"/>
      <c r="K60" s="642"/>
      <c r="L60" s="642" t="s">
        <v>250</v>
      </c>
      <c r="M60" s="643" t="n">
        <v>26.12</v>
      </c>
      <c r="N60" s="644" t="e">
        <f aca="false">VLOOKUP(A60,'[1]2023.10 CPU´s'!U$1:AF$1048576,11,FALSE())</f>
        <v>#N/A</v>
      </c>
      <c r="O60" s="645" t="e">
        <f aca="false">(N60/M60)-1</f>
        <v>#N/A</v>
      </c>
    </row>
    <row r="61" customFormat="false" ht="12.75" hidden="false" customHeight="true" outlineLevel="0" collapsed="false">
      <c r="A61" s="636" t="s">
        <v>1118</v>
      </c>
      <c r="B61" s="637" t="s">
        <v>1018</v>
      </c>
      <c r="C61" s="637" t="s">
        <v>1119</v>
      </c>
      <c r="D61" s="637"/>
      <c r="E61" s="637"/>
      <c r="F61" s="637"/>
      <c r="G61" s="637"/>
      <c r="H61" s="637"/>
      <c r="I61" s="637"/>
      <c r="J61" s="637"/>
      <c r="K61" s="637"/>
      <c r="L61" s="638"/>
      <c r="M61" s="638"/>
      <c r="N61" s="639"/>
      <c r="O61" s="640"/>
    </row>
    <row r="62" customFormat="false" ht="12.75" hidden="false" customHeight="true" outlineLevel="0" collapsed="false">
      <c r="A62" s="641" t="s">
        <v>1120</v>
      </c>
      <c r="B62" s="642" t="s">
        <v>1018</v>
      </c>
      <c r="C62" s="642" t="s">
        <v>1081</v>
      </c>
      <c r="D62" s="642"/>
      <c r="E62" s="642"/>
      <c r="F62" s="642"/>
      <c r="G62" s="642"/>
      <c r="H62" s="642"/>
      <c r="I62" s="642"/>
      <c r="J62" s="642"/>
      <c r="K62" s="642"/>
      <c r="L62" s="642" t="s">
        <v>250</v>
      </c>
      <c r="M62" s="643" t="n">
        <v>29.14</v>
      </c>
      <c r="N62" s="644" t="e">
        <f aca="false">VLOOKUP(A62,'[1]2023.10 CPU´s'!U$1:AF$1048576,11,FALSE())</f>
        <v>#N/A</v>
      </c>
      <c r="O62" s="645" t="e">
        <f aca="false">(N62/M62)-1</f>
        <v>#N/A</v>
      </c>
    </row>
    <row r="63" customFormat="false" ht="12.75" hidden="false" customHeight="true" outlineLevel="0" collapsed="false">
      <c r="A63" s="641" t="s">
        <v>1121</v>
      </c>
      <c r="B63" s="642" t="s">
        <v>1018</v>
      </c>
      <c r="C63" s="642" t="s">
        <v>1083</v>
      </c>
      <c r="D63" s="642"/>
      <c r="E63" s="642"/>
      <c r="F63" s="642"/>
      <c r="G63" s="642"/>
      <c r="H63" s="642"/>
      <c r="I63" s="642"/>
      <c r="J63" s="642"/>
      <c r="K63" s="642"/>
      <c r="L63" s="642" t="s">
        <v>250</v>
      </c>
      <c r="M63" s="643" t="n">
        <v>26.12</v>
      </c>
      <c r="N63" s="644" t="e">
        <f aca="false">VLOOKUP(A63,'[1]2023.10 CPU´s'!U$1:AF$1048576,11,FALSE())</f>
        <v>#N/A</v>
      </c>
      <c r="O63" s="645" t="e">
        <f aca="false">(N63/M63)-1</f>
        <v>#N/A</v>
      </c>
    </row>
    <row r="64" customFormat="false" ht="12.75" hidden="false" customHeight="true" outlineLevel="0" collapsed="false">
      <c r="A64" s="641" t="s">
        <v>1122</v>
      </c>
      <c r="B64" s="642" t="s">
        <v>1018</v>
      </c>
      <c r="C64" s="642" t="s">
        <v>1085</v>
      </c>
      <c r="D64" s="642"/>
      <c r="E64" s="642"/>
      <c r="F64" s="642"/>
      <c r="G64" s="642"/>
      <c r="H64" s="642"/>
      <c r="I64" s="642"/>
      <c r="J64" s="642"/>
      <c r="K64" s="642"/>
      <c r="L64" s="642" t="s">
        <v>250</v>
      </c>
      <c r="M64" s="643" t="n">
        <v>18.53</v>
      </c>
      <c r="N64" s="644" t="e">
        <f aca="false">VLOOKUP(A64,'[1]2023.10 CPU´s'!U$1:AF$1048576,11,FALSE())</f>
        <v>#N/A</v>
      </c>
      <c r="O64" s="645" t="e">
        <f aca="false">(N64/M64)-1</f>
        <v>#N/A</v>
      </c>
    </row>
    <row r="65" customFormat="false" ht="12.75" hidden="false" customHeight="true" outlineLevel="0" collapsed="false">
      <c r="A65" s="636" t="s">
        <v>1123</v>
      </c>
      <c r="B65" s="637" t="s">
        <v>1018</v>
      </c>
      <c r="C65" s="637" t="s">
        <v>1124</v>
      </c>
      <c r="D65" s="637"/>
      <c r="E65" s="637"/>
      <c r="F65" s="637"/>
      <c r="G65" s="637"/>
      <c r="H65" s="637"/>
      <c r="I65" s="637"/>
      <c r="J65" s="637"/>
      <c r="K65" s="637"/>
      <c r="L65" s="638"/>
      <c r="M65" s="638"/>
      <c r="N65" s="639"/>
      <c r="O65" s="640"/>
    </row>
    <row r="66" customFormat="false" ht="12.75" hidden="false" customHeight="true" outlineLevel="0" collapsed="false">
      <c r="A66" s="641" t="s">
        <v>1125</v>
      </c>
      <c r="B66" s="642" t="s">
        <v>1018</v>
      </c>
      <c r="C66" s="642" t="s">
        <v>1126</v>
      </c>
      <c r="D66" s="642"/>
      <c r="E66" s="642"/>
      <c r="F66" s="642"/>
      <c r="G66" s="642"/>
      <c r="H66" s="642"/>
      <c r="I66" s="642"/>
      <c r="J66" s="642"/>
      <c r="K66" s="642"/>
      <c r="L66" s="642" t="s">
        <v>250</v>
      </c>
      <c r="M66" s="643" t="n">
        <v>32.95</v>
      </c>
      <c r="N66" s="644" t="e">
        <f aca="false">VLOOKUP(A66,'[1]2023.10 CPU´s'!U$1:AF$1048576,11,FALSE())</f>
        <v>#N/A</v>
      </c>
      <c r="O66" s="645" t="e">
        <f aca="false">(N66/M66)-1</f>
        <v>#N/A</v>
      </c>
    </row>
    <row r="67" customFormat="false" ht="12.75" hidden="false" customHeight="true" outlineLevel="0" collapsed="false">
      <c r="A67" s="641" t="s">
        <v>1127</v>
      </c>
      <c r="B67" s="642" t="s">
        <v>1018</v>
      </c>
      <c r="C67" s="642" t="s">
        <v>1128</v>
      </c>
      <c r="D67" s="642"/>
      <c r="E67" s="642"/>
      <c r="F67" s="642"/>
      <c r="G67" s="642"/>
      <c r="H67" s="642"/>
      <c r="I67" s="642"/>
      <c r="J67" s="642"/>
      <c r="K67" s="642"/>
      <c r="L67" s="642" t="s">
        <v>250</v>
      </c>
      <c r="M67" s="643" t="n">
        <v>29.71</v>
      </c>
      <c r="N67" s="644" t="e">
        <f aca="false">VLOOKUP(A67,'[1]2023.10 CPU´s'!U$1:AF$1048576,11,FALSE())</f>
        <v>#N/A</v>
      </c>
      <c r="O67" s="645" t="e">
        <f aca="false">(N67/M67)-1</f>
        <v>#N/A</v>
      </c>
    </row>
    <row r="68" customFormat="false" ht="12.75" hidden="false" customHeight="true" outlineLevel="0" collapsed="false">
      <c r="A68" s="641" t="s">
        <v>1129</v>
      </c>
      <c r="B68" s="642" t="s">
        <v>1018</v>
      </c>
      <c r="C68" s="642" t="s">
        <v>1130</v>
      </c>
      <c r="D68" s="642"/>
      <c r="E68" s="642"/>
      <c r="F68" s="642"/>
      <c r="G68" s="642"/>
      <c r="H68" s="642"/>
      <c r="I68" s="642"/>
      <c r="J68" s="642"/>
      <c r="K68" s="642"/>
      <c r="L68" s="642" t="s">
        <v>250</v>
      </c>
      <c r="M68" s="643" t="n">
        <v>26.47</v>
      </c>
      <c r="N68" s="644" t="e">
        <f aca="false">VLOOKUP(A68,'[1]2023.10 CPU´s'!U$1:AF$1048576,11,FALSE())</f>
        <v>#N/A</v>
      </c>
      <c r="O68" s="645" t="e">
        <f aca="false">(N68/M68)-1</f>
        <v>#N/A</v>
      </c>
    </row>
    <row r="69" customFormat="false" ht="12.75" hidden="false" customHeight="true" outlineLevel="0" collapsed="false">
      <c r="A69" s="641" t="s">
        <v>1131</v>
      </c>
      <c r="B69" s="642" t="s">
        <v>1018</v>
      </c>
      <c r="C69" s="642" t="s">
        <v>1132</v>
      </c>
      <c r="D69" s="642"/>
      <c r="E69" s="642"/>
      <c r="F69" s="642"/>
      <c r="G69" s="642"/>
      <c r="H69" s="642"/>
      <c r="I69" s="642"/>
      <c r="J69" s="642"/>
      <c r="K69" s="642"/>
      <c r="L69" s="642" t="s">
        <v>250</v>
      </c>
      <c r="M69" s="643" t="n">
        <v>26.12</v>
      </c>
      <c r="N69" s="644" t="e">
        <f aca="false">VLOOKUP(A69,'[1]2023.10 CPU´s'!U$1:AF$1048576,11,FALSE())</f>
        <v>#N/A</v>
      </c>
      <c r="O69" s="645" t="e">
        <f aca="false">(N69/M69)-1</f>
        <v>#N/A</v>
      </c>
    </row>
    <row r="70" customFormat="false" ht="12.75" hidden="false" customHeight="true" outlineLevel="0" collapsed="false">
      <c r="A70" s="641" t="s">
        <v>1133</v>
      </c>
      <c r="B70" s="642" t="s">
        <v>1018</v>
      </c>
      <c r="C70" s="642" t="s">
        <v>1134</v>
      </c>
      <c r="D70" s="642"/>
      <c r="E70" s="642"/>
      <c r="F70" s="642"/>
      <c r="G70" s="642"/>
      <c r="H70" s="642"/>
      <c r="I70" s="642"/>
      <c r="J70" s="642"/>
      <c r="K70" s="642"/>
      <c r="L70" s="642" t="s">
        <v>250</v>
      </c>
      <c r="M70" s="643" t="n">
        <v>18.53</v>
      </c>
      <c r="N70" s="644" t="e">
        <f aca="false">VLOOKUP(A70,'[1]2023.10 CPU´s'!U$1:AF$1048576,11,FALSE())</f>
        <v>#N/A</v>
      </c>
      <c r="O70" s="645" t="e">
        <f aca="false">(N70/M70)-1</f>
        <v>#N/A</v>
      </c>
    </row>
    <row r="71" customFormat="false" ht="12.75" hidden="false" customHeight="true" outlineLevel="0" collapsed="false">
      <c r="A71" s="641" t="s">
        <v>1135</v>
      </c>
      <c r="B71" s="642" t="s">
        <v>1018</v>
      </c>
      <c r="C71" s="642" t="s">
        <v>1136</v>
      </c>
      <c r="D71" s="642"/>
      <c r="E71" s="642"/>
      <c r="F71" s="642"/>
      <c r="G71" s="642"/>
      <c r="H71" s="642"/>
      <c r="I71" s="642"/>
      <c r="J71" s="642"/>
      <c r="K71" s="642"/>
      <c r="L71" s="642" t="s">
        <v>250</v>
      </c>
      <c r="M71" s="643" t="n">
        <v>16.8</v>
      </c>
      <c r="N71" s="644" t="e">
        <f aca="false">VLOOKUP(A71,'[1]2023.10 CPU´s'!U$1:AF$1048576,11,FALSE())</f>
        <v>#N/A</v>
      </c>
      <c r="O71" s="645" t="e">
        <f aca="false">(N71/M71)-1</f>
        <v>#N/A</v>
      </c>
    </row>
    <row r="72" customFormat="false" ht="12.75" hidden="false" customHeight="true" outlineLevel="0" collapsed="false">
      <c r="A72" s="636" t="s">
        <v>1137</v>
      </c>
      <c r="B72" s="637" t="s">
        <v>1018</v>
      </c>
      <c r="C72" s="637" t="s">
        <v>1138</v>
      </c>
      <c r="D72" s="637"/>
      <c r="E72" s="637"/>
      <c r="F72" s="637"/>
      <c r="G72" s="637"/>
      <c r="H72" s="637"/>
      <c r="I72" s="637"/>
      <c r="J72" s="637"/>
      <c r="K72" s="637"/>
      <c r="L72" s="638"/>
      <c r="M72" s="638"/>
      <c r="N72" s="639"/>
      <c r="O72" s="640"/>
    </row>
    <row r="73" customFormat="false" ht="12.75" hidden="false" customHeight="true" outlineLevel="0" collapsed="false">
      <c r="A73" s="641" t="s">
        <v>1139</v>
      </c>
      <c r="B73" s="642" t="s">
        <v>1018</v>
      </c>
      <c r="C73" s="642" t="s">
        <v>1140</v>
      </c>
      <c r="D73" s="642"/>
      <c r="E73" s="642"/>
      <c r="F73" s="642"/>
      <c r="G73" s="642"/>
      <c r="H73" s="642"/>
      <c r="I73" s="642"/>
      <c r="J73" s="642"/>
      <c r="K73" s="642"/>
      <c r="L73" s="642" t="s">
        <v>250</v>
      </c>
      <c r="M73" s="643" t="n">
        <v>32.5</v>
      </c>
      <c r="N73" s="644" t="e">
        <f aca="false">VLOOKUP(A73,'[1]2023.10 CPU´s'!U$1:AF$1048576,11,FALSE())</f>
        <v>#N/A</v>
      </c>
      <c r="O73" s="645" t="e">
        <f aca="false">(N73/M73)-1</f>
        <v>#N/A</v>
      </c>
    </row>
    <row r="74" customFormat="false" ht="12.75" hidden="false" customHeight="true" outlineLevel="0" collapsed="false">
      <c r="A74" s="641" t="s">
        <v>1141</v>
      </c>
      <c r="B74" s="642" t="s">
        <v>1018</v>
      </c>
      <c r="C74" s="642" t="s">
        <v>1142</v>
      </c>
      <c r="D74" s="642"/>
      <c r="E74" s="642"/>
      <c r="F74" s="642"/>
      <c r="G74" s="642"/>
      <c r="H74" s="642"/>
      <c r="I74" s="642"/>
      <c r="J74" s="642"/>
      <c r="K74" s="642"/>
      <c r="L74" s="642" t="s">
        <v>250</v>
      </c>
      <c r="M74" s="643" t="n">
        <v>26.12</v>
      </c>
      <c r="N74" s="644" t="e">
        <f aca="false">VLOOKUP(A74,'[1]2023.10 CPU´s'!U$1:AF$1048576,11,FALSE())</f>
        <v>#N/A</v>
      </c>
      <c r="O74" s="645" t="e">
        <f aca="false">(N74/M74)-1</f>
        <v>#N/A</v>
      </c>
    </row>
    <row r="75" customFormat="false" ht="12.75" hidden="false" customHeight="true" outlineLevel="0" collapsed="false">
      <c r="A75" s="641" t="s">
        <v>1143</v>
      </c>
      <c r="B75" s="642" t="s">
        <v>1018</v>
      </c>
      <c r="C75" s="642" t="s">
        <v>1144</v>
      </c>
      <c r="D75" s="642"/>
      <c r="E75" s="642"/>
      <c r="F75" s="642"/>
      <c r="G75" s="642"/>
      <c r="H75" s="642"/>
      <c r="I75" s="642"/>
      <c r="J75" s="642"/>
      <c r="K75" s="642"/>
      <c r="L75" s="642" t="s">
        <v>250</v>
      </c>
      <c r="M75" s="643" t="n">
        <v>18.53</v>
      </c>
      <c r="N75" s="644" t="e">
        <f aca="false">VLOOKUP(A75,'[1]2023.10 CPU´s'!U$1:AF$1048576,11,FALSE())</f>
        <v>#N/A</v>
      </c>
      <c r="O75" s="645" t="e">
        <f aca="false">(N75/M75)-1</f>
        <v>#N/A</v>
      </c>
    </row>
    <row r="76" customFormat="false" ht="12.75" hidden="false" customHeight="true" outlineLevel="0" collapsed="false">
      <c r="A76" s="636" t="s">
        <v>1145</v>
      </c>
      <c r="B76" s="637" t="s">
        <v>1018</v>
      </c>
      <c r="C76" s="637" t="s">
        <v>1146</v>
      </c>
      <c r="D76" s="637"/>
      <c r="E76" s="637"/>
      <c r="F76" s="637"/>
      <c r="G76" s="637"/>
      <c r="H76" s="637"/>
      <c r="I76" s="637"/>
      <c r="J76" s="637"/>
      <c r="K76" s="637"/>
      <c r="L76" s="638"/>
      <c r="M76" s="638"/>
      <c r="N76" s="639"/>
      <c r="O76" s="640"/>
    </row>
    <row r="77" customFormat="false" ht="12.75" hidden="false" customHeight="true" outlineLevel="0" collapsed="false">
      <c r="A77" s="641" t="s">
        <v>1147</v>
      </c>
      <c r="B77" s="642" t="s">
        <v>1018</v>
      </c>
      <c r="C77" s="642" t="s">
        <v>1148</v>
      </c>
      <c r="D77" s="642"/>
      <c r="E77" s="642"/>
      <c r="F77" s="642"/>
      <c r="G77" s="642"/>
      <c r="H77" s="642"/>
      <c r="I77" s="642"/>
      <c r="J77" s="642"/>
      <c r="K77" s="642"/>
      <c r="L77" s="642" t="s">
        <v>250</v>
      </c>
      <c r="M77" s="643" t="n">
        <v>24.68</v>
      </c>
      <c r="N77" s="644" t="e">
        <f aca="false">VLOOKUP(A77,'[1]2023.10 CPU´s'!U$1:AF$1048576,11,FALSE())</f>
        <v>#N/A</v>
      </c>
      <c r="O77" s="645" t="e">
        <f aca="false">(N77/M77)-1</f>
        <v>#N/A</v>
      </c>
    </row>
    <row r="78" customFormat="false" ht="12.75" hidden="false" customHeight="true" outlineLevel="0" collapsed="false">
      <c r="A78" s="641" t="s">
        <v>1149</v>
      </c>
      <c r="B78" s="642" t="s">
        <v>1018</v>
      </c>
      <c r="C78" s="642" t="s">
        <v>1150</v>
      </c>
      <c r="D78" s="642"/>
      <c r="E78" s="642"/>
      <c r="F78" s="642"/>
      <c r="G78" s="642"/>
      <c r="H78" s="642"/>
      <c r="I78" s="642"/>
      <c r="J78" s="642"/>
      <c r="K78" s="642"/>
      <c r="L78" s="642" t="s">
        <v>250</v>
      </c>
      <c r="M78" s="643" t="n">
        <v>16.8</v>
      </c>
      <c r="N78" s="644" t="e">
        <f aca="false">VLOOKUP(A78,'[1]2023.10 CPU´s'!U$1:AF$1048576,11,FALSE())</f>
        <v>#N/A</v>
      </c>
      <c r="O78" s="645" t="e">
        <f aca="false">(N78/M78)-1</f>
        <v>#N/A</v>
      </c>
    </row>
    <row r="79" customFormat="false" ht="12.75" hidden="false" customHeight="true" outlineLevel="0" collapsed="false">
      <c r="A79" s="641" t="s">
        <v>1151</v>
      </c>
      <c r="B79" s="642" t="s">
        <v>1018</v>
      </c>
      <c r="C79" s="642" t="s">
        <v>1152</v>
      </c>
      <c r="D79" s="642"/>
      <c r="E79" s="642"/>
      <c r="F79" s="642"/>
      <c r="G79" s="642"/>
      <c r="H79" s="642"/>
      <c r="I79" s="642"/>
      <c r="J79" s="642"/>
      <c r="K79" s="642"/>
      <c r="L79" s="642" t="s">
        <v>250</v>
      </c>
      <c r="M79" s="643" t="n">
        <v>16.8</v>
      </c>
      <c r="N79" s="644" t="e">
        <f aca="false">VLOOKUP(A79,'[1]2023.10 CPU´s'!U$1:AF$1048576,11,FALSE())</f>
        <v>#N/A</v>
      </c>
      <c r="O79" s="645" t="e">
        <f aca="false">(N79/M79)-1</f>
        <v>#N/A</v>
      </c>
    </row>
    <row r="80" customFormat="false" ht="12.75" hidden="false" customHeight="true" outlineLevel="0" collapsed="false">
      <c r="A80" s="630" t="s">
        <v>1153</v>
      </c>
      <c r="B80" s="631"/>
      <c r="C80" s="632" t="s">
        <v>1154</v>
      </c>
      <c r="D80" s="632"/>
      <c r="E80" s="632"/>
      <c r="F80" s="632"/>
      <c r="G80" s="632"/>
      <c r="H80" s="632"/>
      <c r="I80" s="632"/>
      <c r="J80" s="632"/>
      <c r="K80" s="632"/>
      <c r="L80" s="633"/>
      <c r="M80" s="633"/>
      <c r="N80" s="634"/>
      <c r="O80" s="635"/>
    </row>
    <row r="81" customFormat="false" ht="12.75" hidden="false" customHeight="true" outlineLevel="0" collapsed="false">
      <c r="A81" s="636" t="s">
        <v>1155</v>
      </c>
      <c r="B81" s="637" t="s">
        <v>1018</v>
      </c>
      <c r="C81" s="637" t="s">
        <v>1156</v>
      </c>
      <c r="D81" s="637"/>
      <c r="E81" s="637"/>
      <c r="F81" s="637"/>
      <c r="G81" s="637"/>
      <c r="H81" s="637"/>
      <c r="I81" s="637"/>
      <c r="J81" s="637"/>
      <c r="K81" s="637"/>
      <c r="L81" s="638"/>
      <c r="M81" s="638"/>
      <c r="N81" s="639"/>
      <c r="O81" s="640"/>
    </row>
    <row r="82" customFormat="false" ht="12.75" hidden="false" customHeight="true" outlineLevel="0" collapsed="false">
      <c r="A82" s="641" t="s">
        <v>1157</v>
      </c>
      <c r="B82" s="642" t="s">
        <v>1018</v>
      </c>
      <c r="C82" s="642" t="s">
        <v>1158</v>
      </c>
      <c r="D82" s="642"/>
      <c r="E82" s="642"/>
      <c r="F82" s="642"/>
      <c r="G82" s="642"/>
      <c r="H82" s="642"/>
      <c r="I82" s="642"/>
      <c r="J82" s="642"/>
      <c r="K82" s="642"/>
      <c r="L82" s="642" t="s">
        <v>178</v>
      </c>
      <c r="M82" s="643" t="n">
        <v>1859.02</v>
      </c>
      <c r="N82" s="644" t="e">
        <f aca="false">VLOOKUP(A82,'[1]2023.10 CPU´s'!U$1:AF$1048576,11,FALSE())</f>
        <v>#N/A</v>
      </c>
      <c r="O82" s="645" t="e">
        <f aca="false">(N82/M82)-1</f>
        <v>#N/A</v>
      </c>
    </row>
    <row r="83" customFormat="false" ht="12.75" hidden="false" customHeight="true" outlineLevel="0" collapsed="false">
      <c r="A83" s="641" t="s">
        <v>1159</v>
      </c>
      <c r="B83" s="642" t="s">
        <v>1018</v>
      </c>
      <c r="C83" s="642" t="s">
        <v>1160</v>
      </c>
      <c r="D83" s="642"/>
      <c r="E83" s="642"/>
      <c r="F83" s="642"/>
      <c r="G83" s="642"/>
      <c r="H83" s="642"/>
      <c r="I83" s="642"/>
      <c r="J83" s="642"/>
      <c r="K83" s="642"/>
      <c r="L83" s="642" t="s">
        <v>178</v>
      </c>
      <c r="M83" s="643" t="n">
        <v>1048.59</v>
      </c>
      <c r="N83" s="644" t="e">
        <f aca="false">VLOOKUP(A83,'[1]2023.10 CPU´s'!U$1:AF$1048576,11,FALSE())</f>
        <v>#N/A</v>
      </c>
      <c r="O83" s="645" t="e">
        <f aca="false">(N83/M83)-1</f>
        <v>#N/A</v>
      </c>
    </row>
    <row r="84" customFormat="false" ht="12.75" hidden="false" customHeight="true" outlineLevel="0" collapsed="false">
      <c r="A84" s="641" t="s">
        <v>1161</v>
      </c>
      <c r="B84" s="642" t="s">
        <v>1018</v>
      </c>
      <c r="C84" s="642" t="s">
        <v>1162</v>
      </c>
      <c r="D84" s="642"/>
      <c r="E84" s="642"/>
      <c r="F84" s="642"/>
      <c r="G84" s="642"/>
      <c r="H84" s="642"/>
      <c r="I84" s="642"/>
      <c r="J84" s="642"/>
      <c r="K84" s="642"/>
      <c r="L84" s="642" t="s">
        <v>178</v>
      </c>
      <c r="M84" s="643" t="n">
        <v>665.02</v>
      </c>
      <c r="N84" s="644" t="e">
        <f aca="false">VLOOKUP(A84,'[1]2023.10 CPU´s'!U$1:AF$1048576,11,FALSE())</f>
        <v>#N/A</v>
      </c>
      <c r="O84" s="645" t="e">
        <f aca="false">(N84/M84)-1</f>
        <v>#N/A</v>
      </c>
    </row>
    <row r="85" customFormat="false" ht="12.75" hidden="false" customHeight="true" outlineLevel="0" collapsed="false">
      <c r="A85" s="641" t="s">
        <v>1163</v>
      </c>
      <c r="B85" s="642" t="s">
        <v>1018</v>
      </c>
      <c r="C85" s="642" t="s">
        <v>1164</v>
      </c>
      <c r="D85" s="642"/>
      <c r="E85" s="642"/>
      <c r="F85" s="642"/>
      <c r="G85" s="642"/>
      <c r="H85" s="642"/>
      <c r="I85" s="642"/>
      <c r="J85" s="642"/>
      <c r="K85" s="642"/>
      <c r="L85" s="642" t="s">
        <v>178</v>
      </c>
      <c r="M85" s="643" t="n">
        <v>1309.08</v>
      </c>
      <c r="N85" s="644" t="e">
        <f aca="false">VLOOKUP(A85,'[1]2023.10 CPU´s'!U$1:AF$1048576,11,FALSE())</f>
        <v>#N/A</v>
      </c>
      <c r="O85" s="645" t="e">
        <f aca="false">(N85/M85)-1</f>
        <v>#N/A</v>
      </c>
    </row>
    <row r="86" customFormat="false" ht="12.75" hidden="false" customHeight="true" outlineLevel="0" collapsed="false">
      <c r="A86" s="641" t="s">
        <v>1165</v>
      </c>
      <c r="B86" s="642" t="s">
        <v>1018</v>
      </c>
      <c r="C86" s="642" t="s">
        <v>1166</v>
      </c>
      <c r="D86" s="642"/>
      <c r="E86" s="642"/>
      <c r="F86" s="642"/>
      <c r="G86" s="642"/>
      <c r="H86" s="642"/>
      <c r="I86" s="642"/>
      <c r="J86" s="642"/>
      <c r="K86" s="642"/>
      <c r="L86" s="642" t="s">
        <v>178</v>
      </c>
      <c r="M86" s="643" t="n">
        <v>3680.26</v>
      </c>
      <c r="N86" s="644" t="e">
        <f aca="false">VLOOKUP(A86,'[1]2023.10 CPU´s'!U$1:AF$1048576,11,FALSE())</f>
        <v>#N/A</v>
      </c>
      <c r="O86" s="645" t="e">
        <f aca="false">(N86/M86)-1</f>
        <v>#N/A</v>
      </c>
    </row>
    <row r="87" customFormat="false" ht="12.75" hidden="false" customHeight="true" outlineLevel="0" collapsed="false">
      <c r="A87" s="641" t="s">
        <v>1167</v>
      </c>
      <c r="B87" s="642" t="s">
        <v>1018</v>
      </c>
      <c r="C87" s="642" t="s">
        <v>1168</v>
      </c>
      <c r="D87" s="642"/>
      <c r="E87" s="642"/>
      <c r="F87" s="642"/>
      <c r="G87" s="642"/>
      <c r="H87" s="642"/>
      <c r="I87" s="642"/>
      <c r="J87" s="642"/>
      <c r="K87" s="642"/>
      <c r="L87" s="642" t="s">
        <v>178</v>
      </c>
      <c r="M87" s="643" t="n">
        <v>1688.4</v>
      </c>
      <c r="N87" s="644" t="e">
        <f aca="false">VLOOKUP(A87,'[1]2023.10 CPU´s'!U$1:AF$1048576,11,FALSE())</f>
        <v>#N/A</v>
      </c>
      <c r="O87" s="645" t="e">
        <f aca="false">(N87/M87)-1</f>
        <v>#N/A</v>
      </c>
    </row>
    <row r="88" customFormat="false" ht="12.75" hidden="false" customHeight="true" outlineLevel="0" collapsed="false">
      <c r="A88" s="641" t="s">
        <v>1169</v>
      </c>
      <c r="B88" s="642" t="s">
        <v>1018</v>
      </c>
      <c r="C88" s="642" t="s">
        <v>1170</v>
      </c>
      <c r="D88" s="642"/>
      <c r="E88" s="642"/>
      <c r="F88" s="642"/>
      <c r="G88" s="642"/>
      <c r="H88" s="642"/>
      <c r="I88" s="642"/>
      <c r="J88" s="642"/>
      <c r="K88" s="642"/>
      <c r="L88" s="642" t="s">
        <v>178</v>
      </c>
      <c r="M88" s="643" t="n">
        <v>1437.94</v>
      </c>
      <c r="N88" s="644" t="e">
        <f aca="false">VLOOKUP(A88,'[1]2023.10 CPU´s'!U$1:AF$1048576,11,FALSE())</f>
        <v>#N/A</v>
      </c>
      <c r="O88" s="645" t="e">
        <f aca="false">(N88/M88)-1</f>
        <v>#N/A</v>
      </c>
    </row>
    <row r="89" customFormat="false" ht="12.75" hidden="false" customHeight="true" outlineLevel="0" collapsed="false">
      <c r="A89" s="641" t="s">
        <v>1171</v>
      </c>
      <c r="B89" s="642" t="s">
        <v>1018</v>
      </c>
      <c r="C89" s="642" t="s">
        <v>1172</v>
      </c>
      <c r="D89" s="642"/>
      <c r="E89" s="642"/>
      <c r="F89" s="642"/>
      <c r="G89" s="642"/>
      <c r="H89" s="642"/>
      <c r="I89" s="642"/>
      <c r="J89" s="642"/>
      <c r="K89" s="642"/>
      <c r="L89" s="642" t="s">
        <v>178</v>
      </c>
      <c r="M89" s="643" t="n">
        <v>1326.6</v>
      </c>
      <c r="N89" s="644" t="e">
        <f aca="false">VLOOKUP(A89,'[1]2023.10 CPU´s'!U$1:AF$1048576,11,FALSE())</f>
        <v>#N/A</v>
      </c>
      <c r="O89" s="645" t="e">
        <f aca="false">(N89/M89)-1</f>
        <v>#N/A</v>
      </c>
    </row>
    <row r="90" customFormat="false" ht="12.75" hidden="false" customHeight="true" outlineLevel="0" collapsed="false">
      <c r="A90" s="641" t="s">
        <v>1173</v>
      </c>
      <c r="B90" s="642" t="s">
        <v>1018</v>
      </c>
      <c r="C90" s="642" t="s">
        <v>1174</v>
      </c>
      <c r="D90" s="642"/>
      <c r="E90" s="642"/>
      <c r="F90" s="642"/>
      <c r="G90" s="642"/>
      <c r="H90" s="642"/>
      <c r="I90" s="642"/>
      <c r="J90" s="642"/>
      <c r="K90" s="642"/>
      <c r="L90" s="642" t="s">
        <v>178</v>
      </c>
      <c r="M90" s="643" t="n">
        <v>1326.6</v>
      </c>
      <c r="N90" s="644" t="e">
        <f aca="false">VLOOKUP(A90,'[1]2023.10 CPU´s'!U$1:AF$1048576,11,FALSE())</f>
        <v>#N/A</v>
      </c>
      <c r="O90" s="645" t="e">
        <f aca="false">(N90/M90)-1</f>
        <v>#N/A</v>
      </c>
    </row>
    <row r="91" customFormat="false" ht="12.75" hidden="false" customHeight="true" outlineLevel="0" collapsed="false">
      <c r="A91" s="641" t="s">
        <v>1175</v>
      </c>
      <c r="B91" s="642" t="s">
        <v>1018</v>
      </c>
      <c r="C91" s="642" t="s">
        <v>1176</v>
      </c>
      <c r="D91" s="642"/>
      <c r="E91" s="642"/>
      <c r="F91" s="642"/>
      <c r="G91" s="642"/>
      <c r="H91" s="642"/>
      <c r="I91" s="642"/>
      <c r="J91" s="642"/>
      <c r="K91" s="642"/>
      <c r="L91" s="642" t="s">
        <v>178</v>
      </c>
      <c r="M91" s="643" t="n">
        <v>1600.93</v>
      </c>
      <c r="N91" s="644" t="e">
        <f aca="false">VLOOKUP(A91,'[1]2023.10 CPU´s'!U$1:AF$1048576,11,FALSE())</f>
        <v>#N/A</v>
      </c>
      <c r="O91" s="645" t="e">
        <f aca="false">(N91/M91)-1</f>
        <v>#N/A</v>
      </c>
    </row>
    <row r="92" customFormat="false" ht="12.75" hidden="false" customHeight="true" outlineLevel="0" collapsed="false">
      <c r="A92" s="641" t="s">
        <v>1177</v>
      </c>
      <c r="B92" s="642" t="s">
        <v>1018</v>
      </c>
      <c r="C92" s="642" t="s">
        <v>1178</v>
      </c>
      <c r="D92" s="642"/>
      <c r="E92" s="642"/>
      <c r="F92" s="642"/>
      <c r="G92" s="642"/>
      <c r="H92" s="642"/>
      <c r="I92" s="642"/>
      <c r="J92" s="642"/>
      <c r="K92" s="642"/>
      <c r="L92" s="642" t="s">
        <v>178</v>
      </c>
      <c r="M92" s="643" t="n">
        <v>1935.5</v>
      </c>
      <c r="N92" s="644" t="e">
        <f aca="false">VLOOKUP(A92,'[1]2023.10 CPU´s'!U$1:AF$1048576,11,FALSE())</f>
        <v>#N/A</v>
      </c>
      <c r="O92" s="645" t="e">
        <f aca="false">(N92/M92)-1</f>
        <v>#N/A</v>
      </c>
    </row>
    <row r="93" customFormat="false" ht="12.75" hidden="false" customHeight="true" outlineLevel="0" collapsed="false">
      <c r="A93" s="641" t="s">
        <v>1179</v>
      </c>
      <c r="B93" s="642" t="s">
        <v>1018</v>
      </c>
      <c r="C93" s="642" t="s">
        <v>1180</v>
      </c>
      <c r="D93" s="642"/>
      <c r="E93" s="642"/>
      <c r="F93" s="642"/>
      <c r="G93" s="642"/>
      <c r="H93" s="642"/>
      <c r="I93" s="642"/>
      <c r="J93" s="642"/>
      <c r="K93" s="642"/>
      <c r="L93" s="642" t="s">
        <v>178</v>
      </c>
      <c r="M93" s="643" t="n">
        <v>2032.47</v>
      </c>
      <c r="N93" s="644" t="e">
        <f aca="false">VLOOKUP(A93,'[1]2023.10 CPU´s'!U$1:AF$1048576,11,FALSE())</f>
        <v>#N/A</v>
      </c>
      <c r="O93" s="645" t="e">
        <f aca="false">(N93/M93)-1</f>
        <v>#N/A</v>
      </c>
    </row>
    <row r="94" customFormat="false" ht="12.75" hidden="false" customHeight="true" outlineLevel="0" collapsed="false">
      <c r="A94" s="641" t="s">
        <v>1181</v>
      </c>
      <c r="B94" s="642" t="s">
        <v>1018</v>
      </c>
      <c r="C94" s="642" t="s">
        <v>1182</v>
      </c>
      <c r="D94" s="642"/>
      <c r="E94" s="642"/>
      <c r="F94" s="642"/>
      <c r="G94" s="642"/>
      <c r="H94" s="642"/>
      <c r="I94" s="642"/>
      <c r="J94" s="642"/>
      <c r="K94" s="642"/>
      <c r="L94" s="642" t="s">
        <v>178</v>
      </c>
      <c r="M94" s="643" t="n">
        <v>1536.83</v>
      </c>
      <c r="N94" s="644" t="e">
        <f aca="false">VLOOKUP(A94,'[1]2023.10 CPU´s'!U$1:AF$1048576,11,FALSE())</f>
        <v>#N/A</v>
      </c>
      <c r="O94" s="645" t="e">
        <f aca="false">(N94/M94)-1</f>
        <v>#N/A</v>
      </c>
    </row>
    <row r="95" customFormat="false" ht="12.75" hidden="false" customHeight="true" outlineLevel="0" collapsed="false">
      <c r="A95" s="641" t="s">
        <v>1183</v>
      </c>
      <c r="B95" s="642" t="s">
        <v>1018</v>
      </c>
      <c r="C95" s="642" t="s">
        <v>1184</v>
      </c>
      <c r="D95" s="642"/>
      <c r="E95" s="642"/>
      <c r="F95" s="642"/>
      <c r="G95" s="642"/>
      <c r="H95" s="642"/>
      <c r="I95" s="642"/>
      <c r="J95" s="642"/>
      <c r="K95" s="642"/>
      <c r="L95" s="642" t="s">
        <v>178</v>
      </c>
      <c r="M95" s="643" t="n">
        <v>1480.75</v>
      </c>
      <c r="N95" s="644" t="e">
        <f aca="false">VLOOKUP(A95,'[1]2023.10 CPU´s'!U$1:AF$1048576,11,FALSE())</f>
        <v>#N/A</v>
      </c>
      <c r="O95" s="645" t="e">
        <f aca="false">(N95/M95)-1</f>
        <v>#N/A</v>
      </c>
    </row>
    <row r="96" customFormat="false" ht="12.75" hidden="false" customHeight="true" outlineLevel="0" collapsed="false">
      <c r="A96" s="641" t="s">
        <v>1185</v>
      </c>
      <c r="B96" s="642" t="s">
        <v>1018</v>
      </c>
      <c r="C96" s="642" t="s">
        <v>1186</v>
      </c>
      <c r="D96" s="642"/>
      <c r="E96" s="642"/>
      <c r="F96" s="642"/>
      <c r="G96" s="642"/>
      <c r="H96" s="642"/>
      <c r="I96" s="642"/>
      <c r="J96" s="642"/>
      <c r="K96" s="642"/>
      <c r="L96" s="642" t="s">
        <v>178</v>
      </c>
      <c r="M96" s="643" t="n">
        <v>1228.61</v>
      </c>
      <c r="N96" s="644" t="e">
        <f aca="false">VLOOKUP(A96,'[1]2023.10 CPU´s'!U$1:AF$1048576,11,FALSE())</f>
        <v>#N/A</v>
      </c>
      <c r="O96" s="645" t="e">
        <f aca="false">(N96/M96)-1</f>
        <v>#N/A</v>
      </c>
    </row>
    <row r="97" customFormat="false" ht="12.75" hidden="false" customHeight="true" outlineLevel="0" collapsed="false">
      <c r="A97" s="641" t="s">
        <v>1187</v>
      </c>
      <c r="B97" s="642" t="s">
        <v>1018</v>
      </c>
      <c r="C97" s="642" t="s">
        <v>1188</v>
      </c>
      <c r="D97" s="642"/>
      <c r="E97" s="642"/>
      <c r="F97" s="642"/>
      <c r="G97" s="642"/>
      <c r="H97" s="642"/>
      <c r="I97" s="642"/>
      <c r="J97" s="642"/>
      <c r="K97" s="642"/>
      <c r="L97" s="642" t="s">
        <v>178</v>
      </c>
      <c r="M97" s="643" t="n">
        <v>1152.45</v>
      </c>
      <c r="N97" s="644" t="e">
        <f aca="false">VLOOKUP(A97,'[1]2023.10 CPU´s'!U$1:AF$1048576,11,FALSE())</f>
        <v>#N/A</v>
      </c>
      <c r="O97" s="645" t="e">
        <f aca="false">(N97/M97)-1</f>
        <v>#N/A</v>
      </c>
    </row>
    <row r="98" customFormat="false" ht="12.75" hidden="false" customHeight="true" outlineLevel="0" collapsed="false">
      <c r="A98" s="641" t="s">
        <v>1189</v>
      </c>
      <c r="B98" s="642" t="s">
        <v>1018</v>
      </c>
      <c r="C98" s="642" t="s">
        <v>1190</v>
      </c>
      <c r="D98" s="642"/>
      <c r="E98" s="642"/>
      <c r="F98" s="642"/>
      <c r="G98" s="642"/>
      <c r="H98" s="642"/>
      <c r="I98" s="642"/>
      <c r="J98" s="642"/>
      <c r="K98" s="642"/>
      <c r="L98" s="642" t="s">
        <v>178</v>
      </c>
      <c r="M98" s="643" t="n">
        <v>1472.73</v>
      </c>
      <c r="N98" s="644" t="e">
        <f aca="false">VLOOKUP(A98,'[1]2023.10 CPU´s'!U$1:AF$1048576,11,FALSE())</f>
        <v>#N/A</v>
      </c>
      <c r="O98" s="645" t="e">
        <f aca="false">(N98/M98)-1</f>
        <v>#N/A</v>
      </c>
    </row>
    <row r="99" customFormat="false" ht="12.75" hidden="false" customHeight="true" outlineLevel="0" collapsed="false">
      <c r="A99" s="641" t="s">
        <v>1191</v>
      </c>
      <c r="B99" s="642" t="s">
        <v>1018</v>
      </c>
      <c r="C99" s="642" t="s">
        <v>1192</v>
      </c>
      <c r="D99" s="642"/>
      <c r="E99" s="642"/>
      <c r="F99" s="642"/>
      <c r="G99" s="642"/>
      <c r="H99" s="642"/>
      <c r="I99" s="642"/>
      <c r="J99" s="642"/>
      <c r="K99" s="642"/>
      <c r="L99" s="642" t="s">
        <v>178</v>
      </c>
      <c r="M99" s="643" t="n">
        <v>1600.93</v>
      </c>
      <c r="N99" s="644" t="e">
        <f aca="false">VLOOKUP(A99,'[1]2023.10 CPU´s'!U$1:AF$1048576,11,FALSE())</f>
        <v>#N/A</v>
      </c>
      <c r="O99" s="645" t="e">
        <f aca="false">(N99/M99)-1</f>
        <v>#N/A</v>
      </c>
    </row>
    <row r="100" customFormat="false" ht="12.75" hidden="false" customHeight="true" outlineLevel="0" collapsed="false">
      <c r="A100" s="641" t="s">
        <v>1193</v>
      </c>
      <c r="B100" s="642" t="s">
        <v>1018</v>
      </c>
      <c r="C100" s="642" t="s">
        <v>1194</v>
      </c>
      <c r="D100" s="642"/>
      <c r="E100" s="642"/>
      <c r="F100" s="642"/>
      <c r="G100" s="642"/>
      <c r="H100" s="642"/>
      <c r="I100" s="642"/>
      <c r="J100" s="642"/>
      <c r="K100" s="642"/>
      <c r="L100" s="642" t="s">
        <v>178</v>
      </c>
      <c r="M100" s="643" t="n">
        <v>586.85</v>
      </c>
      <c r="N100" s="644" t="e">
        <f aca="false">VLOOKUP(A100,'[1]2023.10 CPU´s'!U$1:AF$1048576,11,FALSE())</f>
        <v>#N/A</v>
      </c>
      <c r="O100" s="645" t="e">
        <f aca="false">(N100/M100)-1</f>
        <v>#N/A</v>
      </c>
    </row>
    <row r="101" customFormat="false" ht="12.75" hidden="false" customHeight="true" outlineLevel="0" collapsed="false">
      <c r="A101" s="641" t="s">
        <v>1195</v>
      </c>
      <c r="B101" s="642" t="s">
        <v>1018</v>
      </c>
      <c r="C101" s="642" t="s">
        <v>1196</v>
      </c>
      <c r="D101" s="642"/>
      <c r="E101" s="642"/>
      <c r="F101" s="642"/>
      <c r="G101" s="642"/>
      <c r="H101" s="642"/>
      <c r="I101" s="642"/>
      <c r="J101" s="642"/>
      <c r="K101" s="642"/>
      <c r="L101" s="642" t="s">
        <v>178</v>
      </c>
      <c r="M101" s="643" t="n">
        <v>558.88</v>
      </c>
      <c r="N101" s="644" t="e">
        <f aca="false">VLOOKUP(A101,'[1]2023.10 CPU´s'!U$1:AF$1048576,11,FALSE())</f>
        <v>#N/A</v>
      </c>
      <c r="O101" s="645" t="e">
        <f aca="false">(N101/M101)-1</f>
        <v>#N/A</v>
      </c>
    </row>
    <row r="102" customFormat="false" ht="12.75" hidden="false" customHeight="true" outlineLevel="0" collapsed="false">
      <c r="A102" s="641" t="s">
        <v>1197</v>
      </c>
      <c r="B102" s="642" t="s">
        <v>1018</v>
      </c>
      <c r="C102" s="642" t="s">
        <v>1198</v>
      </c>
      <c r="D102" s="642"/>
      <c r="E102" s="642"/>
      <c r="F102" s="642"/>
      <c r="G102" s="642"/>
      <c r="H102" s="642"/>
      <c r="I102" s="642"/>
      <c r="J102" s="642"/>
      <c r="K102" s="642"/>
      <c r="L102" s="642" t="s">
        <v>178</v>
      </c>
      <c r="M102" s="643" t="n">
        <v>470.42</v>
      </c>
      <c r="N102" s="644" t="e">
        <f aca="false">VLOOKUP(A102,'[1]2023.10 CPU´s'!U$1:AF$1048576,11,FALSE())</f>
        <v>#N/A</v>
      </c>
      <c r="O102" s="645" t="e">
        <f aca="false">(N102/M102)-1</f>
        <v>#N/A</v>
      </c>
    </row>
    <row r="103" customFormat="false" ht="12.75" hidden="false" customHeight="true" outlineLevel="0" collapsed="false">
      <c r="A103" s="641" t="s">
        <v>1199</v>
      </c>
      <c r="B103" s="642" t="s">
        <v>1018</v>
      </c>
      <c r="C103" s="642" t="s">
        <v>1200</v>
      </c>
      <c r="D103" s="642"/>
      <c r="E103" s="642"/>
      <c r="F103" s="642"/>
      <c r="G103" s="642"/>
      <c r="H103" s="642"/>
      <c r="I103" s="642"/>
      <c r="J103" s="642"/>
      <c r="K103" s="642"/>
      <c r="L103" s="642" t="s">
        <v>178</v>
      </c>
      <c r="M103" s="643" t="n">
        <v>401.44</v>
      </c>
      <c r="N103" s="644" t="e">
        <f aca="false">VLOOKUP(A103,'[1]2023.10 CPU´s'!U$1:AF$1048576,11,FALSE())</f>
        <v>#N/A</v>
      </c>
      <c r="O103" s="645" t="e">
        <f aca="false">(N103/M103)-1</f>
        <v>#N/A</v>
      </c>
    </row>
    <row r="104" customFormat="false" ht="12.75" hidden="false" customHeight="true" outlineLevel="0" collapsed="false">
      <c r="A104" s="641" t="s">
        <v>1201</v>
      </c>
      <c r="B104" s="642" t="s">
        <v>1018</v>
      </c>
      <c r="C104" s="642" t="s">
        <v>1202</v>
      </c>
      <c r="D104" s="642"/>
      <c r="E104" s="642"/>
      <c r="F104" s="642"/>
      <c r="G104" s="642"/>
      <c r="H104" s="642"/>
      <c r="I104" s="642"/>
      <c r="J104" s="642"/>
      <c r="K104" s="642"/>
      <c r="L104" s="642" t="s">
        <v>178</v>
      </c>
      <c r="M104" s="643" t="n">
        <v>1600.93</v>
      </c>
      <c r="N104" s="644" t="e">
        <f aca="false">VLOOKUP(A104,'[1]2023.10 CPU´s'!U$1:AF$1048576,11,FALSE())</f>
        <v>#N/A</v>
      </c>
      <c r="O104" s="645" t="e">
        <f aca="false">(N104/M104)-1</f>
        <v>#N/A</v>
      </c>
    </row>
    <row r="105" customFormat="false" ht="12.75" hidden="false" customHeight="true" outlineLevel="0" collapsed="false">
      <c r="A105" s="641" t="s">
        <v>1203</v>
      </c>
      <c r="B105" s="642" t="s">
        <v>1018</v>
      </c>
      <c r="C105" s="642" t="s">
        <v>1204</v>
      </c>
      <c r="D105" s="642"/>
      <c r="E105" s="642"/>
      <c r="F105" s="642"/>
      <c r="G105" s="642"/>
      <c r="H105" s="642"/>
      <c r="I105" s="642"/>
      <c r="J105" s="642"/>
      <c r="K105" s="642"/>
      <c r="L105" s="642" t="s">
        <v>178</v>
      </c>
      <c r="M105" s="643" t="n">
        <v>1196.56</v>
      </c>
      <c r="N105" s="644" t="e">
        <f aca="false">VLOOKUP(A105,'[1]2023.10 CPU´s'!U$1:AF$1048576,11,FALSE())</f>
        <v>#N/A</v>
      </c>
      <c r="O105" s="645" t="e">
        <f aca="false">(N105/M105)-1</f>
        <v>#N/A</v>
      </c>
    </row>
    <row r="106" customFormat="false" ht="12.75" hidden="false" customHeight="true" outlineLevel="0" collapsed="false">
      <c r="A106" s="641" t="s">
        <v>1205</v>
      </c>
      <c r="B106" s="642" t="s">
        <v>1018</v>
      </c>
      <c r="C106" s="642" t="s">
        <v>1206</v>
      </c>
      <c r="D106" s="642"/>
      <c r="E106" s="642"/>
      <c r="F106" s="642"/>
      <c r="G106" s="642"/>
      <c r="H106" s="642"/>
      <c r="I106" s="642"/>
      <c r="J106" s="642"/>
      <c r="K106" s="642"/>
      <c r="L106" s="642" t="s">
        <v>178</v>
      </c>
      <c r="M106" s="643" t="n">
        <v>1600.93</v>
      </c>
      <c r="N106" s="644" t="e">
        <f aca="false">VLOOKUP(A106,'[1]2023.10 CPU´s'!U$1:AF$1048576,11,FALSE())</f>
        <v>#N/A</v>
      </c>
      <c r="O106" s="645" t="e">
        <f aca="false">(N106/M106)-1</f>
        <v>#N/A</v>
      </c>
    </row>
    <row r="107" customFormat="false" ht="12.75" hidden="false" customHeight="true" outlineLevel="0" collapsed="false">
      <c r="A107" s="641" t="s">
        <v>1207</v>
      </c>
      <c r="B107" s="642" t="s">
        <v>1018</v>
      </c>
      <c r="C107" s="642" t="s">
        <v>1208</v>
      </c>
      <c r="D107" s="642"/>
      <c r="E107" s="642"/>
      <c r="F107" s="642"/>
      <c r="G107" s="642"/>
      <c r="H107" s="642"/>
      <c r="I107" s="642"/>
      <c r="J107" s="642"/>
      <c r="K107" s="642"/>
      <c r="L107" s="642" t="s">
        <v>178</v>
      </c>
      <c r="M107" s="643" t="n">
        <v>680.39</v>
      </c>
      <c r="N107" s="644" t="e">
        <f aca="false">VLOOKUP(A107,'[1]2023.10 CPU´s'!U$1:AF$1048576,11,FALSE())</f>
        <v>#N/A</v>
      </c>
      <c r="O107" s="645" t="e">
        <f aca="false">(N107/M107)-1</f>
        <v>#N/A</v>
      </c>
    </row>
    <row r="108" customFormat="false" ht="12.75" hidden="false" customHeight="true" outlineLevel="0" collapsed="false">
      <c r="A108" s="641" t="s">
        <v>1209</v>
      </c>
      <c r="B108" s="642" t="s">
        <v>1018</v>
      </c>
      <c r="C108" s="642" t="s">
        <v>1210</v>
      </c>
      <c r="D108" s="642"/>
      <c r="E108" s="642"/>
      <c r="F108" s="642"/>
      <c r="G108" s="642"/>
      <c r="H108" s="642"/>
      <c r="I108" s="642"/>
      <c r="J108" s="642"/>
      <c r="K108" s="642"/>
      <c r="L108" s="642" t="s">
        <v>178</v>
      </c>
      <c r="M108" s="643" t="n">
        <v>1276</v>
      </c>
      <c r="N108" s="644" t="e">
        <f aca="false">VLOOKUP(A108,'[1]2023.10 CPU´s'!U$1:AF$1048576,11,FALSE())</f>
        <v>#N/A</v>
      </c>
      <c r="O108" s="645" t="e">
        <f aca="false">(N108/M108)-1</f>
        <v>#N/A</v>
      </c>
    </row>
    <row r="109" customFormat="false" ht="12.75" hidden="false" customHeight="true" outlineLevel="0" collapsed="false">
      <c r="A109" s="641" t="s">
        <v>1211</v>
      </c>
      <c r="B109" s="642" t="s">
        <v>1018</v>
      </c>
      <c r="C109" s="642" t="s">
        <v>1212</v>
      </c>
      <c r="D109" s="642"/>
      <c r="E109" s="642"/>
      <c r="F109" s="642"/>
      <c r="G109" s="642"/>
      <c r="H109" s="642"/>
      <c r="I109" s="642"/>
      <c r="J109" s="642"/>
      <c r="K109" s="642"/>
      <c r="L109" s="642" t="s">
        <v>259</v>
      </c>
      <c r="M109" s="643" t="n">
        <v>1859.02</v>
      </c>
      <c r="N109" s="644" t="e">
        <f aca="false">VLOOKUP(A109,'[1]2023.10 CPU´s'!U$1:AF$1048576,11,FALSE())</f>
        <v>#N/A</v>
      </c>
      <c r="O109" s="645" t="e">
        <f aca="false">(N109/M109)-1</f>
        <v>#N/A</v>
      </c>
    </row>
    <row r="110" customFormat="false" ht="12.75" hidden="false" customHeight="true" outlineLevel="0" collapsed="false">
      <c r="A110" s="641" t="s">
        <v>1213</v>
      </c>
      <c r="B110" s="642" t="s">
        <v>1018</v>
      </c>
      <c r="C110" s="642" t="s">
        <v>1214</v>
      </c>
      <c r="D110" s="642"/>
      <c r="E110" s="642"/>
      <c r="F110" s="642"/>
      <c r="G110" s="642"/>
      <c r="H110" s="642"/>
      <c r="I110" s="642"/>
      <c r="J110" s="642"/>
      <c r="K110" s="642"/>
      <c r="L110" s="642" t="s">
        <v>178</v>
      </c>
      <c r="M110" s="643" t="n">
        <v>929.51</v>
      </c>
      <c r="N110" s="644" t="e">
        <f aca="false">VLOOKUP(A110,'[1]2023.10 CPU´s'!U$1:AF$1048576,11,FALSE())</f>
        <v>#N/A</v>
      </c>
      <c r="O110" s="645" t="e">
        <f aca="false">(N110/M110)-1</f>
        <v>#N/A</v>
      </c>
    </row>
    <row r="111" customFormat="false" ht="12.75" hidden="false" customHeight="true" outlineLevel="0" collapsed="false">
      <c r="A111" s="641" t="s">
        <v>1215</v>
      </c>
      <c r="B111" s="642" t="s">
        <v>1018</v>
      </c>
      <c r="C111" s="642" t="s">
        <v>1216</v>
      </c>
      <c r="D111" s="642"/>
      <c r="E111" s="642"/>
      <c r="F111" s="642"/>
      <c r="G111" s="642"/>
      <c r="H111" s="642"/>
      <c r="I111" s="642"/>
      <c r="J111" s="642"/>
      <c r="K111" s="642"/>
      <c r="L111" s="642" t="s">
        <v>178</v>
      </c>
      <c r="M111" s="643" t="n">
        <v>929.51</v>
      </c>
      <c r="N111" s="644" t="e">
        <f aca="false">VLOOKUP(A111,'[1]2023.10 CPU´s'!U$1:AF$1048576,11,FALSE())</f>
        <v>#N/A</v>
      </c>
      <c r="O111" s="645" t="e">
        <f aca="false">(N111/M111)-1</f>
        <v>#N/A</v>
      </c>
    </row>
    <row r="112" customFormat="false" ht="12.75" hidden="false" customHeight="true" outlineLevel="0" collapsed="false">
      <c r="A112" s="641" t="s">
        <v>1217</v>
      </c>
      <c r="B112" s="642" t="s">
        <v>1018</v>
      </c>
      <c r="C112" s="642" t="s">
        <v>1218</v>
      </c>
      <c r="D112" s="642"/>
      <c r="E112" s="642"/>
      <c r="F112" s="642"/>
      <c r="G112" s="642"/>
      <c r="H112" s="642"/>
      <c r="I112" s="642"/>
      <c r="J112" s="642"/>
      <c r="K112" s="642"/>
      <c r="L112" s="642" t="s">
        <v>178</v>
      </c>
      <c r="M112" s="643" t="n">
        <v>1600.93</v>
      </c>
      <c r="N112" s="644" t="e">
        <f aca="false">VLOOKUP(A112,'[1]2023.10 CPU´s'!U$1:AF$1048576,11,FALSE())</f>
        <v>#N/A</v>
      </c>
      <c r="O112" s="645" t="e">
        <f aca="false">(N112/M112)-1</f>
        <v>#N/A</v>
      </c>
    </row>
    <row r="113" customFormat="false" ht="12.75" hidden="false" customHeight="true" outlineLevel="0" collapsed="false">
      <c r="A113" s="641" t="s">
        <v>1219</v>
      </c>
      <c r="B113" s="642" t="s">
        <v>1018</v>
      </c>
      <c r="C113" s="642" t="s">
        <v>1220</v>
      </c>
      <c r="D113" s="642"/>
      <c r="E113" s="642"/>
      <c r="F113" s="642"/>
      <c r="G113" s="642"/>
      <c r="H113" s="642"/>
      <c r="I113" s="642"/>
      <c r="J113" s="642"/>
      <c r="K113" s="642"/>
      <c r="L113" s="642" t="s">
        <v>178</v>
      </c>
      <c r="M113" s="643" t="n">
        <v>1196.56</v>
      </c>
      <c r="N113" s="644" t="e">
        <f aca="false">VLOOKUP(A113,'[1]2023.10 CPU´s'!U$1:AF$1048576,11,FALSE())</f>
        <v>#N/A</v>
      </c>
      <c r="O113" s="645" t="e">
        <f aca="false">(N113/M113)-1</f>
        <v>#N/A</v>
      </c>
    </row>
    <row r="114" customFormat="false" ht="12.75" hidden="false" customHeight="true" outlineLevel="0" collapsed="false">
      <c r="A114" s="641" t="s">
        <v>1221</v>
      </c>
      <c r="B114" s="642" t="s">
        <v>1018</v>
      </c>
      <c r="C114" s="642" t="s">
        <v>1222</v>
      </c>
      <c r="D114" s="642"/>
      <c r="E114" s="642"/>
      <c r="F114" s="642"/>
      <c r="G114" s="642"/>
      <c r="H114" s="642"/>
      <c r="I114" s="642"/>
      <c r="J114" s="642"/>
      <c r="K114" s="642"/>
      <c r="L114" s="642" t="s">
        <v>178</v>
      </c>
      <c r="M114" s="643" t="n">
        <v>960.02</v>
      </c>
      <c r="N114" s="644" t="e">
        <f aca="false">VLOOKUP(A114,'[1]2023.10 CPU´s'!U$1:AF$1048576,11,FALSE())</f>
        <v>#N/A</v>
      </c>
      <c r="O114" s="645" t="e">
        <f aca="false">(N114/M114)-1</f>
        <v>#N/A</v>
      </c>
    </row>
    <row r="115" customFormat="false" ht="12.75" hidden="false" customHeight="true" outlineLevel="0" collapsed="false">
      <c r="A115" s="636" t="s">
        <v>1223</v>
      </c>
      <c r="B115" s="637" t="s">
        <v>1018</v>
      </c>
      <c r="C115" s="637" t="s">
        <v>1224</v>
      </c>
      <c r="D115" s="637"/>
      <c r="E115" s="637"/>
      <c r="F115" s="637"/>
      <c r="G115" s="637"/>
      <c r="H115" s="637"/>
      <c r="I115" s="637"/>
      <c r="J115" s="637"/>
      <c r="K115" s="637"/>
      <c r="L115" s="638"/>
      <c r="M115" s="638"/>
      <c r="N115" s="639"/>
      <c r="O115" s="640"/>
    </row>
    <row r="116" customFormat="false" ht="12.75" hidden="false" customHeight="true" outlineLevel="0" collapsed="false">
      <c r="A116" s="641" t="s">
        <v>1225</v>
      </c>
      <c r="B116" s="642" t="s">
        <v>1018</v>
      </c>
      <c r="C116" s="642" t="s">
        <v>1226</v>
      </c>
      <c r="D116" s="642"/>
      <c r="E116" s="642"/>
      <c r="F116" s="642"/>
      <c r="G116" s="642"/>
      <c r="H116" s="642"/>
      <c r="I116" s="642"/>
      <c r="J116" s="642"/>
      <c r="K116" s="642"/>
      <c r="L116" s="642" t="s">
        <v>259</v>
      </c>
      <c r="M116" s="643" t="n">
        <v>4162.14</v>
      </c>
      <c r="N116" s="644" t="e">
        <f aca="false">VLOOKUP(A116,'[1]2023.10 CPU´s'!U$1:AF$1048576,11,FALSE())</f>
        <v>#N/A</v>
      </c>
      <c r="O116" s="645" t="e">
        <f aca="false">(N116/M116)-1</f>
        <v>#N/A</v>
      </c>
    </row>
    <row r="117" customFormat="false" ht="12.75" hidden="false" customHeight="true" outlineLevel="0" collapsed="false">
      <c r="A117" s="641" t="s">
        <v>1227</v>
      </c>
      <c r="B117" s="642" t="s">
        <v>1018</v>
      </c>
      <c r="C117" s="642" t="s">
        <v>1228</v>
      </c>
      <c r="D117" s="642"/>
      <c r="E117" s="642"/>
      <c r="F117" s="642"/>
      <c r="G117" s="642"/>
      <c r="H117" s="642"/>
      <c r="I117" s="642"/>
      <c r="J117" s="642"/>
      <c r="K117" s="642"/>
      <c r="L117" s="642" t="s">
        <v>259</v>
      </c>
      <c r="M117" s="643" t="n">
        <v>8324.27</v>
      </c>
      <c r="N117" s="644" t="e">
        <f aca="false">VLOOKUP(A117,'[1]2023.10 CPU´s'!U$1:AF$1048576,11,FALSE())</f>
        <v>#N/A</v>
      </c>
      <c r="O117" s="645" t="e">
        <f aca="false">(N117/M117)-1</f>
        <v>#N/A</v>
      </c>
    </row>
    <row r="118" customFormat="false" ht="12.75" hidden="false" customHeight="true" outlineLevel="0" collapsed="false">
      <c r="A118" s="641" t="s">
        <v>1229</v>
      </c>
      <c r="B118" s="642" t="s">
        <v>1018</v>
      </c>
      <c r="C118" s="642" t="s">
        <v>1230</v>
      </c>
      <c r="D118" s="642"/>
      <c r="E118" s="642"/>
      <c r="F118" s="642"/>
      <c r="G118" s="642"/>
      <c r="H118" s="642"/>
      <c r="I118" s="642"/>
      <c r="J118" s="642"/>
      <c r="K118" s="642"/>
      <c r="L118" s="642" t="s">
        <v>259</v>
      </c>
      <c r="M118" s="643" t="n">
        <v>12483.65</v>
      </c>
      <c r="N118" s="644" t="e">
        <f aca="false">VLOOKUP(A118,'[1]2023.10 CPU´s'!U$1:AF$1048576,11,FALSE())</f>
        <v>#N/A</v>
      </c>
      <c r="O118" s="645" t="e">
        <f aca="false">(N118/M118)-1</f>
        <v>#N/A</v>
      </c>
    </row>
    <row r="119" customFormat="false" ht="12.75" hidden="false" customHeight="true" outlineLevel="0" collapsed="false">
      <c r="A119" s="641" t="s">
        <v>1231</v>
      </c>
      <c r="B119" s="642" t="s">
        <v>1018</v>
      </c>
      <c r="C119" s="642" t="s">
        <v>1232</v>
      </c>
      <c r="D119" s="642"/>
      <c r="E119" s="642"/>
      <c r="F119" s="642"/>
      <c r="G119" s="642"/>
      <c r="H119" s="642"/>
      <c r="I119" s="642"/>
      <c r="J119" s="642"/>
      <c r="K119" s="642"/>
      <c r="L119" s="642" t="s">
        <v>259</v>
      </c>
      <c r="M119" s="643" t="n">
        <v>2679.02</v>
      </c>
      <c r="N119" s="644" t="e">
        <f aca="false">VLOOKUP(A119,'[1]2023.10 CPU´s'!U$1:AF$1048576,11,FALSE())</f>
        <v>#N/A</v>
      </c>
      <c r="O119" s="645" t="e">
        <f aca="false">(N119/M119)-1</f>
        <v>#N/A</v>
      </c>
    </row>
    <row r="120" customFormat="false" ht="12.75" hidden="false" customHeight="true" outlineLevel="0" collapsed="false">
      <c r="A120" s="641" t="s">
        <v>1233</v>
      </c>
      <c r="B120" s="642" t="s">
        <v>1018</v>
      </c>
      <c r="C120" s="642" t="s">
        <v>1234</v>
      </c>
      <c r="D120" s="642"/>
      <c r="E120" s="642"/>
      <c r="F120" s="642"/>
      <c r="G120" s="642"/>
      <c r="H120" s="642"/>
      <c r="I120" s="642"/>
      <c r="J120" s="642"/>
      <c r="K120" s="642"/>
      <c r="L120" s="642" t="s">
        <v>259</v>
      </c>
      <c r="M120" s="643" t="n">
        <v>4074.7</v>
      </c>
      <c r="N120" s="644" t="e">
        <f aca="false">VLOOKUP(A120,'[1]2023.10 CPU´s'!U$1:AF$1048576,11,FALSE())</f>
        <v>#N/A</v>
      </c>
      <c r="O120" s="645" t="e">
        <f aca="false">(N120/M120)-1</f>
        <v>#N/A</v>
      </c>
    </row>
    <row r="121" customFormat="false" ht="12.75" hidden="false" customHeight="true" outlineLevel="0" collapsed="false">
      <c r="A121" s="641" t="s">
        <v>1235</v>
      </c>
      <c r="B121" s="642" t="s">
        <v>1018</v>
      </c>
      <c r="C121" s="642" t="s">
        <v>1236</v>
      </c>
      <c r="D121" s="642"/>
      <c r="E121" s="642"/>
      <c r="F121" s="642"/>
      <c r="G121" s="642"/>
      <c r="H121" s="642"/>
      <c r="I121" s="642"/>
      <c r="J121" s="642"/>
      <c r="K121" s="642"/>
      <c r="L121" s="642" t="s">
        <v>259</v>
      </c>
      <c r="M121" s="643" t="n">
        <v>8106.64</v>
      </c>
      <c r="N121" s="644" t="e">
        <f aca="false">VLOOKUP(A121,'[1]2023.10 CPU´s'!U$1:AF$1048576,11,FALSE())</f>
        <v>#N/A</v>
      </c>
      <c r="O121" s="645" t="e">
        <f aca="false">(N121/M121)-1</f>
        <v>#N/A</v>
      </c>
    </row>
    <row r="122" customFormat="false" ht="12.75" hidden="false" customHeight="true" outlineLevel="0" collapsed="false">
      <c r="A122" s="641" t="s">
        <v>1237</v>
      </c>
      <c r="B122" s="642" t="s">
        <v>1018</v>
      </c>
      <c r="C122" s="642" t="s">
        <v>1238</v>
      </c>
      <c r="D122" s="642"/>
      <c r="E122" s="642"/>
      <c r="F122" s="642"/>
      <c r="G122" s="642"/>
      <c r="H122" s="642"/>
      <c r="I122" s="642"/>
      <c r="J122" s="642"/>
      <c r="K122" s="642"/>
      <c r="L122" s="642" t="s">
        <v>259</v>
      </c>
      <c r="M122" s="643" t="n">
        <v>4074.7</v>
      </c>
      <c r="N122" s="644" t="e">
        <f aca="false">VLOOKUP(A122,'[1]2023.10 CPU´s'!U$1:AF$1048576,11,FALSE())</f>
        <v>#N/A</v>
      </c>
      <c r="O122" s="645" t="e">
        <f aca="false">(N122/M122)-1</f>
        <v>#N/A</v>
      </c>
    </row>
    <row r="123" customFormat="false" ht="12.75" hidden="false" customHeight="true" outlineLevel="0" collapsed="false">
      <c r="A123" s="641" t="s">
        <v>1239</v>
      </c>
      <c r="B123" s="642" t="s">
        <v>1018</v>
      </c>
      <c r="C123" s="642" t="s">
        <v>1240</v>
      </c>
      <c r="D123" s="642"/>
      <c r="E123" s="642"/>
      <c r="F123" s="642"/>
      <c r="G123" s="642"/>
      <c r="H123" s="642"/>
      <c r="I123" s="642"/>
      <c r="J123" s="642"/>
      <c r="K123" s="642"/>
      <c r="L123" s="642" t="s">
        <v>259</v>
      </c>
      <c r="M123" s="643" t="n">
        <v>8106.64</v>
      </c>
      <c r="N123" s="644" t="e">
        <f aca="false">VLOOKUP(A123,'[1]2023.10 CPU´s'!U$1:AF$1048576,11,FALSE())</f>
        <v>#N/A</v>
      </c>
      <c r="O123" s="645" t="e">
        <f aca="false">(N123/M123)-1</f>
        <v>#N/A</v>
      </c>
    </row>
    <row r="124" customFormat="false" ht="12.75" hidden="false" customHeight="true" outlineLevel="0" collapsed="false">
      <c r="A124" s="641" t="s">
        <v>1241</v>
      </c>
      <c r="B124" s="642" t="s">
        <v>1018</v>
      </c>
      <c r="C124" s="642" t="s">
        <v>1242</v>
      </c>
      <c r="D124" s="642"/>
      <c r="E124" s="642"/>
      <c r="F124" s="642"/>
      <c r="G124" s="642"/>
      <c r="H124" s="642"/>
      <c r="I124" s="642"/>
      <c r="J124" s="642"/>
      <c r="K124" s="642"/>
      <c r="L124" s="642" t="s">
        <v>582</v>
      </c>
      <c r="M124" s="643" t="n">
        <v>7573.53</v>
      </c>
      <c r="N124" s="644" t="e">
        <f aca="false">VLOOKUP(A124,'[1]2023.10 CPU´s'!U$1:AF$1048576,11,FALSE())</f>
        <v>#N/A</v>
      </c>
      <c r="O124" s="645" t="e">
        <f aca="false">(N124/M124)-1</f>
        <v>#N/A</v>
      </c>
    </row>
    <row r="125" customFormat="false" ht="12.75" hidden="false" customHeight="true" outlineLevel="0" collapsed="false">
      <c r="A125" s="636" t="s">
        <v>1243</v>
      </c>
      <c r="B125" s="637" t="s">
        <v>1018</v>
      </c>
      <c r="C125" s="637" t="s">
        <v>1244</v>
      </c>
      <c r="D125" s="637"/>
      <c r="E125" s="637"/>
      <c r="F125" s="637"/>
      <c r="G125" s="637"/>
      <c r="H125" s="637"/>
      <c r="I125" s="637"/>
      <c r="J125" s="637"/>
      <c r="K125" s="637"/>
      <c r="L125" s="638"/>
      <c r="M125" s="638"/>
      <c r="N125" s="639"/>
      <c r="O125" s="640"/>
    </row>
    <row r="126" customFormat="false" ht="12.75" hidden="false" customHeight="true" outlineLevel="0" collapsed="false">
      <c r="A126" s="641" t="s">
        <v>1245</v>
      </c>
      <c r="B126" s="642" t="s">
        <v>1018</v>
      </c>
      <c r="C126" s="642" t="s">
        <v>1246</v>
      </c>
      <c r="D126" s="642"/>
      <c r="E126" s="642"/>
      <c r="F126" s="642"/>
      <c r="G126" s="642"/>
      <c r="H126" s="642"/>
      <c r="I126" s="642"/>
      <c r="J126" s="642"/>
      <c r="K126" s="642"/>
      <c r="L126" s="642" t="s">
        <v>582</v>
      </c>
      <c r="M126" s="643" t="n">
        <v>6697.8</v>
      </c>
      <c r="N126" s="644" t="e">
        <f aca="false">VLOOKUP(A126,'[1]2023.10 CPU´s'!U$1:AF$1048576,11,FALSE())</f>
        <v>#N/A</v>
      </c>
      <c r="O126" s="645" t="e">
        <f aca="false">(N126/M126)-1</f>
        <v>#N/A</v>
      </c>
    </row>
    <row r="127" customFormat="false" ht="12.75" hidden="false" customHeight="true" outlineLevel="0" collapsed="false">
      <c r="A127" s="641" t="s">
        <v>1247</v>
      </c>
      <c r="B127" s="642" t="s">
        <v>1018</v>
      </c>
      <c r="C127" s="642" t="s">
        <v>1248</v>
      </c>
      <c r="D127" s="642"/>
      <c r="E127" s="642"/>
      <c r="F127" s="642"/>
      <c r="G127" s="642"/>
      <c r="H127" s="642"/>
      <c r="I127" s="642"/>
      <c r="J127" s="642"/>
      <c r="K127" s="642"/>
      <c r="L127" s="642" t="s">
        <v>582</v>
      </c>
      <c r="M127" s="643" t="n">
        <v>2396.58</v>
      </c>
      <c r="N127" s="644" t="e">
        <f aca="false">VLOOKUP(A127,'[1]2023.10 CPU´s'!U$1:AF$1048576,11,FALSE())</f>
        <v>#N/A</v>
      </c>
      <c r="O127" s="645" t="e">
        <f aca="false">(N127/M127)-1</f>
        <v>#N/A</v>
      </c>
    </row>
    <row r="128" customFormat="false" ht="12.75" hidden="false" customHeight="true" outlineLevel="0" collapsed="false">
      <c r="A128" s="641" t="s">
        <v>1249</v>
      </c>
      <c r="B128" s="642" t="s">
        <v>1018</v>
      </c>
      <c r="C128" s="642" t="s">
        <v>1250</v>
      </c>
      <c r="D128" s="642"/>
      <c r="E128" s="642"/>
      <c r="F128" s="642"/>
      <c r="G128" s="642"/>
      <c r="H128" s="642"/>
      <c r="I128" s="642"/>
      <c r="J128" s="642"/>
      <c r="K128" s="642"/>
      <c r="L128" s="642" t="s">
        <v>582</v>
      </c>
      <c r="M128" s="643" t="n">
        <v>11786.32</v>
      </c>
      <c r="N128" s="644" t="e">
        <f aca="false">VLOOKUP(A128,'[1]2023.10 CPU´s'!U$1:AF$1048576,11,FALSE())</f>
        <v>#N/A</v>
      </c>
      <c r="O128" s="645" t="e">
        <f aca="false">(N128/M128)-1</f>
        <v>#N/A</v>
      </c>
    </row>
    <row r="129" customFormat="false" ht="12.75" hidden="false" customHeight="true" outlineLevel="0" collapsed="false">
      <c r="A129" s="641" t="s">
        <v>1251</v>
      </c>
      <c r="B129" s="642" t="s">
        <v>1018</v>
      </c>
      <c r="C129" s="642" t="s">
        <v>1252</v>
      </c>
      <c r="D129" s="642"/>
      <c r="E129" s="642"/>
      <c r="F129" s="642"/>
      <c r="G129" s="642"/>
      <c r="H129" s="642"/>
      <c r="I129" s="642"/>
      <c r="J129" s="642"/>
      <c r="K129" s="642"/>
      <c r="L129" s="642" t="s">
        <v>582</v>
      </c>
      <c r="M129" s="643" t="n">
        <v>7693.8</v>
      </c>
      <c r="N129" s="644" t="e">
        <f aca="false">VLOOKUP(A129,'[1]2023.10 CPU´s'!U$1:AF$1048576,11,FALSE())</f>
        <v>#N/A</v>
      </c>
      <c r="O129" s="645" t="e">
        <f aca="false">(N129/M129)-1</f>
        <v>#N/A</v>
      </c>
    </row>
    <row r="130" customFormat="false" ht="12.75" hidden="false" customHeight="true" outlineLevel="0" collapsed="false">
      <c r="A130" s="641" t="s">
        <v>1253</v>
      </c>
      <c r="B130" s="642" t="s">
        <v>1018</v>
      </c>
      <c r="C130" s="642" t="s">
        <v>1170</v>
      </c>
      <c r="D130" s="642"/>
      <c r="E130" s="642"/>
      <c r="F130" s="642"/>
      <c r="G130" s="642"/>
      <c r="H130" s="642"/>
      <c r="I130" s="642"/>
      <c r="J130" s="642"/>
      <c r="K130" s="642"/>
      <c r="L130" s="642" t="s">
        <v>178</v>
      </c>
      <c r="M130" s="643" t="n">
        <v>1437.94</v>
      </c>
      <c r="N130" s="644" t="e">
        <f aca="false">VLOOKUP(A130,'[1]2023.10 CPU´s'!U$1:AF$1048576,11,FALSE())</f>
        <v>#N/A</v>
      </c>
      <c r="O130" s="645" t="e">
        <f aca="false">(N130/M130)-1</f>
        <v>#N/A</v>
      </c>
    </row>
    <row r="131" customFormat="false" ht="12.75" hidden="false" customHeight="true" outlineLevel="0" collapsed="false">
      <c r="A131" s="641" t="s">
        <v>1254</v>
      </c>
      <c r="B131" s="642" t="s">
        <v>1018</v>
      </c>
      <c r="C131" s="642" t="s">
        <v>1255</v>
      </c>
      <c r="D131" s="642"/>
      <c r="E131" s="642"/>
      <c r="F131" s="642"/>
      <c r="G131" s="642"/>
      <c r="H131" s="642"/>
      <c r="I131" s="642"/>
      <c r="J131" s="642"/>
      <c r="K131" s="642"/>
      <c r="L131" s="642" t="s">
        <v>178</v>
      </c>
      <c r="M131" s="643" t="n">
        <v>1326.6</v>
      </c>
      <c r="N131" s="644" t="e">
        <f aca="false">VLOOKUP(A131,'[1]2023.10 CPU´s'!U$1:AF$1048576,11,FALSE())</f>
        <v>#N/A</v>
      </c>
      <c r="O131" s="645" t="e">
        <f aca="false">(N131/M131)-1</f>
        <v>#N/A</v>
      </c>
    </row>
    <row r="132" customFormat="false" ht="12.75" hidden="false" customHeight="true" outlineLevel="0" collapsed="false">
      <c r="A132" s="641" t="s">
        <v>1256</v>
      </c>
      <c r="B132" s="642" t="s">
        <v>1018</v>
      </c>
      <c r="C132" s="642" t="s">
        <v>1257</v>
      </c>
      <c r="D132" s="642"/>
      <c r="E132" s="642"/>
      <c r="F132" s="642"/>
      <c r="G132" s="642"/>
      <c r="H132" s="642"/>
      <c r="I132" s="642"/>
      <c r="J132" s="642"/>
      <c r="K132" s="642"/>
      <c r="L132" s="642" t="s">
        <v>582</v>
      </c>
      <c r="M132" s="643" t="n">
        <v>2030.24</v>
      </c>
      <c r="N132" s="644" t="e">
        <f aca="false">VLOOKUP(A132,'[1]2023.10 CPU´s'!U$1:AF$1048576,11,FALSE())</f>
        <v>#N/A</v>
      </c>
      <c r="O132" s="645" t="e">
        <f aca="false">(N132/M132)-1</f>
        <v>#N/A</v>
      </c>
    </row>
    <row r="133" customFormat="false" ht="12.75" hidden="false" customHeight="true" outlineLevel="0" collapsed="false">
      <c r="A133" s="641" t="s">
        <v>1258</v>
      </c>
      <c r="B133" s="642" t="s">
        <v>1018</v>
      </c>
      <c r="C133" s="642" t="s">
        <v>1259</v>
      </c>
      <c r="D133" s="642"/>
      <c r="E133" s="642"/>
      <c r="F133" s="642"/>
      <c r="G133" s="642"/>
      <c r="H133" s="642"/>
      <c r="I133" s="642"/>
      <c r="J133" s="642"/>
      <c r="K133" s="642"/>
      <c r="L133" s="642" t="s">
        <v>582</v>
      </c>
      <c r="M133" s="643" t="n">
        <v>3154.8</v>
      </c>
      <c r="N133" s="644" t="e">
        <f aca="false">VLOOKUP(A133,'[1]2023.10 CPU´s'!U$1:AF$1048576,11,FALSE())</f>
        <v>#N/A</v>
      </c>
      <c r="O133" s="645" t="e">
        <f aca="false">(N133/M133)-1</f>
        <v>#N/A</v>
      </c>
    </row>
    <row r="134" customFormat="false" ht="12.75" hidden="false" customHeight="true" outlineLevel="0" collapsed="false">
      <c r="A134" s="641" t="s">
        <v>1260</v>
      </c>
      <c r="B134" s="642" t="s">
        <v>1018</v>
      </c>
      <c r="C134" s="642" t="s">
        <v>1261</v>
      </c>
      <c r="D134" s="642"/>
      <c r="E134" s="642"/>
      <c r="F134" s="642"/>
      <c r="G134" s="642"/>
      <c r="H134" s="642"/>
      <c r="I134" s="642"/>
      <c r="J134" s="642"/>
      <c r="K134" s="642"/>
      <c r="L134" s="642" t="s">
        <v>582</v>
      </c>
      <c r="M134" s="643" t="n">
        <v>2483.83</v>
      </c>
      <c r="N134" s="644" t="e">
        <f aca="false">VLOOKUP(A134,'[1]2023.10 CPU´s'!U$1:AF$1048576,11,FALSE())</f>
        <v>#N/A</v>
      </c>
      <c r="O134" s="645" t="e">
        <f aca="false">(N134/M134)-1</f>
        <v>#N/A</v>
      </c>
    </row>
    <row r="135" customFormat="false" ht="12.75" hidden="false" customHeight="true" outlineLevel="0" collapsed="false">
      <c r="A135" s="641" t="s">
        <v>1262</v>
      </c>
      <c r="B135" s="642" t="s">
        <v>1018</v>
      </c>
      <c r="C135" s="642" t="s">
        <v>1263</v>
      </c>
      <c r="D135" s="642"/>
      <c r="E135" s="642"/>
      <c r="F135" s="642"/>
      <c r="G135" s="642"/>
      <c r="H135" s="642"/>
      <c r="I135" s="642"/>
      <c r="J135" s="642"/>
      <c r="K135" s="642"/>
      <c r="L135" s="642" t="s">
        <v>582</v>
      </c>
      <c r="M135" s="643" t="n">
        <v>1688.4</v>
      </c>
      <c r="N135" s="644" t="e">
        <f aca="false">VLOOKUP(A135,'[1]2023.10 CPU´s'!U$1:AF$1048576,11,FALSE())</f>
        <v>#N/A</v>
      </c>
      <c r="O135" s="645" t="e">
        <f aca="false">(N135/M135)-1</f>
        <v>#N/A</v>
      </c>
    </row>
    <row r="136" customFormat="false" ht="12.75" hidden="false" customHeight="true" outlineLevel="0" collapsed="false">
      <c r="A136" s="641" t="s">
        <v>1264</v>
      </c>
      <c r="B136" s="642" t="s">
        <v>1018</v>
      </c>
      <c r="C136" s="642" t="s">
        <v>1190</v>
      </c>
      <c r="D136" s="642"/>
      <c r="E136" s="642"/>
      <c r="F136" s="642"/>
      <c r="G136" s="642"/>
      <c r="H136" s="642"/>
      <c r="I136" s="642"/>
      <c r="J136" s="642"/>
      <c r="K136" s="642"/>
      <c r="L136" s="642" t="s">
        <v>178</v>
      </c>
      <c r="M136" s="643" t="n">
        <v>1472.73</v>
      </c>
      <c r="N136" s="644" t="e">
        <f aca="false">VLOOKUP(A136,'[1]2023.10 CPU´s'!U$1:AF$1048576,11,FALSE())</f>
        <v>#N/A</v>
      </c>
      <c r="O136" s="645" t="e">
        <f aca="false">(N136/M136)-1</f>
        <v>#N/A</v>
      </c>
    </row>
    <row r="137" customFormat="false" ht="12.75" hidden="false" customHeight="true" outlineLevel="0" collapsed="false">
      <c r="A137" s="641" t="s">
        <v>1265</v>
      </c>
      <c r="B137" s="642" t="s">
        <v>1018</v>
      </c>
      <c r="C137" s="642" t="s">
        <v>1266</v>
      </c>
      <c r="D137" s="642"/>
      <c r="E137" s="642"/>
      <c r="F137" s="642"/>
      <c r="G137" s="642"/>
      <c r="H137" s="642"/>
      <c r="I137" s="642"/>
      <c r="J137" s="642"/>
      <c r="K137" s="642"/>
      <c r="L137" s="642" t="s">
        <v>178</v>
      </c>
      <c r="M137" s="643" t="n">
        <v>2722.71</v>
      </c>
      <c r="N137" s="644" t="e">
        <f aca="false">VLOOKUP(A137,'[1]2023.10 CPU´s'!U$1:AF$1048576,11,FALSE())</f>
        <v>#N/A</v>
      </c>
      <c r="O137" s="645" t="e">
        <f aca="false">(N137/M137)-1</f>
        <v>#N/A</v>
      </c>
    </row>
    <row r="138" customFormat="false" ht="12.75" hidden="false" customHeight="true" outlineLevel="0" collapsed="false">
      <c r="A138" s="641" t="s">
        <v>1267</v>
      </c>
      <c r="B138" s="642" t="s">
        <v>1018</v>
      </c>
      <c r="C138" s="642" t="s">
        <v>1180</v>
      </c>
      <c r="D138" s="642"/>
      <c r="E138" s="642"/>
      <c r="F138" s="642"/>
      <c r="G138" s="642"/>
      <c r="H138" s="642"/>
      <c r="I138" s="642"/>
      <c r="J138" s="642"/>
      <c r="K138" s="642"/>
      <c r="L138" s="642" t="s">
        <v>178</v>
      </c>
      <c r="M138" s="643" t="n">
        <v>2032.47</v>
      </c>
      <c r="N138" s="644" t="e">
        <f aca="false">VLOOKUP(A138,'[1]2023.10 CPU´s'!U$1:AF$1048576,11,FALSE())</f>
        <v>#N/A</v>
      </c>
      <c r="O138" s="645" t="e">
        <f aca="false">(N138/M138)-1</f>
        <v>#N/A</v>
      </c>
    </row>
    <row r="139" customFormat="false" ht="12.75" hidden="false" customHeight="true" outlineLevel="0" collapsed="false">
      <c r="A139" s="641" t="s">
        <v>1268</v>
      </c>
      <c r="B139" s="642" t="s">
        <v>1018</v>
      </c>
      <c r="C139" s="642" t="s">
        <v>1269</v>
      </c>
      <c r="D139" s="642"/>
      <c r="E139" s="642"/>
      <c r="F139" s="642"/>
      <c r="G139" s="642"/>
      <c r="H139" s="642"/>
      <c r="I139" s="642"/>
      <c r="J139" s="642"/>
      <c r="K139" s="642"/>
      <c r="L139" s="642" t="s">
        <v>178</v>
      </c>
      <c r="M139" s="643" t="n">
        <v>1579.34</v>
      </c>
      <c r="N139" s="644" t="e">
        <f aca="false">VLOOKUP(A139,'[1]2023.10 CPU´s'!U$1:AF$1048576,11,FALSE())</f>
        <v>#N/A</v>
      </c>
      <c r="O139" s="645" t="e">
        <f aca="false">(N139/M139)-1</f>
        <v>#N/A</v>
      </c>
    </row>
    <row r="140" customFormat="false" ht="12.75" hidden="false" customHeight="true" outlineLevel="0" collapsed="false">
      <c r="A140" s="641" t="s">
        <v>1270</v>
      </c>
      <c r="B140" s="642" t="s">
        <v>1018</v>
      </c>
      <c r="C140" s="642" t="s">
        <v>1271</v>
      </c>
      <c r="D140" s="642"/>
      <c r="E140" s="642"/>
      <c r="F140" s="642"/>
      <c r="G140" s="642"/>
      <c r="H140" s="642"/>
      <c r="I140" s="642"/>
      <c r="J140" s="642"/>
      <c r="K140" s="642"/>
      <c r="L140" s="642" t="s">
        <v>178</v>
      </c>
      <c r="M140" s="643" t="n">
        <v>1891.02</v>
      </c>
      <c r="N140" s="644" t="e">
        <f aca="false">VLOOKUP(A140,'[1]2023.10 CPU´s'!U$1:AF$1048576,11,FALSE())</f>
        <v>#N/A</v>
      </c>
      <c r="O140" s="645" t="e">
        <f aca="false">(N140/M140)-1</f>
        <v>#N/A</v>
      </c>
    </row>
    <row r="141" customFormat="false" ht="12.75" hidden="false" customHeight="true" outlineLevel="0" collapsed="false">
      <c r="A141" s="641" t="s">
        <v>1272</v>
      </c>
      <c r="B141" s="642" t="s">
        <v>1018</v>
      </c>
      <c r="C141" s="642" t="s">
        <v>1273</v>
      </c>
      <c r="D141" s="642"/>
      <c r="E141" s="642"/>
      <c r="F141" s="642"/>
      <c r="G141" s="642"/>
      <c r="H141" s="642"/>
      <c r="I141" s="642"/>
      <c r="J141" s="642"/>
      <c r="K141" s="642"/>
      <c r="L141" s="642" t="s">
        <v>178</v>
      </c>
      <c r="M141" s="643" t="n">
        <v>3734.42</v>
      </c>
      <c r="N141" s="644" t="e">
        <f aca="false">VLOOKUP(A141,'[1]2023.10 CPU´s'!U$1:AF$1048576,11,FALSE())</f>
        <v>#N/A</v>
      </c>
      <c r="O141" s="645" t="e">
        <f aca="false">(N141/M141)-1</f>
        <v>#N/A</v>
      </c>
    </row>
    <row r="142" customFormat="false" ht="12.75" hidden="false" customHeight="true" outlineLevel="0" collapsed="false">
      <c r="A142" s="641" t="s">
        <v>1274</v>
      </c>
      <c r="B142" s="642" t="s">
        <v>1018</v>
      </c>
      <c r="C142" s="642" t="s">
        <v>1275</v>
      </c>
      <c r="D142" s="642"/>
      <c r="E142" s="642"/>
      <c r="F142" s="642"/>
      <c r="G142" s="642"/>
      <c r="H142" s="642"/>
      <c r="I142" s="642"/>
      <c r="J142" s="642"/>
      <c r="K142" s="642"/>
      <c r="L142" s="642" t="s">
        <v>178</v>
      </c>
      <c r="M142" s="643" t="n">
        <v>1027.22</v>
      </c>
      <c r="N142" s="644" t="e">
        <f aca="false">VLOOKUP(A142,'[1]2023.10 CPU´s'!U$1:AF$1048576,11,FALSE())</f>
        <v>#N/A</v>
      </c>
      <c r="O142" s="645" t="e">
        <f aca="false">(N142/M142)-1</f>
        <v>#N/A</v>
      </c>
    </row>
    <row r="143" customFormat="false" ht="12.75" hidden="false" customHeight="true" outlineLevel="0" collapsed="false">
      <c r="A143" s="641" t="s">
        <v>1276</v>
      </c>
      <c r="B143" s="642" t="s">
        <v>1018</v>
      </c>
      <c r="C143" s="642" t="s">
        <v>1277</v>
      </c>
      <c r="D143" s="642"/>
      <c r="E143" s="642"/>
      <c r="F143" s="642"/>
      <c r="G143" s="642"/>
      <c r="H143" s="642"/>
      <c r="I143" s="642"/>
      <c r="J143" s="642"/>
      <c r="K143" s="642"/>
      <c r="L143" s="642" t="s">
        <v>582</v>
      </c>
      <c r="M143" s="643" t="n">
        <v>6347.8</v>
      </c>
      <c r="N143" s="644" t="e">
        <f aca="false">VLOOKUP(A143,'[1]2023.10 CPU´s'!U$1:AF$1048576,11,FALSE())</f>
        <v>#N/A</v>
      </c>
      <c r="O143" s="645" t="e">
        <f aca="false">(N143/M143)-1</f>
        <v>#N/A</v>
      </c>
    </row>
    <row r="144" customFormat="false" ht="12.75" hidden="false" customHeight="true" outlineLevel="0" collapsed="false">
      <c r="A144" s="636" t="s">
        <v>1278</v>
      </c>
      <c r="B144" s="637" t="s">
        <v>1018</v>
      </c>
      <c r="C144" s="637" t="s">
        <v>1279</v>
      </c>
      <c r="D144" s="637"/>
      <c r="E144" s="637"/>
      <c r="F144" s="637"/>
      <c r="G144" s="637"/>
      <c r="H144" s="637"/>
      <c r="I144" s="637"/>
      <c r="J144" s="637"/>
      <c r="K144" s="637"/>
      <c r="L144" s="638"/>
      <c r="M144" s="638"/>
      <c r="N144" s="639"/>
      <c r="O144" s="640"/>
    </row>
    <row r="145" customFormat="false" ht="12.75" hidden="false" customHeight="true" outlineLevel="0" collapsed="false">
      <c r="A145" s="641" t="s">
        <v>1280</v>
      </c>
      <c r="B145" s="642" t="s">
        <v>1018</v>
      </c>
      <c r="C145" s="642" t="s">
        <v>1281</v>
      </c>
      <c r="D145" s="642"/>
      <c r="E145" s="642"/>
      <c r="F145" s="642"/>
      <c r="G145" s="642"/>
      <c r="H145" s="642"/>
      <c r="I145" s="642"/>
      <c r="J145" s="642"/>
      <c r="K145" s="642"/>
      <c r="L145" s="642" t="s">
        <v>259</v>
      </c>
      <c r="M145" s="643" t="n">
        <v>5543.66</v>
      </c>
      <c r="N145" s="644" t="e">
        <f aca="false">VLOOKUP(A145,'[1]2023.10 CPU´s'!U$1:AF$1048576,11,FALSE())</f>
        <v>#N/A</v>
      </c>
      <c r="O145" s="645" t="e">
        <f aca="false">(N145/M145)-1</f>
        <v>#N/A</v>
      </c>
    </row>
    <row r="146" customFormat="false" ht="12.75" hidden="false" customHeight="true" outlineLevel="0" collapsed="false">
      <c r="A146" s="641" t="s">
        <v>1282</v>
      </c>
      <c r="B146" s="642" t="s">
        <v>1018</v>
      </c>
      <c r="C146" s="642" t="s">
        <v>1283</v>
      </c>
      <c r="D146" s="642"/>
      <c r="E146" s="642"/>
      <c r="F146" s="642"/>
      <c r="G146" s="642"/>
      <c r="H146" s="642"/>
      <c r="I146" s="642"/>
      <c r="J146" s="642"/>
      <c r="K146" s="642"/>
      <c r="L146" s="642" t="s">
        <v>259</v>
      </c>
      <c r="M146" s="643" t="n">
        <v>9561.28</v>
      </c>
      <c r="N146" s="644" t="e">
        <f aca="false">VLOOKUP(A146,'[1]2023.10 CPU´s'!U$1:AF$1048576,11,FALSE())</f>
        <v>#N/A</v>
      </c>
      <c r="O146" s="645" t="e">
        <f aca="false">(N146/M146)-1</f>
        <v>#N/A</v>
      </c>
    </row>
    <row r="147" customFormat="false" ht="12.75" hidden="false" customHeight="true" outlineLevel="0" collapsed="false">
      <c r="A147" s="641" t="s">
        <v>1284</v>
      </c>
      <c r="B147" s="642" t="s">
        <v>1018</v>
      </c>
      <c r="C147" s="642" t="s">
        <v>1285</v>
      </c>
      <c r="D147" s="642"/>
      <c r="E147" s="642"/>
      <c r="F147" s="642"/>
      <c r="G147" s="642"/>
      <c r="H147" s="642"/>
      <c r="I147" s="642"/>
      <c r="J147" s="642"/>
      <c r="K147" s="642"/>
      <c r="L147" s="642" t="s">
        <v>259</v>
      </c>
      <c r="M147" s="643" t="n">
        <v>13111.6</v>
      </c>
      <c r="N147" s="644" t="e">
        <f aca="false">VLOOKUP(A147,'[1]2023.10 CPU´s'!U$1:AF$1048576,11,FALSE())</f>
        <v>#N/A</v>
      </c>
      <c r="O147" s="645" t="e">
        <f aca="false">(N147/M147)-1</f>
        <v>#N/A</v>
      </c>
    </row>
    <row r="148" customFormat="false" ht="12.75" hidden="false" customHeight="true" outlineLevel="0" collapsed="false">
      <c r="A148" s="641" t="s">
        <v>1286</v>
      </c>
      <c r="B148" s="642" t="s">
        <v>1018</v>
      </c>
      <c r="C148" s="642" t="s">
        <v>1287</v>
      </c>
      <c r="D148" s="642"/>
      <c r="E148" s="642"/>
      <c r="F148" s="642"/>
      <c r="G148" s="642"/>
      <c r="H148" s="642"/>
      <c r="I148" s="642"/>
      <c r="J148" s="642"/>
      <c r="K148" s="642"/>
      <c r="L148" s="642" t="s">
        <v>259</v>
      </c>
      <c r="M148" s="643" t="n">
        <v>16841.12</v>
      </c>
      <c r="N148" s="644" t="e">
        <f aca="false">VLOOKUP(A148,'[1]2023.10 CPU´s'!U$1:AF$1048576,11,FALSE())</f>
        <v>#N/A</v>
      </c>
      <c r="O148" s="645" t="e">
        <f aca="false">(N148/M148)-1</f>
        <v>#N/A</v>
      </c>
    </row>
    <row r="149" customFormat="false" ht="12.75" hidden="false" customHeight="true" outlineLevel="0" collapsed="false">
      <c r="A149" s="636" t="s">
        <v>1288</v>
      </c>
      <c r="B149" s="637" t="s">
        <v>1018</v>
      </c>
      <c r="C149" s="637" t="s">
        <v>1289</v>
      </c>
      <c r="D149" s="637"/>
      <c r="E149" s="637"/>
      <c r="F149" s="637"/>
      <c r="G149" s="637"/>
      <c r="H149" s="637"/>
      <c r="I149" s="637"/>
      <c r="J149" s="637"/>
      <c r="K149" s="637"/>
      <c r="L149" s="638"/>
      <c r="M149" s="638"/>
      <c r="N149" s="639"/>
      <c r="O149" s="640"/>
    </row>
    <row r="150" customFormat="false" ht="12.75" hidden="false" customHeight="true" outlineLevel="0" collapsed="false">
      <c r="A150" s="641" t="s">
        <v>1290</v>
      </c>
      <c r="B150" s="642" t="s">
        <v>1018</v>
      </c>
      <c r="C150" s="642" t="s">
        <v>1291</v>
      </c>
      <c r="D150" s="642"/>
      <c r="E150" s="642"/>
      <c r="F150" s="642"/>
      <c r="G150" s="642"/>
      <c r="H150" s="642"/>
      <c r="I150" s="642"/>
      <c r="J150" s="642"/>
      <c r="K150" s="642"/>
      <c r="L150" s="642" t="s">
        <v>292</v>
      </c>
      <c r="M150" s="643" t="n">
        <v>0.69</v>
      </c>
      <c r="N150" s="644" t="e">
        <f aca="false">VLOOKUP(A150,'[1]2023.10 CPU´s'!U$1:AF$1048576,11,FALSE())</f>
        <v>#N/A</v>
      </c>
      <c r="O150" s="645" t="e">
        <f aca="false">(N150/M150)-1</f>
        <v>#N/A</v>
      </c>
    </row>
    <row r="151" customFormat="false" ht="12.75" hidden="false" customHeight="true" outlineLevel="0" collapsed="false">
      <c r="A151" s="641" t="s">
        <v>1292</v>
      </c>
      <c r="B151" s="642" t="s">
        <v>1018</v>
      </c>
      <c r="C151" s="642" t="s">
        <v>1293</v>
      </c>
      <c r="D151" s="642"/>
      <c r="E151" s="642"/>
      <c r="F151" s="642"/>
      <c r="G151" s="642"/>
      <c r="H151" s="642"/>
      <c r="I151" s="642"/>
      <c r="J151" s="642"/>
      <c r="K151" s="642"/>
      <c r="L151" s="642" t="s">
        <v>292</v>
      </c>
      <c r="M151" s="643" t="n">
        <v>0.64</v>
      </c>
      <c r="N151" s="644" t="e">
        <f aca="false">VLOOKUP(A151,'[1]2023.10 CPU´s'!U$1:AF$1048576,11,FALSE())</f>
        <v>#N/A</v>
      </c>
      <c r="O151" s="645" t="e">
        <f aca="false">(N151/M151)-1</f>
        <v>#N/A</v>
      </c>
    </row>
    <row r="152" customFormat="false" ht="12.75" hidden="false" customHeight="true" outlineLevel="0" collapsed="false">
      <c r="A152" s="641" t="s">
        <v>1294</v>
      </c>
      <c r="B152" s="642" t="s">
        <v>1018</v>
      </c>
      <c r="C152" s="642" t="s">
        <v>1295</v>
      </c>
      <c r="D152" s="642"/>
      <c r="E152" s="642"/>
      <c r="F152" s="642"/>
      <c r="G152" s="642"/>
      <c r="H152" s="642"/>
      <c r="I152" s="642"/>
      <c r="J152" s="642"/>
      <c r="K152" s="642"/>
      <c r="L152" s="642" t="s">
        <v>501</v>
      </c>
      <c r="M152" s="643" t="n">
        <v>1263.96</v>
      </c>
      <c r="N152" s="644" t="e">
        <f aca="false">VLOOKUP(A152,'[1]2023.10 CPU´s'!U$1:AF$1048576,11,FALSE())</f>
        <v>#N/A</v>
      </c>
      <c r="O152" s="645" t="e">
        <f aca="false">(N152/M152)-1</f>
        <v>#N/A</v>
      </c>
    </row>
    <row r="153" customFormat="false" ht="12.75" hidden="false" customHeight="true" outlineLevel="0" collapsed="false">
      <c r="A153" s="641" t="s">
        <v>1296</v>
      </c>
      <c r="B153" s="642" t="s">
        <v>1018</v>
      </c>
      <c r="C153" s="642" t="s">
        <v>1297</v>
      </c>
      <c r="D153" s="642"/>
      <c r="E153" s="642"/>
      <c r="F153" s="642"/>
      <c r="G153" s="642"/>
      <c r="H153" s="642"/>
      <c r="I153" s="642"/>
      <c r="J153" s="642"/>
      <c r="K153" s="642"/>
      <c r="L153" s="642" t="s">
        <v>501</v>
      </c>
      <c r="M153" s="643" t="n">
        <v>893</v>
      </c>
      <c r="N153" s="644" t="e">
        <f aca="false">VLOOKUP(A153,'[1]2023.10 CPU´s'!U$1:AF$1048576,11,FALSE())</f>
        <v>#N/A</v>
      </c>
      <c r="O153" s="645" t="e">
        <f aca="false">(N153/M153)-1</f>
        <v>#N/A</v>
      </c>
    </row>
    <row r="154" customFormat="false" ht="12.75" hidden="false" customHeight="true" outlineLevel="0" collapsed="false">
      <c r="A154" s="641" t="s">
        <v>1298</v>
      </c>
      <c r="B154" s="642" t="s">
        <v>1018</v>
      </c>
      <c r="C154" s="642" t="s">
        <v>1299</v>
      </c>
      <c r="D154" s="642"/>
      <c r="E154" s="642"/>
      <c r="F154" s="642"/>
      <c r="G154" s="642"/>
      <c r="H154" s="642"/>
      <c r="I154" s="642"/>
      <c r="J154" s="642"/>
      <c r="K154" s="642"/>
      <c r="L154" s="642" t="s">
        <v>582</v>
      </c>
      <c r="M154" s="643" t="n">
        <v>468.66</v>
      </c>
      <c r="N154" s="644" t="e">
        <f aca="false">VLOOKUP(A154,'[1]2023.10 CPU´s'!U$1:AF$1048576,11,FALSE())</f>
        <v>#N/A</v>
      </c>
      <c r="O154" s="645" t="e">
        <f aca="false">(N154/M154)-1</f>
        <v>#N/A</v>
      </c>
    </row>
    <row r="155" customFormat="false" ht="12.75" hidden="false" customHeight="true" outlineLevel="0" collapsed="false">
      <c r="A155" s="641" t="s">
        <v>1300</v>
      </c>
      <c r="B155" s="642" t="s">
        <v>1018</v>
      </c>
      <c r="C155" s="642" t="s">
        <v>1301</v>
      </c>
      <c r="D155" s="642"/>
      <c r="E155" s="642"/>
      <c r="F155" s="642"/>
      <c r="G155" s="642"/>
      <c r="H155" s="642"/>
      <c r="I155" s="642"/>
      <c r="J155" s="642"/>
      <c r="K155" s="642"/>
      <c r="L155" s="642" t="s">
        <v>501</v>
      </c>
      <c r="M155" s="643" t="n">
        <v>1355.08</v>
      </c>
      <c r="N155" s="644" t="e">
        <f aca="false">VLOOKUP(A155,'[1]2023.10 CPU´s'!U$1:AF$1048576,11,FALSE())</f>
        <v>#N/A</v>
      </c>
      <c r="O155" s="645" t="e">
        <f aca="false">(N155/M155)-1</f>
        <v>#N/A</v>
      </c>
    </row>
    <row r="156" customFormat="false" ht="12.75" hidden="false" customHeight="true" outlineLevel="0" collapsed="false">
      <c r="A156" s="641" t="s">
        <v>1302</v>
      </c>
      <c r="B156" s="642" t="s">
        <v>1018</v>
      </c>
      <c r="C156" s="642" t="s">
        <v>1303</v>
      </c>
      <c r="D156" s="642"/>
      <c r="E156" s="642"/>
      <c r="F156" s="642"/>
      <c r="G156" s="642"/>
      <c r="H156" s="642"/>
      <c r="I156" s="642"/>
      <c r="J156" s="642"/>
      <c r="K156" s="642"/>
      <c r="L156" s="642" t="s">
        <v>292</v>
      </c>
      <c r="M156" s="643" t="n">
        <v>0.36</v>
      </c>
      <c r="N156" s="644" t="e">
        <f aca="false">VLOOKUP(A156,'[1]2023.10 CPU´s'!U$1:AF$1048576,11,FALSE())</f>
        <v>#N/A</v>
      </c>
      <c r="O156" s="645" t="e">
        <f aca="false">(N156/M156)-1</f>
        <v>#N/A</v>
      </c>
    </row>
    <row r="157" customFormat="false" ht="12.75" hidden="false" customHeight="true" outlineLevel="0" collapsed="false">
      <c r="A157" s="641" t="s">
        <v>1304</v>
      </c>
      <c r="B157" s="642" t="s">
        <v>1018</v>
      </c>
      <c r="C157" s="642" t="s">
        <v>1305</v>
      </c>
      <c r="D157" s="642"/>
      <c r="E157" s="642"/>
      <c r="F157" s="642"/>
      <c r="G157" s="642"/>
      <c r="H157" s="642"/>
      <c r="I157" s="642"/>
      <c r="J157" s="642"/>
      <c r="K157" s="642"/>
      <c r="L157" s="642" t="s">
        <v>292</v>
      </c>
      <c r="M157" s="643" t="n">
        <v>0.28</v>
      </c>
      <c r="N157" s="644" t="e">
        <f aca="false">VLOOKUP(A157,'[1]2023.10 CPU´s'!U$1:AF$1048576,11,FALSE())</f>
        <v>#N/A</v>
      </c>
      <c r="O157" s="645" t="e">
        <f aca="false">(N157/M157)-1</f>
        <v>#N/A</v>
      </c>
    </row>
    <row r="158" customFormat="false" ht="12.75" hidden="false" customHeight="true" outlineLevel="0" collapsed="false">
      <c r="A158" s="641" t="s">
        <v>1306</v>
      </c>
      <c r="B158" s="642" t="s">
        <v>1018</v>
      </c>
      <c r="C158" s="642" t="s">
        <v>1307</v>
      </c>
      <c r="D158" s="642"/>
      <c r="E158" s="642"/>
      <c r="F158" s="642"/>
      <c r="G158" s="642"/>
      <c r="H158" s="642"/>
      <c r="I158" s="642"/>
      <c r="J158" s="642"/>
      <c r="K158" s="642"/>
      <c r="L158" s="642" t="s">
        <v>292</v>
      </c>
      <c r="M158" s="643" t="n">
        <v>0.17</v>
      </c>
      <c r="N158" s="644" t="e">
        <f aca="false">VLOOKUP(A158,'[1]2023.10 CPU´s'!U$1:AF$1048576,11,FALSE())</f>
        <v>#N/A</v>
      </c>
      <c r="O158" s="645" t="e">
        <f aca="false">(N158/M158)-1</f>
        <v>#N/A</v>
      </c>
    </row>
    <row r="159" customFormat="false" ht="12.75" hidden="false" customHeight="true" outlineLevel="0" collapsed="false">
      <c r="A159" s="641" t="s">
        <v>1308</v>
      </c>
      <c r="B159" s="642" t="s">
        <v>1018</v>
      </c>
      <c r="C159" s="642" t="s">
        <v>1309</v>
      </c>
      <c r="D159" s="642"/>
      <c r="E159" s="642"/>
      <c r="F159" s="642"/>
      <c r="G159" s="642"/>
      <c r="H159" s="642"/>
      <c r="I159" s="642"/>
      <c r="J159" s="642"/>
      <c r="K159" s="642"/>
      <c r="L159" s="642" t="s">
        <v>582</v>
      </c>
      <c r="M159" s="643" t="n">
        <v>555.15</v>
      </c>
      <c r="N159" s="644" t="e">
        <f aca="false">VLOOKUP(A159,'[1]2023.10 CPU´s'!U$1:AF$1048576,11,FALSE())</f>
        <v>#N/A</v>
      </c>
      <c r="O159" s="645" t="e">
        <f aca="false">(N159/M159)-1</f>
        <v>#N/A</v>
      </c>
    </row>
    <row r="160" customFormat="false" ht="12.75" hidden="false" customHeight="true" outlineLevel="0" collapsed="false">
      <c r="A160" s="641" t="s">
        <v>1310</v>
      </c>
      <c r="B160" s="642" t="s">
        <v>1018</v>
      </c>
      <c r="C160" s="642" t="s">
        <v>1311</v>
      </c>
      <c r="D160" s="642"/>
      <c r="E160" s="642"/>
      <c r="F160" s="642"/>
      <c r="G160" s="642"/>
      <c r="H160" s="642"/>
      <c r="I160" s="642"/>
      <c r="J160" s="642"/>
      <c r="K160" s="642"/>
      <c r="L160" s="642" t="s">
        <v>178</v>
      </c>
      <c r="M160" s="643" t="n">
        <v>619.88</v>
      </c>
      <c r="N160" s="644" t="e">
        <f aca="false">VLOOKUP(A160,'[1]2023.10 CPU´s'!U$1:AF$1048576,11,FALSE())</f>
        <v>#N/A</v>
      </c>
      <c r="O160" s="645" t="e">
        <f aca="false">(N160/M160)-1</f>
        <v>#N/A</v>
      </c>
    </row>
    <row r="161" customFormat="false" ht="12.75" hidden="false" customHeight="true" outlineLevel="0" collapsed="false">
      <c r="A161" s="641" t="s">
        <v>1312</v>
      </c>
      <c r="B161" s="642" t="s">
        <v>1018</v>
      </c>
      <c r="C161" s="642" t="s">
        <v>1313</v>
      </c>
      <c r="D161" s="642"/>
      <c r="E161" s="642"/>
      <c r="F161" s="642"/>
      <c r="G161" s="642"/>
      <c r="H161" s="642"/>
      <c r="I161" s="642"/>
      <c r="J161" s="642"/>
      <c r="K161" s="642"/>
      <c r="L161" s="642" t="s">
        <v>178</v>
      </c>
      <c r="M161" s="643" t="n">
        <v>380.02</v>
      </c>
      <c r="N161" s="644" t="e">
        <f aca="false">VLOOKUP(A161,'[1]2023.10 CPU´s'!U$1:AF$1048576,11,FALSE())</f>
        <v>#N/A</v>
      </c>
      <c r="O161" s="645" t="e">
        <f aca="false">(N161/M161)-1</f>
        <v>#N/A</v>
      </c>
    </row>
    <row r="162" customFormat="false" ht="12.75" hidden="false" customHeight="true" outlineLevel="0" collapsed="false">
      <c r="A162" s="641" t="s">
        <v>1314</v>
      </c>
      <c r="B162" s="642" t="s">
        <v>1018</v>
      </c>
      <c r="C162" s="642" t="s">
        <v>1315</v>
      </c>
      <c r="D162" s="642"/>
      <c r="E162" s="642"/>
      <c r="F162" s="642"/>
      <c r="G162" s="642"/>
      <c r="H162" s="642"/>
      <c r="I162" s="642"/>
      <c r="J162" s="642"/>
      <c r="K162" s="642"/>
      <c r="L162" s="642" t="s">
        <v>178</v>
      </c>
      <c r="M162" s="643" t="n">
        <v>443.84</v>
      </c>
      <c r="N162" s="644" t="e">
        <f aca="false">VLOOKUP(A162,'[1]2023.10 CPU´s'!U$1:AF$1048576,11,FALSE())</f>
        <v>#N/A</v>
      </c>
      <c r="O162" s="645" t="e">
        <f aca="false">(N162/M162)-1</f>
        <v>#N/A</v>
      </c>
    </row>
    <row r="163" customFormat="false" ht="12.75" hidden="false" customHeight="true" outlineLevel="0" collapsed="false">
      <c r="A163" s="636" t="s">
        <v>1316</v>
      </c>
      <c r="B163" s="637" t="s">
        <v>1018</v>
      </c>
      <c r="C163" s="637" t="s">
        <v>1317</v>
      </c>
      <c r="D163" s="637"/>
      <c r="E163" s="637"/>
      <c r="F163" s="637"/>
      <c r="G163" s="637"/>
      <c r="H163" s="637"/>
      <c r="I163" s="637"/>
      <c r="J163" s="637"/>
      <c r="K163" s="637"/>
      <c r="L163" s="638"/>
      <c r="M163" s="638"/>
      <c r="N163" s="639"/>
      <c r="O163" s="640"/>
    </row>
    <row r="164" customFormat="false" ht="12.75" hidden="false" customHeight="true" outlineLevel="0" collapsed="false">
      <c r="A164" s="641" t="s">
        <v>1318</v>
      </c>
      <c r="B164" s="642" t="s">
        <v>1018</v>
      </c>
      <c r="C164" s="642" t="s">
        <v>1319</v>
      </c>
      <c r="D164" s="642"/>
      <c r="E164" s="642"/>
      <c r="F164" s="642"/>
      <c r="G164" s="642"/>
      <c r="H164" s="642"/>
      <c r="I164" s="642"/>
      <c r="J164" s="642"/>
      <c r="K164" s="642"/>
      <c r="L164" s="642" t="s">
        <v>259</v>
      </c>
      <c r="M164" s="643" t="n">
        <v>1021.81</v>
      </c>
      <c r="N164" s="644" t="e">
        <f aca="false">VLOOKUP(A164,'[1]2023.10 CPU´s'!U$1:AF$1048576,11,FALSE())</f>
        <v>#N/A</v>
      </c>
      <c r="O164" s="645" t="e">
        <f aca="false">(N164/M164)-1</f>
        <v>#N/A</v>
      </c>
    </row>
    <row r="165" customFormat="false" ht="12.75" hidden="false" customHeight="true" outlineLevel="0" collapsed="false">
      <c r="A165" s="641" t="s">
        <v>1320</v>
      </c>
      <c r="B165" s="642" t="s">
        <v>1018</v>
      </c>
      <c r="C165" s="642" t="s">
        <v>1321</v>
      </c>
      <c r="D165" s="642"/>
      <c r="E165" s="642"/>
      <c r="F165" s="642"/>
      <c r="G165" s="642"/>
      <c r="H165" s="642"/>
      <c r="I165" s="642"/>
      <c r="J165" s="642"/>
      <c r="K165" s="642"/>
      <c r="L165" s="642" t="s">
        <v>259</v>
      </c>
      <c r="M165" s="643" t="n">
        <v>1247.01</v>
      </c>
      <c r="N165" s="644" t="e">
        <f aca="false">VLOOKUP(A165,'[1]2023.10 CPU´s'!U$1:AF$1048576,11,FALSE())</f>
        <v>#N/A</v>
      </c>
      <c r="O165" s="645" t="e">
        <f aca="false">(N165/M165)-1</f>
        <v>#N/A</v>
      </c>
    </row>
    <row r="166" customFormat="false" ht="12.75" hidden="false" customHeight="true" outlineLevel="0" collapsed="false">
      <c r="A166" s="641" t="s">
        <v>1322</v>
      </c>
      <c r="B166" s="642" t="s">
        <v>1018</v>
      </c>
      <c r="C166" s="642" t="s">
        <v>1323</v>
      </c>
      <c r="D166" s="642"/>
      <c r="E166" s="642"/>
      <c r="F166" s="642"/>
      <c r="G166" s="642"/>
      <c r="H166" s="642"/>
      <c r="I166" s="642"/>
      <c r="J166" s="642"/>
      <c r="K166" s="642"/>
      <c r="L166" s="642" t="s">
        <v>259</v>
      </c>
      <c r="M166" s="643" t="n">
        <v>2205.39</v>
      </c>
      <c r="N166" s="644" t="e">
        <f aca="false">VLOOKUP(A166,'[1]2023.10 CPU´s'!U$1:AF$1048576,11,FALSE())</f>
        <v>#N/A</v>
      </c>
      <c r="O166" s="645" t="e">
        <f aca="false">(N166/M166)-1</f>
        <v>#N/A</v>
      </c>
    </row>
    <row r="167" customFormat="false" ht="12.75" hidden="false" customHeight="true" outlineLevel="0" collapsed="false">
      <c r="A167" s="641" t="s">
        <v>1324</v>
      </c>
      <c r="B167" s="642" t="s">
        <v>1018</v>
      </c>
      <c r="C167" s="642" t="s">
        <v>1325</v>
      </c>
      <c r="D167" s="642"/>
      <c r="E167" s="642"/>
      <c r="F167" s="642"/>
      <c r="G167" s="642"/>
      <c r="H167" s="642"/>
      <c r="I167" s="642"/>
      <c r="J167" s="642"/>
      <c r="K167" s="642"/>
      <c r="L167" s="642" t="s">
        <v>259</v>
      </c>
      <c r="M167" s="643" t="n">
        <v>3911.05</v>
      </c>
      <c r="N167" s="644" t="e">
        <f aca="false">VLOOKUP(A167,'[1]2023.10 CPU´s'!U$1:AF$1048576,11,FALSE())</f>
        <v>#N/A</v>
      </c>
      <c r="O167" s="645" t="e">
        <f aca="false">(N167/M167)-1</f>
        <v>#N/A</v>
      </c>
    </row>
    <row r="168" customFormat="false" ht="12.75" hidden="false" customHeight="true" outlineLevel="0" collapsed="false">
      <c r="A168" s="641" t="s">
        <v>1326</v>
      </c>
      <c r="B168" s="642" t="s">
        <v>1018</v>
      </c>
      <c r="C168" s="642" t="s">
        <v>1327</v>
      </c>
      <c r="D168" s="642"/>
      <c r="E168" s="642"/>
      <c r="F168" s="642"/>
      <c r="G168" s="642"/>
      <c r="H168" s="642"/>
      <c r="I168" s="642"/>
      <c r="J168" s="642"/>
      <c r="K168" s="642"/>
      <c r="L168" s="642" t="s">
        <v>259</v>
      </c>
      <c r="M168" s="643" t="n">
        <v>1020.93</v>
      </c>
      <c r="N168" s="644" t="e">
        <f aca="false">VLOOKUP(A168,'[1]2023.10 CPU´s'!U$1:AF$1048576,11,FALSE())</f>
        <v>#N/A</v>
      </c>
      <c r="O168" s="645" t="e">
        <f aca="false">(N168/M168)-1</f>
        <v>#N/A</v>
      </c>
    </row>
    <row r="169" customFormat="false" ht="12.75" hidden="false" customHeight="true" outlineLevel="0" collapsed="false">
      <c r="A169" s="636" t="s">
        <v>1328</v>
      </c>
      <c r="B169" s="637" t="s">
        <v>1018</v>
      </c>
      <c r="C169" s="637" t="s">
        <v>1329</v>
      </c>
      <c r="D169" s="637"/>
      <c r="E169" s="637"/>
      <c r="F169" s="637"/>
      <c r="G169" s="637"/>
      <c r="H169" s="637"/>
      <c r="I169" s="637"/>
      <c r="J169" s="637"/>
      <c r="K169" s="637"/>
      <c r="L169" s="638"/>
      <c r="M169" s="638"/>
      <c r="N169" s="639"/>
      <c r="O169" s="640"/>
    </row>
    <row r="170" customFormat="false" ht="12.75" hidden="false" customHeight="true" outlineLevel="0" collapsed="false">
      <c r="A170" s="641" t="s">
        <v>1330</v>
      </c>
      <c r="B170" s="642" t="s">
        <v>1018</v>
      </c>
      <c r="C170" s="642" t="s">
        <v>1331</v>
      </c>
      <c r="D170" s="642"/>
      <c r="E170" s="642"/>
      <c r="F170" s="642"/>
      <c r="G170" s="642"/>
      <c r="H170" s="642"/>
      <c r="I170" s="642"/>
      <c r="J170" s="642"/>
      <c r="K170" s="642"/>
      <c r="L170" s="642" t="s">
        <v>259</v>
      </c>
      <c r="M170" s="643" t="n">
        <v>496.42</v>
      </c>
      <c r="N170" s="644" t="e">
        <f aca="false">VLOOKUP(A170,'[1]2023.10 CPU´s'!U$1:AF$1048576,11,FALSE())</f>
        <v>#N/A</v>
      </c>
      <c r="O170" s="645" t="e">
        <f aca="false">(N170/M170)-1</f>
        <v>#N/A</v>
      </c>
    </row>
    <row r="171" customFormat="false" ht="12.75" hidden="false" customHeight="true" outlineLevel="0" collapsed="false">
      <c r="A171" s="641" t="s">
        <v>1332</v>
      </c>
      <c r="B171" s="642" t="s">
        <v>1018</v>
      </c>
      <c r="C171" s="642" t="s">
        <v>1333</v>
      </c>
      <c r="D171" s="642"/>
      <c r="E171" s="642"/>
      <c r="F171" s="642"/>
      <c r="G171" s="642"/>
      <c r="H171" s="642"/>
      <c r="I171" s="642"/>
      <c r="J171" s="642"/>
      <c r="K171" s="642"/>
      <c r="L171" s="642" t="s">
        <v>259</v>
      </c>
      <c r="M171" s="643" t="n">
        <v>714.21</v>
      </c>
      <c r="N171" s="644" t="e">
        <f aca="false">VLOOKUP(A171,'[1]2023.10 CPU´s'!U$1:AF$1048576,11,FALSE())</f>
        <v>#N/A</v>
      </c>
      <c r="O171" s="645" t="e">
        <f aca="false">(N171/M171)-1</f>
        <v>#N/A</v>
      </c>
    </row>
    <row r="172" customFormat="false" ht="12.75" hidden="false" customHeight="true" outlineLevel="0" collapsed="false">
      <c r="A172" s="641" t="s">
        <v>1334</v>
      </c>
      <c r="B172" s="642" t="s">
        <v>1018</v>
      </c>
      <c r="C172" s="642" t="s">
        <v>1335</v>
      </c>
      <c r="D172" s="642"/>
      <c r="E172" s="642"/>
      <c r="F172" s="642"/>
      <c r="G172" s="642"/>
      <c r="H172" s="642"/>
      <c r="I172" s="642"/>
      <c r="J172" s="642"/>
      <c r="K172" s="642"/>
      <c r="L172" s="642" t="s">
        <v>259</v>
      </c>
      <c r="M172" s="643" t="n">
        <v>1107.31</v>
      </c>
      <c r="N172" s="644" t="e">
        <f aca="false">VLOOKUP(A172,'[1]2023.10 CPU´s'!U$1:AF$1048576,11,FALSE())</f>
        <v>#N/A</v>
      </c>
      <c r="O172" s="645" t="e">
        <f aca="false">(N172/M172)-1</f>
        <v>#N/A</v>
      </c>
    </row>
    <row r="173" customFormat="false" ht="12.75" hidden="false" customHeight="true" outlineLevel="0" collapsed="false">
      <c r="A173" s="641" t="s">
        <v>1336</v>
      </c>
      <c r="B173" s="642" t="s">
        <v>1018</v>
      </c>
      <c r="C173" s="642" t="s">
        <v>1337</v>
      </c>
      <c r="D173" s="642"/>
      <c r="E173" s="642"/>
      <c r="F173" s="642"/>
      <c r="G173" s="642"/>
      <c r="H173" s="642"/>
      <c r="I173" s="642"/>
      <c r="J173" s="642"/>
      <c r="K173" s="642"/>
      <c r="L173" s="642" t="s">
        <v>259</v>
      </c>
      <c r="M173" s="643" t="n">
        <v>1704.28</v>
      </c>
      <c r="N173" s="644" t="e">
        <f aca="false">VLOOKUP(A173,'[1]2023.10 CPU´s'!U$1:AF$1048576,11,FALSE())</f>
        <v>#N/A</v>
      </c>
      <c r="O173" s="645" t="e">
        <f aca="false">(N173/M173)-1</f>
        <v>#N/A</v>
      </c>
    </row>
    <row r="174" customFormat="false" ht="12.75" hidden="false" customHeight="true" outlineLevel="0" collapsed="false">
      <c r="A174" s="641" t="s">
        <v>1338</v>
      </c>
      <c r="B174" s="642" t="s">
        <v>1018</v>
      </c>
      <c r="C174" s="642" t="s">
        <v>1339</v>
      </c>
      <c r="D174" s="642"/>
      <c r="E174" s="642"/>
      <c r="F174" s="642"/>
      <c r="G174" s="642"/>
      <c r="H174" s="642"/>
      <c r="I174" s="642"/>
      <c r="J174" s="642"/>
      <c r="K174" s="642"/>
      <c r="L174" s="642" t="s">
        <v>259</v>
      </c>
      <c r="M174" s="643" t="n">
        <v>2350.8</v>
      </c>
      <c r="N174" s="644" t="e">
        <f aca="false">VLOOKUP(A174,'[1]2023.10 CPU´s'!U$1:AF$1048576,11,FALSE())</f>
        <v>#N/A</v>
      </c>
      <c r="O174" s="645" t="e">
        <f aca="false">(N174/M174)-1</f>
        <v>#N/A</v>
      </c>
    </row>
    <row r="175" customFormat="false" ht="12.75" hidden="false" customHeight="true" outlineLevel="0" collapsed="false">
      <c r="A175" s="641" t="s">
        <v>1340</v>
      </c>
      <c r="B175" s="642" t="s">
        <v>1018</v>
      </c>
      <c r="C175" s="642" t="s">
        <v>1341</v>
      </c>
      <c r="D175" s="642"/>
      <c r="E175" s="642"/>
      <c r="F175" s="642"/>
      <c r="G175" s="642"/>
      <c r="H175" s="642"/>
      <c r="I175" s="642"/>
      <c r="J175" s="642"/>
      <c r="K175" s="642"/>
      <c r="L175" s="642" t="s">
        <v>259</v>
      </c>
      <c r="M175" s="643" t="n">
        <v>2984.95</v>
      </c>
      <c r="N175" s="644" t="e">
        <f aca="false">VLOOKUP(A175,'[1]2023.10 CPU´s'!U$1:AF$1048576,11,FALSE())</f>
        <v>#N/A</v>
      </c>
      <c r="O175" s="645" t="e">
        <f aca="false">(N175/M175)-1</f>
        <v>#N/A</v>
      </c>
    </row>
    <row r="176" customFormat="false" ht="12.75" hidden="false" customHeight="true" outlineLevel="0" collapsed="false">
      <c r="A176" s="641" t="s">
        <v>1342</v>
      </c>
      <c r="B176" s="642" t="s">
        <v>1018</v>
      </c>
      <c r="C176" s="642" t="s">
        <v>1343</v>
      </c>
      <c r="D176" s="642"/>
      <c r="E176" s="642"/>
      <c r="F176" s="642"/>
      <c r="G176" s="642"/>
      <c r="H176" s="642"/>
      <c r="I176" s="642"/>
      <c r="J176" s="642"/>
      <c r="K176" s="642"/>
      <c r="L176" s="642" t="s">
        <v>259</v>
      </c>
      <c r="M176" s="643" t="n">
        <v>3771.36</v>
      </c>
      <c r="N176" s="644" t="e">
        <f aca="false">VLOOKUP(A176,'[1]2023.10 CPU´s'!U$1:AF$1048576,11,FALSE())</f>
        <v>#N/A</v>
      </c>
      <c r="O176" s="645" t="e">
        <f aca="false">(N176/M176)-1</f>
        <v>#N/A</v>
      </c>
    </row>
    <row r="177" customFormat="false" ht="12.75" hidden="false" customHeight="true" outlineLevel="0" collapsed="false">
      <c r="A177" s="641" t="s">
        <v>1344</v>
      </c>
      <c r="B177" s="642" t="s">
        <v>1018</v>
      </c>
      <c r="C177" s="642" t="s">
        <v>1345</v>
      </c>
      <c r="D177" s="642"/>
      <c r="E177" s="642"/>
      <c r="F177" s="642"/>
      <c r="G177" s="642"/>
      <c r="H177" s="642"/>
      <c r="I177" s="642"/>
      <c r="J177" s="642"/>
      <c r="K177" s="642"/>
      <c r="L177" s="642" t="s">
        <v>259</v>
      </c>
      <c r="M177" s="643" t="n">
        <v>510.02</v>
      </c>
      <c r="N177" s="644" t="e">
        <f aca="false">VLOOKUP(A177,'[1]2023.10 CPU´s'!U$1:AF$1048576,11,FALSE())</f>
        <v>#N/A</v>
      </c>
      <c r="O177" s="645" t="e">
        <f aca="false">(N177/M177)-1</f>
        <v>#N/A</v>
      </c>
    </row>
    <row r="178" customFormat="false" ht="12.75" hidden="false" customHeight="true" outlineLevel="0" collapsed="false">
      <c r="A178" s="641" t="s">
        <v>1346</v>
      </c>
      <c r="B178" s="642" t="s">
        <v>1018</v>
      </c>
      <c r="C178" s="642" t="s">
        <v>1347</v>
      </c>
      <c r="D178" s="642"/>
      <c r="E178" s="642"/>
      <c r="F178" s="642"/>
      <c r="G178" s="642"/>
      <c r="H178" s="642"/>
      <c r="I178" s="642"/>
      <c r="J178" s="642"/>
      <c r="K178" s="642"/>
      <c r="L178" s="642" t="s">
        <v>259</v>
      </c>
      <c r="M178" s="643" t="n">
        <v>842.88</v>
      </c>
      <c r="N178" s="644" t="e">
        <f aca="false">VLOOKUP(A178,'[1]2023.10 CPU´s'!U$1:AF$1048576,11,FALSE())</f>
        <v>#N/A</v>
      </c>
      <c r="O178" s="645" t="e">
        <f aca="false">(N178/M178)-1</f>
        <v>#N/A</v>
      </c>
    </row>
    <row r="179" customFormat="false" ht="12.75" hidden="false" customHeight="true" outlineLevel="0" collapsed="false">
      <c r="A179" s="641" t="s">
        <v>1348</v>
      </c>
      <c r="B179" s="642" t="s">
        <v>1018</v>
      </c>
      <c r="C179" s="642" t="s">
        <v>1349</v>
      </c>
      <c r="D179" s="642"/>
      <c r="E179" s="642"/>
      <c r="F179" s="642"/>
      <c r="G179" s="642"/>
      <c r="H179" s="642"/>
      <c r="I179" s="642"/>
      <c r="J179" s="642"/>
      <c r="K179" s="642"/>
      <c r="L179" s="642" t="s">
        <v>259</v>
      </c>
      <c r="M179" s="643" t="n">
        <v>314.86</v>
      </c>
      <c r="N179" s="644" t="e">
        <f aca="false">VLOOKUP(A179,'[1]2023.10 CPU´s'!U$1:AF$1048576,11,FALSE())</f>
        <v>#N/A</v>
      </c>
      <c r="O179" s="645" t="e">
        <f aca="false">(N179/M179)-1</f>
        <v>#N/A</v>
      </c>
    </row>
    <row r="180" customFormat="false" ht="12.75" hidden="false" customHeight="true" outlineLevel="0" collapsed="false">
      <c r="A180" s="641" t="s">
        <v>1350</v>
      </c>
      <c r="B180" s="642" t="s">
        <v>1018</v>
      </c>
      <c r="C180" s="642" t="s">
        <v>1351</v>
      </c>
      <c r="D180" s="642"/>
      <c r="E180" s="642"/>
      <c r="F180" s="642"/>
      <c r="G180" s="642"/>
      <c r="H180" s="642"/>
      <c r="I180" s="642"/>
      <c r="J180" s="642"/>
      <c r="K180" s="642"/>
      <c r="L180" s="642" t="s">
        <v>259</v>
      </c>
      <c r="M180" s="643" t="n">
        <v>335.64</v>
      </c>
      <c r="N180" s="644" t="e">
        <f aca="false">VLOOKUP(A180,'[1]2023.10 CPU´s'!U$1:AF$1048576,11,FALSE())</f>
        <v>#N/A</v>
      </c>
      <c r="O180" s="645" t="e">
        <f aca="false">(N180/M180)-1</f>
        <v>#N/A</v>
      </c>
    </row>
    <row r="181" customFormat="false" ht="12.75" hidden="false" customHeight="true" outlineLevel="0" collapsed="false">
      <c r="A181" s="641" t="s">
        <v>1352</v>
      </c>
      <c r="B181" s="642" t="s">
        <v>1018</v>
      </c>
      <c r="C181" s="642" t="s">
        <v>1353</v>
      </c>
      <c r="D181" s="642"/>
      <c r="E181" s="642"/>
      <c r="F181" s="642"/>
      <c r="G181" s="642"/>
      <c r="H181" s="642"/>
      <c r="I181" s="642"/>
      <c r="J181" s="642"/>
      <c r="K181" s="642"/>
      <c r="L181" s="642" t="s">
        <v>259</v>
      </c>
      <c r="M181" s="643" t="n">
        <v>58.31</v>
      </c>
      <c r="N181" s="644" t="e">
        <f aca="false">VLOOKUP(A181,'[1]2023.10 CPU´s'!U$1:AF$1048576,11,FALSE())</f>
        <v>#N/A</v>
      </c>
      <c r="O181" s="645" t="e">
        <f aca="false">(N181/M181)-1</f>
        <v>#N/A</v>
      </c>
    </row>
    <row r="182" customFormat="false" ht="12.75" hidden="false" customHeight="true" outlineLevel="0" collapsed="false">
      <c r="A182" s="641" t="s">
        <v>1354</v>
      </c>
      <c r="B182" s="642" t="s">
        <v>1018</v>
      </c>
      <c r="C182" s="642" t="s">
        <v>1355</v>
      </c>
      <c r="D182" s="642"/>
      <c r="E182" s="642"/>
      <c r="F182" s="642"/>
      <c r="G182" s="642"/>
      <c r="H182" s="642"/>
      <c r="I182" s="642"/>
      <c r="J182" s="642"/>
      <c r="K182" s="642"/>
      <c r="L182" s="642" t="s">
        <v>259</v>
      </c>
      <c r="M182" s="643" t="n">
        <v>37.53</v>
      </c>
      <c r="N182" s="644" t="e">
        <f aca="false">VLOOKUP(A182,'[1]2023.10 CPU´s'!U$1:AF$1048576,11,FALSE())</f>
        <v>#N/A</v>
      </c>
      <c r="O182" s="645" t="e">
        <f aca="false">(N182/M182)-1</f>
        <v>#N/A</v>
      </c>
    </row>
    <row r="183" customFormat="false" ht="12.75" hidden="false" customHeight="true" outlineLevel="0" collapsed="false">
      <c r="A183" s="636" t="s">
        <v>1356</v>
      </c>
      <c r="B183" s="637" t="s">
        <v>1018</v>
      </c>
      <c r="C183" s="637" t="s">
        <v>1357</v>
      </c>
      <c r="D183" s="637"/>
      <c r="E183" s="637"/>
      <c r="F183" s="637"/>
      <c r="G183" s="637"/>
      <c r="H183" s="637"/>
      <c r="I183" s="637"/>
      <c r="J183" s="637"/>
      <c r="K183" s="637"/>
      <c r="L183" s="638"/>
      <c r="M183" s="638"/>
      <c r="N183" s="639"/>
      <c r="O183" s="640"/>
    </row>
    <row r="184" customFormat="false" ht="12.75" hidden="false" customHeight="true" outlineLevel="0" collapsed="false">
      <c r="A184" s="641" t="s">
        <v>1358</v>
      </c>
      <c r="B184" s="642" t="s">
        <v>1018</v>
      </c>
      <c r="C184" s="642" t="s">
        <v>1359</v>
      </c>
      <c r="D184" s="642"/>
      <c r="E184" s="642"/>
      <c r="F184" s="642"/>
      <c r="G184" s="642"/>
      <c r="H184" s="642"/>
      <c r="I184" s="642"/>
      <c r="J184" s="642"/>
      <c r="K184" s="642"/>
      <c r="L184" s="642" t="s">
        <v>292</v>
      </c>
      <c r="M184" s="643" t="n">
        <v>12.49</v>
      </c>
      <c r="N184" s="644" t="e">
        <f aca="false">VLOOKUP(A184,'[1]2023.10 CPU´s'!U$1:AF$1048576,11,FALSE())</f>
        <v>#N/A</v>
      </c>
      <c r="O184" s="645" t="e">
        <f aca="false">(N184/M184)-1</f>
        <v>#N/A</v>
      </c>
    </row>
    <row r="185" customFormat="false" ht="12.75" hidden="false" customHeight="true" outlineLevel="0" collapsed="false">
      <c r="A185" s="636" t="s">
        <v>1360</v>
      </c>
      <c r="B185" s="637" t="s">
        <v>1018</v>
      </c>
      <c r="C185" s="637" t="s">
        <v>1361</v>
      </c>
      <c r="D185" s="637"/>
      <c r="E185" s="637"/>
      <c r="F185" s="637"/>
      <c r="G185" s="637"/>
      <c r="H185" s="637"/>
      <c r="I185" s="637"/>
      <c r="J185" s="637"/>
      <c r="K185" s="637"/>
      <c r="L185" s="638"/>
      <c r="M185" s="638"/>
      <c r="N185" s="639"/>
      <c r="O185" s="640"/>
    </row>
    <row r="186" customFormat="false" ht="12.75" hidden="false" customHeight="true" outlineLevel="0" collapsed="false">
      <c r="A186" s="641" t="s">
        <v>1362</v>
      </c>
      <c r="B186" s="642" t="s">
        <v>1018</v>
      </c>
      <c r="C186" s="642" t="s">
        <v>1363</v>
      </c>
      <c r="D186" s="642"/>
      <c r="E186" s="642"/>
      <c r="F186" s="642"/>
      <c r="G186" s="642"/>
      <c r="H186" s="642"/>
      <c r="I186" s="642"/>
      <c r="J186" s="642"/>
      <c r="K186" s="642"/>
      <c r="L186" s="642" t="s">
        <v>259</v>
      </c>
      <c r="M186" s="643" t="n">
        <v>624.7</v>
      </c>
      <c r="N186" s="644" t="e">
        <f aca="false">VLOOKUP(A186,'[1]2023.10 CPU´s'!U$1:AF$1048576,11,FALSE())</f>
        <v>#N/A</v>
      </c>
      <c r="O186" s="645" t="e">
        <f aca="false">(N186/M186)-1</f>
        <v>#N/A</v>
      </c>
    </row>
    <row r="187" customFormat="false" ht="12.75" hidden="false" customHeight="true" outlineLevel="0" collapsed="false">
      <c r="A187" s="641" t="s">
        <v>1364</v>
      </c>
      <c r="B187" s="642" t="s">
        <v>1018</v>
      </c>
      <c r="C187" s="642" t="s">
        <v>1365</v>
      </c>
      <c r="D187" s="642"/>
      <c r="E187" s="642"/>
      <c r="F187" s="642"/>
      <c r="G187" s="642"/>
      <c r="H187" s="642"/>
      <c r="I187" s="642"/>
      <c r="J187" s="642"/>
      <c r="K187" s="642"/>
      <c r="L187" s="642" t="s">
        <v>259</v>
      </c>
      <c r="M187" s="643" t="n">
        <v>249.88</v>
      </c>
      <c r="N187" s="644" t="e">
        <f aca="false">VLOOKUP(A187,'[1]2023.10 CPU´s'!U$1:AF$1048576,11,FALSE())</f>
        <v>#N/A</v>
      </c>
      <c r="O187" s="645" t="e">
        <f aca="false">(N187/M187)-1</f>
        <v>#N/A</v>
      </c>
    </row>
    <row r="188" customFormat="false" ht="12.75" hidden="false" customHeight="true" outlineLevel="0" collapsed="false">
      <c r="A188" s="641" t="s">
        <v>1366</v>
      </c>
      <c r="B188" s="642" t="s">
        <v>1018</v>
      </c>
      <c r="C188" s="642" t="s">
        <v>1367</v>
      </c>
      <c r="D188" s="642"/>
      <c r="E188" s="642"/>
      <c r="F188" s="642"/>
      <c r="G188" s="642"/>
      <c r="H188" s="642"/>
      <c r="I188" s="642"/>
      <c r="J188" s="642"/>
      <c r="K188" s="642"/>
      <c r="L188" s="642" t="s">
        <v>259</v>
      </c>
      <c r="M188" s="643" t="n">
        <v>542.36</v>
      </c>
      <c r="N188" s="644" t="e">
        <f aca="false">VLOOKUP(A188,'[1]2023.10 CPU´s'!U$1:AF$1048576,11,FALSE())</f>
        <v>#N/A</v>
      </c>
      <c r="O188" s="645" t="e">
        <f aca="false">(N188/M188)-1</f>
        <v>#N/A</v>
      </c>
    </row>
    <row r="189" customFormat="false" ht="12.75" hidden="false" customHeight="true" outlineLevel="0" collapsed="false">
      <c r="A189" s="641" t="s">
        <v>1368</v>
      </c>
      <c r="B189" s="642" t="s">
        <v>1018</v>
      </c>
      <c r="C189" s="642" t="s">
        <v>1369</v>
      </c>
      <c r="D189" s="642"/>
      <c r="E189" s="642"/>
      <c r="F189" s="642"/>
      <c r="G189" s="642"/>
      <c r="H189" s="642"/>
      <c r="I189" s="642"/>
      <c r="J189" s="642"/>
      <c r="K189" s="642"/>
      <c r="L189" s="642" t="s">
        <v>259</v>
      </c>
      <c r="M189" s="643" t="n">
        <v>6.9</v>
      </c>
      <c r="N189" s="644" t="e">
        <f aca="false">VLOOKUP(A189,'[1]2023.10 CPU´s'!U$1:AF$1048576,11,FALSE())</f>
        <v>#N/A</v>
      </c>
      <c r="O189" s="645" t="e">
        <f aca="false">(N189/M189)-1</f>
        <v>#N/A</v>
      </c>
    </row>
    <row r="190" customFormat="false" ht="17.25" hidden="false" customHeight="true" outlineLevel="0" collapsed="false">
      <c r="A190" s="641" t="s">
        <v>1370</v>
      </c>
      <c r="B190" s="642" t="s">
        <v>1018</v>
      </c>
      <c r="C190" s="642" t="s">
        <v>1371</v>
      </c>
      <c r="D190" s="642"/>
      <c r="E190" s="642"/>
      <c r="F190" s="642"/>
      <c r="G190" s="642"/>
      <c r="H190" s="642"/>
      <c r="I190" s="642"/>
      <c r="J190" s="642"/>
      <c r="K190" s="642"/>
      <c r="L190" s="642" t="s">
        <v>259</v>
      </c>
      <c r="M190" s="643" t="n">
        <v>6484.87</v>
      </c>
      <c r="N190" s="644" t="e">
        <f aca="false">VLOOKUP(A190,'[1]2023.10 CPU´s'!U$1:AF$1048576,11,FALSE())</f>
        <v>#N/A</v>
      </c>
      <c r="O190" s="645" t="e">
        <f aca="false">(N190/M190)-1</f>
        <v>#N/A</v>
      </c>
    </row>
    <row r="191" customFormat="false" ht="17.25" hidden="false" customHeight="true" outlineLevel="0" collapsed="false">
      <c r="A191" s="641" t="s">
        <v>1372</v>
      </c>
      <c r="B191" s="642" t="s">
        <v>1018</v>
      </c>
      <c r="C191" s="642" t="s">
        <v>1373</v>
      </c>
      <c r="D191" s="642"/>
      <c r="E191" s="642"/>
      <c r="F191" s="642"/>
      <c r="G191" s="642"/>
      <c r="H191" s="642"/>
      <c r="I191" s="642"/>
      <c r="J191" s="642"/>
      <c r="K191" s="642"/>
      <c r="L191" s="642" t="s">
        <v>259</v>
      </c>
      <c r="M191" s="643" t="n">
        <v>7246.45</v>
      </c>
      <c r="N191" s="644" t="e">
        <f aca="false">VLOOKUP(A191,'[1]2023.10 CPU´s'!U$1:AF$1048576,11,FALSE())</f>
        <v>#N/A</v>
      </c>
      <c r="O191" s="645" t="e">
        <f aca="false">(N191/M191)-1</f>
        <v>#N/A</v>
      </c>
    </row>
    <row r="192" customFormat="false" ht="12.75" hidden="false" customHeight="true" outlineLevel="0" collapsed="false">
      <c r="A192" s="641" t="s">
        <v>1374</v>
      </c>
      <c r="B192" s="642" t="s">
        <v>1018</v>
      </c>
      <c r="C192" s="642" t="s">
        <v>1375</v>
      </c>
      <c r="D192" s="642"/>
      <c r="E192" s="642"/>
      <c r="F192" s="642"/>
      <c r="G192" s="642"/>
      <c r="H192" s="642"/>
      <c r="I192" s="642"/>
      <c r="J192" s="642"/>
      <c r="K192" s="642"/>
      <c r="L192" s="642" t="s">
        <v>259</v>
      </c>
      <c r="M192" s="643" t="n">
        <v>1886.98</v>
      </c>
      <c r="N192" s="644" t="e">
        <f aca="false">VLOOKUP(A192,'[1]2023.10 CPU´s'!U$1:AF$1048576,11,FALSE())</f>
        <v>#N/A</v>
      </c>
      <c r="O192" s="645" t="e">
        <f aca="false">(N192/M192)-1</f>
        <v>#N/A</v>
      </c>
    </row>
    <row r="193" customFormat="false" ht="12.75" hidden="false" customHeight="true" outlineLevel="0" collapsed="false">
      <c r="A193" s="641" t="s">
        <v>1376</v>
      </c>
      <c r="B193" s="642" t="s">
        <v>1018</v>
      </c>
      <c r="C193" s="642" t="s">
        <v>1377</v>
      </c>
      <c r="D193" s="642"/>
      <c r="E193" s="642"/>
      <c r="F193" s="642"/>
      <c r="G193" s="642"/>
      <c r="H193" s="642"/>
      <c r="I193" s="642"/>
      <c r="J193" s="642"/>
      <c r="K193" s="642"/>
      <c r="L193" s="642" t="s">
        <v>259</v>
      </c>
      <c r="M193" s="643" t="n">
        <v>2384.54</v>
      </c>
      <c r="N193" s="644" t="e">
        <f aca="false">VLOOKUP(A193,'[1]2023.10 CPU´s'!U$1:AF$1048576,11,FALSE())</f>
        <v>#N/A</v>
      </c>
      <c r="O193" s="645" t="e">
        <f aca="false">(N193/M193)-1</f>
        <v>#N/A</v>
      </c>
    </row>
    <row r="194" customFormat="false" ht="12.75" hidden="false" customHeight="true" outlineLevel="0" collapsed="false">
      <c r="A194" s="641" t="s">
        <v>1378</v>
      </c>
      <c r="B194" s="642" t="s">
        <v>1018</v>
      </c>
      <c r="C194" s="642" t="s">
        <v>1379</v>
      </c>
      <c r="D194" s="642"/>
      <c r="E194" s="642"/>
      <c r="F194" s="642"/>
      <c r="G194" s="642"/>
      <c r="H194" s="642"/>
      <c r="I194" s="642"/>
      <c r="J194" s="642"/>
      <c r="K194" s="642"/>
      <c r="L194" s="642" t="s">
        <v>259</v>
      </c>
      <c r="M194" s="643" t="n">
        <v>3507.86</v>
      </c>
      <c r="N194" s="644" t="e">
        <f aca="false">VLOOKUP(A194,'[1]2023.10 CPU´s'!U$1:AF$1048576,11,FALSE())</f>
        <v>#N/A</v>
      </c>
      <c r="O194" s="645" t="e">
        <f aca="false">(N194/M194)-1</f>
        <v>#N/A</v>
      </c>
    </row>
    <row r="195" customFormat="false" ht="12.75" hidden="false" customHeight="true" outlineLevel="0" collapsed="false">
      <c r="A195" s="641" t="s">
        <v>1380</v>
      </c>
      <c r="B195" s="642" t="s">
        <v>1018</v>
      </c>
      <c r="C195" s="642" t="s">
        <v>1381</v>
      </c>
      <c r="D195" s="642"/>
      <c r="E195" s="642"/>
      <c r="F195" s="642"/>
      <c r="G195" s="642"/>
      <c r="H195" s="642"/>
      <c r="I195" s="642"/>
      <c r="J195" s="642"/>
      <c r="K195" s="642"/>
      <c r="L195" s="642" t="s">
        <v>259</v>
      </c>
      <c r="M195" s="643" t="n">
        <v>4928.57</v>
      </c>
      <c r="N195" s="644" t="e">
        <f aca="false">VLOOKUP(A195,'[1]2023.10 CPU´s'!U$1:AF$1048576,11,FALSE())</f>
        <v>#N/A</v>
      </c>
      <c r="O195" s="645" t="e">
        <f aca="false">(N195/M195)-1</f>
        <v>#N/A</v>
      </c>
    </row>
    <row r="196" customFormat="false" ht="12.75" hidden="false" customHeight="true" outlineLevel="0" collapsed="false">
      <c r="A196" s="641" t="s">
        <v>1382</v>
      </c>
      <c r="B196" s="642" t="s">
        <v>1018</v>
      </c>
      <c r="C196" s="642" t="s">
        <v>1383</v>
      </c>
      <c r="D196" s="642"/>
      <c r="E196" s="642"/>
      <c r="F196" s="642"/>
      <c r="G196" s="642"/>
      <c r="H196" s="642"/>
      <c r="I196" s="642"/>
      <c r="J196" s="642"/>
      <c r="K196" s="642"/>
      <c r="L196" s="642" t="s">
        <v>259</v>
      </c>
      <c r="M196" s="643" t="n">
        <v>7510.03</v>
      </c>
      <c r="N196" s="644" t="e">
        <f aca="false">VLOOKUP(A196,'[1]2023.10 CPU´s'!U$1:AF$1048576,11,FALSE())</f>
        <v>#N/A</v>
      </c>
      <c r="O196" s="645" t="e">
        <f aca="false">(N196/M196)-1</f>
        <v>#N/A</v>
      </c>
    </row>
    <row r="197" customFormat="false" ht="12.75" hidden="false" customHeight="true" outlineLevel="0" collapsed="false">
      <c r="A197" s="641" t="s">
        <v>1384</v>
      </c>
      <c r="B197" s="642" t="s">
        <v>1018</v>
      </c>
      <c r="C197" s="642" t="s">
        <v>1385</v>
      </c>
      <c r="D197" s="642"/>
      <c r="E197" s="642"/>
      <c r="F197" s="642"/>
      <c r="G197" s="642"/>
      <c r="H197" s="642"/>
      <c r="I197" s="642"/>
      <c r="J197" s="642"/>
      <c r="K197" s="642"/>
      <c r="L197" s="642" t="s">
        <v>259</v>
      </c>
      <c r="M197" s="643" t="n">
        <v>9850.33</v>
      </c>
      <c r="N197" s="644" t="e">
        <f aca="false">VLOOKUP(A197,'[1]2023.10 CPU´s'!U$1:AF$1048576,11,FALSE())</f>
        <v>#N/A</v>
      </c>
      <c r="O197" s="645" t="e">
        <f aca="false">(N197/M197)-1</f>
        <v>#N/A</v>
      </c>
    </row>
    <row r="198" customFormat="false" ht="12.75" hidden="false" customHeight="true" outlineLevel="0" collapsed="false">
      <c r="A198" s="641" t="s">
        <v>1386</v>
      </c>
      <c r="B198" s="642" t="s">
        <v>1018</v>
      </c>
      <c r="C198" s="642" t="s">
        <v>1387</v>
      </c>
      <c r="D198" s="642"/>
      <c r="E198" s="642"/>
      <c r="F198" s="642"/>
      <c r="G198" s="642"/>
      <c r="H198" s="642"/>
      <c r="I198" s="642"/>
      <c r="J198" s="642"/>
      <c r="K198" s="642"/>
      <c r="L198" s="642" t="s">
        <v>259</v>
      </c>
      <c r="M198" s="643" t="n">
        <v>10176.31</v>
      </c>
      <c r="N198" s="644" t="e">
        <f aca="false">VLOOKUP(A198,'[1]2023.10 CPU´s'!U$1:AF$1048576,11,FALSE())</f>
        <v>#N/A</v>
      </c>
      <c r="O198" s="645" t="e">
        <f aca="false">(N198/M198)-1</f>
        <v>#N/A</v>
      </c>
    </row>
    <row r="199" customFormat="false" ht="12.75" hidden="false" customHeight="true" outlineLevel="0" collapsed="false">
      <c r="A199" s="641" t="s">
        <v>1388</v>
      </c>
      <c r="B199" s="642" t="s">
        <v>1018</v>
      </c>
      <c r="C199" s="642" t="s">
        <v>1389</v>
      </c>
      <c r="D199" s="642"/>
      <c r="E199" s="642"/>
      <c r="F199" s="642"/>
      <c r="G199" s="642"/>
      <c r="H199" s="642"/>
      <c r="I199" s="642"/>
      <c r="J199" s="642"/>
      <c r="K199" s="642"/>
      <c r="L199" s="642" t="s">
        <v>259</v>
      </c>
      <c r="M199" s="643" t="n">
        <v>12504.55</v>
      </c>
      <c r="N199" s="644" t="e">
        <f aca="false">VLOOKUP(A199,'[1]2023.10 CPU´s'!U$1:AF$1048576,11,FALSE())</f>
        <v>#N/A</v>
      </c>
      <c r="O199" s="645" t="e">
        <f aca="false">(N199/M199)-1</f>
        <v>#N/A</v>
      </c>
    </row>
    <row r="200" customFormat="false" ht="12.75" hidden="false" customHeight="true" outlineLevel="0" collapsed="false">
      <c r="A200" s="641" t="s">
        <v>1390</v>
      </c>
      <c r="B200" s="642" t="s">
        <v>1018</v>
      </c>
      <c r="C200" s="642" t="s">
        <v>1391</v>
      </c>
      <c r="D200" s="642"/>
      <c r="E200" s="642"/>
      <c r="F200" s="642"/>
      <c r="G200" s="642"/>
      <c r="H200" s="642"/>
      <c r="I200" s="642"/>
      <c r="J200" s="642"/>
      <c r="K200" s="642"/>
      <c r="L200" s="642" t="s">
        <v>259</v>
      </c>
      <c r="M200" s="643" t="n">
        <v>14815.98</v>
      </c>
      <c r="N200" s="644" t="e">
        <f aca="false">VLOOKUP(A200,'[1]2023.10 CPU´s'!U$1:AF$1048576,11,FALSE())</f>
        <v>#N/A</v>
      </c>
      <c r="O200" s="645" t="e">
        <f aca="false">(N200/M200)-1</f>
        <v>#N/A</v>
      </c>
    </row>
    <row r="201" customFormat="false" ht="12.75" hidden="false" customHeight="true" outlineLevel="0" collapsed="false">
      <c r="A201" s="641" t="s">
        <v>1392</v>
      </c>
      <c r="B201" s="642" t="s">
        <v>1018</v>
      </c>
      <c r="C201" s="642" t="s">
        <v>1393</v>
      </c>
      <c r="D201" s="642"/>
      <c r="E201" s="642"/>
      <c r="F201" s="642"/>
      <c r="G201" s="642"/>
      <c r="H201" s="642"/>
      <c r="I201" s="642"/>
      <c r="J201" s="642"/>
      <c r="K201" s="642"/>
      <c r="L201" s="642" t="s">
        <v>259</v>
      </c>
      <c r="M201" s="643" t="n">
        <v>3019.63</v>
      </c>
      <c r="N201" s="644" t="e">
        <f aca="false">VLOOKUP(A201,'[1]2023.10 CPU´s'!U$1:AF$1048576,11,FALSE())</f>
        <v>#N/A</v>
      </c>
      <c r="O201" s="645" t="e">
        <f aca="false">(N201/M201)-1</f>
        <v>#N/A</v>
      </c>
    </row>
    <row r="202" customFormat="false" ht="12.75" hidden="false" customHeight="true" outlineLevel="0" collapsed="false">
      <c r="A202" s="641" t="s">
        <v>1394</v>
      </c>
      <c r="B202" s="642" t="s">
        <v>1018</v>
      </c>
      <c r="C202" s="642" t="s">
        <v>1395</v>
      </c>
      <c r="D202" s="642"/>
      <c r="E202" s="642"/>
      <c r="F202" s="642"/>
      <c r="G202" s="642"/>
      <c r="H202" s="642"/>
      <c r="I202" s="642"/>
      <c r="J202" s="642"/>
      <c r="K202" s="642"/>
      <c r="L202" s="642" t="s">
        <v>259</v>
      </c>
      <c r="M202" s="643" t="n">
        <v>4200.49</v>
      </c>
      <c r="N202" s="644" t="e">
        <f aca="false">VLOOKUP(A202,'[1]2023.10 CPU´s'!U$1:AF$1048576,11,FALSE())</f>
        <v>#N/A</v>
      </c>
      <c r="O202" s="645" t="e">
        <f aca="false">(N202/M202)-1</f>
        <v>#N/A</v>
      </c>
    </row>
    <row r="203" customFormat="false" ht="12.75" hidden="false" customHeight="true" outlineLevel="0" collapsed="false">
      <c r="A203" s="641" t="s">
        <v>1396</v>
      </c>
      <c r="B203" s="642" t="s">
        <v>1018</v>
      </c>
      <c r="C203" s="642" t="s">
        <v>1397</v>
      </c>
      <c r="D203" s="642"/>
      <c r="E203" s="642"/>
      <c r="F203" s="642"/>
      <c r="G203" s="642"/>
      <c r="H203" s="642"/>
      <c r="I203" s="642"/>
      <c r="J203" s="642"/>
      <c r="K203" s="642"/>
      <c r="L203" s="642" t="s">
        <v>259</v>
      </c>
      <c r="M203" s="643" t="n">
        <v>5385.16</v>
      </c>
      <c r="N203" s="644" t="e">
        <f aca="false">VLOOKUP(A203,'[1]2023.10 CPU´s'!U$1:AF$1048576,11,FALSE())</f>
        <v>#N/A</v>
      </c>
      <c r="O203" s="645" t="e">
        <f aca="false">(N203/M203)-1</f>
        <v>#N/A</v>
      </c>
    </row>
    <row r="204" customFormat="false" ht="12.75" hidden="false" customHeight="true" outlineLevel="0" collapsed="false">
      <c r="A204" s="630" t="s">
        <v>1398</v>
      </c>
      <c r="B204" s="631"/>
      <c r="C204" s="632" t="s">
        <v>1399</v>
      </c>
      <c r="D204" s="632"/>
      <c r="E204" s="632"/>
      <c r="F204" s="632"/>
      <c r="G204" s="632"/>
      <c r="H204" s="632"/>
      <c r="I204" s="632"/>
      <c r="J204" s="632"/>
      <c r="K204" s="632"/>
      <c r="L204" s="633"/>
      <c r="M204" s="633"/>
      <c r="N204" s="634"/>
      <c r="O204" s="635"/>
    </row>
    <row r="205" customFormat="false" ht="12.75" hidden="false" customHeight="true" outlineLevel="0" collapsed="false">
      <c r="A205" s="636" t="s">
        <v>1400</v>
      </c>
      <c r="B205" s="637" t="s">
        <v>1018</v>
      </c>
      <c r="C205" s="637" t="s">
        <v>1401</v>
      </c>
      <c r="D205" s="637"/>
      <c r="E205" s="637"/>
      <c r="F205" s="637"/>
      <c r="G205" s="637"/>
      <c r="H205" s="637"/>
      <c r="I205" s="637"/>
      <c r="J205" s="637"/>
      <c r="K205" s="637"/>
      <c r="L205" s="638"/>
      <c r="M205" s="638"/>
      <c r="N205" s="639"/>
      <c r="O205" s="640"/>
    </row>
    <row r="206" customFormat="false" ht="12.75" hidden="false" customHeight="true" outlineLevel="0" collapsed="false">
      <c r="A206" s="641" t="s">
        <v>1402</v>
      </c>
      <c r="B206" s="642" t="s">
        <v>1018</v>
      </c>
      <c r="C206" s="642" t="s">
        <v>1403</v>
      </c>
      <c r="D206" s="642"/>
      <c r="E206" s="642"/>
      <c r="F206" s="642"/>
      <c r="G206" s="642"/>
      <c r="H206" s="642"/>
      <c r="I206" s="642"/>
      <c r="J206" s="642"/>
      <c r="K206" s="642"/>
      <c r="L206" s="642" t="s">
        <v>259</v>
      </c>
      <c r="M206" s="643" t="n">
        <v>3.51</v>
      </c>
      <c r="N206" s="644" t="e">
        <f aca="false">VLOOKUP(A206,'[1]2023.10 CPU´s'!U$1:AF$1048576,11,FALSE())</f>
        <v>#N/A</v>
      </c>
      <c r="O206" s="645" t="e">
        <f aca="false">(N206/M206)-1</f>
        <v>#N/A</v>
      </c>
    </row>
    <row r="207" customFormat="false" ht="12.75" hidden="false" customHeight="true" outlineLevel="0" collapsed="false">
      <c r="A207" s="641" t="s">
        <v>1404</v>
      </c>
      <c r="B207" s="642" t="s">
        <v>1018</v>
      </c>
      <c r="C207" s="642" t="s">
        <v>1405</v>
      </c>
      <c r="D207" s="642"/>
      <c r="E207" s="642"/>
      <c r="F207" s="642"/>
      <c r="G207" s="642"/>
      <c r="H207" s="642"/>
      <c r="I207" s="642"/>
      <c r="J207" s="642"/>
      <c r="K207" s="642"/>
      <c r="L207" s="642" t="s">
        <v>259</v>
      </c>
      <c r="M207" s="643" t="n">
        <v>4.01</v>
      </c>
      <c r="N207" s="644" t="e">
        <f aca="false">VLOOKUP(A207,'[1]2023.10 CPU´s'!U$1:AF$1048576,11,FALSE())</f>
        <v>#N/A</v>
      </c>
      <c r="O207" s="645" t="e">
        <f aca="false">(N207/M207)-1</f>
        <v>#N/A</v>
      </c>
    </row>
    <row r="208" customFormat="false" ht="12.75" hidden="false" customHeight="true" outlineLevel="0" collapsed="false">
      <c r="A208" s="641" t="s">
        <v>1406</v>
      </c>
      <c r="B208" s="642" t="s">
        <v>1018</v>
      </c>
      <c r="C208" s="642" t="s">
        <v>1407</v>
      </c>
      <c r="D208" s="642"/>
      <c r="E208" s="642"/>
      <c r="F208" s="642"/>
      <c r="G208" s="642"/>
      <c r="H208" s="642"/>
      <c r="I208" s="642"/>
      <c r="J208" s="642"/>
      <c r="K208" s="642"/>
      <c r="L208" s="642" t="s">
        <v>259</v>
      </c>
      <c r="M208" s="643" t="n">
        <v>8.01</v>
      </c>
      <c r="N208" s="644" t="e">
        <f aca="false">VLOOKUP(A208,'[1]2023.10 CPU´s'!U$1:AF$1048576,11,FALSE())</f>
        <v>#N/A</v>
      </c>
      <c r="O208" s="645" t="e">
        <f aca="false">(N208/M208)-1</f>
        <v>#N/A</v>
      </c>
    </row>
    <row r="209" customFormat="false" ht="12.75" hidden="false" customHeight="true" outlineLevel="0" collapsed="false">
      <c r="A209" s="636" t="s">
        <v>1408</v>
      </c>
      <c r="B209" s="637" t="s">
        <v>1018</v>
      </c>
      <c r="C209" s="637" t="s">
        <v>1409</v>
      </c>
      <c r="D209" s="637"/>
      <c r="E209" s="637"/>
      <c r="F209" s="637"/>
      <c r="G209" s="637"/>
      <c r="H209" s="637"/>
      <c r="I209" s="637"/>
      <c r="J209" s="637"/>
      <c r="K209" s="637"/>
      <c r="L209" s="638"/>
      <c r="M209" s="638"/>
      <c r="N209" s="639"/>
      <c r="O209" s="640"/>
    </row>
    <row r="210" customFormat="false" ht="12.75" hidden="false" customHeight="true" outlineLevel="0" collapsed="false">
      <c r="A210" s="641" t="s">
        <v>1410</v>
      </c>
      <c r="B210" s="642" t="s">
        <v>1018</v>
      </c>
      <c r="C210" s="642" t="s">
        <v>1411</v>
      </c>
      <c r="D210" s="642"/>
      <c r="E210" s="642"/>
      <c r="F210" s="642"/>
      <c r="G210" s="642"/>
      <c r="H210" s="642"/>
      <c r="I210" s="642"/>
      <c r="J210" s="642"/>
      <c r="K210" s="642"/>
      <c r="L210" s="642" t="s">
        <v>259</v>
      </c>
      <c r="M210" s="643" t="n">
        <v>0.25</v>
      </c>
      <c r="N210" s="644" t="e">
        <f aca="false">VLOOKUP(A210,'[1]2023.10 CPU´s'!U$1:AF$1048576,11,FALSE())</f>
        <v>#N/A</v>
      </c>
      <c r="O210" s="645" t="e">
        <f aca="false">(N210/M210)-1</f>
        <v>#N/A</v>
      </c>
    </row>
    <row r="211" customFormat="false" ht="12.75" hidden="false" customHeight="true" outlineLevel="0" collapsed="false">
      <c r="A211" s="641" t="s">
        <v>1412</v>
      </c>
      <c r="B211" s="642" t="s">
        <v>1018</v>
      </c>
      <c r="C211" s="642" t="s">
        <v>1413</v>
      </c>
      <c r="D211" s="642"/>
      <c r="E211" s="642"/>
      <c r="F211" s="642"/>
      <c r="G211" s="642"/>
      <c r="H211" s="642"/>
      <c r="I211" s="642"/>
      <c r="J211" s="642"/>
      <c r="K211" s="642"/>
      <c r="L211" s="642" t="s">
        <v>259</v>
      </c>
      <c r="M211" s="643" t="n">
        <v>0.45</v>
      </c>
      <c r="N211" s="644" t="e">
        <f aca="false">VLOOKUP(A211,'[1]2023.10 CPU´s'!U$1:AF$1048576,11,FALSE())</f>
        <v>#N/A</v>
      </c>
      <c r="O211" s="645" t="e">
        <f aca="false">(N211/M211)-1</f>
        <v>#N/A</v>
      </c>
    </row>
    <row r="212" customFormat="false" ht="12.75" hidden="false" customHeight="true" outlineLevel="0" collapsed="false">
      <c r="A212" s="636" t="s">
        <v>1414</v>
      </c>
      <c r="B212" s="637" t="s">
        <v>1018</v>
      </c>
      <c r="C212" s="637" t="s">
        <v>1415</v>
      </c>
      <c r="D212" s="637"/>
      <c r="E212" s="637"/>
      <c r="F212" s="637"/>
      <c r="G212" s="637"/>
      <c r="H212" s="637"/>
      <c r="I212" s="637"/>
      <c r="J212" s="637"/>
      <c r="K212" s="637"/>
      <c r="L212" s="638"/>
      <c r="M212" s="638"/>
      <c r="N212" s="639"/>
      <c r="O212" s="640"/>
    </row>
    <row r="213" customFormat="false" ht="12.75" hidden="false" customHeight="true" outlineLevel="0" collapsed="false">
      <c r="A213" s="641" t="s">
        <v>1416</v>
      </c>
      <c r="B213" s="642" t="s">
        <v>1018</v>
      </c>
      <c r="C213" s="642" t="s">
        <v>1411</v>
      </c>
      <c r="D213" s="642"/>
      <c r="E213" s="642"/>
      <c r="F213" s="642"/>
      <c r="G213" s="642"/>
      <c r="H213" s="642"/>
      <c r="I213" s="642"/>
      <c r="J213" s="642"/>
      <c r="K213" s="642"/>
      <c r="L213" s="642" t="s">
        <v>259</v>
      </c>
      <c r="M213" s="643" t="n">
        <v>1.4</v>
      </c>
      <c r="N213" s="644" t="e">
        <f aca="false">VLOOKUP(A213,'[1]2023.10 CPU´s'!U$1:AF$1048576,11,FALSE())</f>
        <v>#N/A</v>
      </c>
      <c r="O213" s="645" t="e">
        <f aca="false">(N213/M213)-1</f>
        <v>#N/A</v>
      </c>
    </row>
    <row r="214" customFormat="false" ht="12.75" hidden="false" customHeight="true" outlineLevel="0" collapsed="false">
      <c r="A214" s="641" t="s">
        <v>1417</v>
      </c>
      <c r="B214" s="642" t="s">
        <v>1018</v>
      </c>
      <c r="C214" s="642" t="s">
        <v>1413</v>
      </c>
      <c r="D214" s="642"/>
      <c r="E214" s="642"/>
      <c r="F214" s="642"/>
      <c r="G214" s="642"/>
      <c r="H214" s="642"/>
      <c r="I214" s="642"/>
      <c r="J214" s="642"/>
      <c r="K214" s="642"/>
      <c r="L214" s="642" t="s">
        <v>259</v>
      </c>
      <c r="M214" s="643" t="n">
        <v>2.5</v>
      </c>
      <c r="N214" s="644" t="e">
        <f aca="false">VLOOKUP(A214,'[1]2023.10 CPU´s'!U$1:AF$1048576,11,FALSE())</f>
        <v>#N/A</v>
      </c>
      <c r="O214" s="645" t="e">
        <f aca="false">(N214/M214)-1</f>
        <v>#N/A</v>
      </c>
    </row>
    <row r="215" customFormat="false" ht="12.75" hidden="false" customHeight="true" outlineLevel="0" collapsed="false">
      <c r="A215" s="636" t="s">
        <v>1418</v>
      </c>
      <c r="B215" s="637" t="s">
        <v>1018</v>
      </c>
      <c r="C215" s="637" t="s">
        <v>1419</v>
      </c>
      <c r="D215" s="637"/>
      <c r="E215" s="637"/>
      <c r="F215" s="637"/>
      <c r="G215" s="637"/>
      <c r="H215" s="637"/>
      <c r="I215" s="637"/>
      <c r="J215" s="637"/>
      <c r="K215" s="637"/>
      <c r="L215" s="638"/>
      <c r="M215" s="638"/>
      <c r="N215" s="639"/>
      <c r="O215" s="640"/>
    </row>
    <row r="216" customFormat="false" ht="12.75" hidden="false" customHeight="true" outlineLevel="0" collapsed="false">
      <c r="A216" s="641" t="s">
        <v>1420</v>
      </c>
      <c r="B216" s="642" t="s">
        <v>1018</v>
      </c>
      <c r="C216" s="642" t="s">
        <v>1421</v>
      </c>
      <c r="D216" s="642"/>
      <c r="E216" s="642"/>
      <c r="F216" s="642"/>
      <c r="G216" s="642"/>
      <c r="H216" s="642"/>
      <c r="I216" s="642"/>
      <c r="J216" s="642"/>
      <c r="K216" s="642"/>
      <c r="L216" s="642" t="s">
        <v>259</v>
      </c>
      <c r="M216" s="643" t="n">
        <v>5.51</v>
      </c>
      <c r="N216" s="644" t="e">
        <f aca="false">VLOOKUP(A216,'[1]2023.10 CPU´s'!U$1:AF$1048576,11,FALSE())</f>
        <v>#N/A</v>
      </c>
      <c r="O216" s="645" t="e">
        <f aca="false">(N216/M216)-1</f>
        <v>#N/A</v>
      </c>
    </row>
    <row r="217" customFormat="false" ht="12.75" hidden="false" customHeight="true" outlineLevel="0" collapsed="false">
      <c r="A217" s="636" t="s">
        <v>1422</v>
      </c>
      <c r="B217" s="637" t="s">
        <v>1018</v>
      </c>
      <c r="C217" s="637" t="s">
        <v>1423</v>
      </c>
      <c r="D217" s="637"/>
      <c r="E217" s="637"/>
      <c r="F217" s="637"/>
      <c r="G217" s="637"/>
      <c r="H217" s="637"/>
      <c r="I217" s="637"/>
      <c r="J217" s="637"/>
      <c r="K217" s="637"/>
      <c r="L217" s="638"/>
      <c r="M217" s="638"/>
      <c r="N217" s="639"/>
      <c r="O217" s="640"/>
    </row>
    <row r="218" customFormat="false" ht="12.75" hidden="false" customHeight="true" outlineLevel="0" collapsed="false">
      <c r="A218" s="641" t="s">
        <v>1424</v>
      </c>
      <c r="B218" s="642" t="s">
        <v>1018</v>
      </c>
      <c r="C218" s="642" t="s">
        <v>1413</v>
      </c>
      <c r="D218" s="642"/>
      <c r="E218" s="642"/>
      <c r="F218" s="642"/>
      <c r="G218" s="642"/>
      <c r="H218" s="642"/>
      <c r="I218" s="642"/>
      <c r="J218" s="642"/>
      <c r="K218" s="642"/>
      <c r="L218" s="642" t="s">
        <v>259</v>
      </c>
      <c r="M218" s="643" t="n">
        <v>3</v>
      </c>
      <c r="N218" s="644" t="e">
        <f aca="false">VLOOKUP(A218,'[1]2023.10 CPU´s'!U$1:AF$1048576,11,FALSE())</f>
        <v>#N/A</v>
      </c>
      <c r="O218" s="645" t="e">
        <f aca="false">(N218/M218)-1</f>
        <v>#N/A</v>
      </c>
    </row>
    <row r="219" customFormat="false" ht="12.75" hidden="false" customHeight="true" outlineLevel="0" collapsed="false">
      <c r="A219" s="641" t="s">
        <v>1425</v>
      </c>
      <c r="B219" s="642" t="s">
        <v>1018</v>
      </c>
      <c r="C219" s="642" t="s">
        <v>1403</v>
      </c>
      <c r="D219" s="642"/>
      <c r="E219" s="642"/>
      <c r="F219" s="642"/>
      <c r="G219" s="642"/>
      <c r="H219" s="642"/>
      <c r="I219" s="642"/>
      <c r="J219" s="642"/>
      <c r="K219" s="642"/>
      <c r="L219" s="642" t="s">
        <v>259</v>
      </c>
      <c r="M219" s="643" t="n">
        <v>5.4</v>
      </c>
      <c r="N219" s="644" t="e">
        <f aca="false">VLOOKUP(A219,'[1]2023.10 CPU´s'!U$1:AF$1048576,11,FALSE())</f>
        <v>#N/A</v>
      </c>
      <c r="O219" s="645" t="e">
        <f aca="false">(N219/M219)-1</f>
        <v>#N/A</v>
      </c>
    </row>
    <row r="220" customFormat="false" ht="12.75" hidden="false" customHeight="true" outlineLevel="0" collapsed="false">
      <c r="A220" s="641" t="s">
        <v>1426</v>
      </c>
      <c r="B220" s="642" t="s">
        <v>1018</v>
      </c>
      <c r="C220" s="642" t="s">
        <v>1405</v>
      </c>
      <c r="D220" s="642"/>
      <c r="E220" s="642"/>
      <c r="F220" s="642"/>
      <c r="G220" s="642"/>
      <c r="H220" s="642"/>
      <c r="I220" s="642"/>
      <c r="J220" s="642"/>
      <c r="K220" s="642"/>
      <c r="L220" s="642" t="s">
        <v>259</v>
      </c>
      <c r="M220" s="643" t="n">
        <v>7</v>
      </c>
      <c r="N220" s="644" t="e">
        <f aca="false">VLOOKUP(A220,'[1]2023.10 CPU´s'!U$1:AF$1048576,11,FALSE())</f>
        <v>#N/A</v>
      </c>
      <c r="O220" s="645" t="e">
        <f aca="false">(N220/M220)-1</f>
        <v>#N/A</v>
      </c>
    </row>
    <row r="221" customFormat="false" ht="12.75" hidden="false" customHeight="true" outlineLevel="0" collapsed="false">
      <c r="A221" s="641" t="s">
        <v>1427</v>
      </c>
      <c r="B221" s="642" t="s">
        <v>1018</v>
      </c>
      <c r="C221" s="642" t="s">
        <v>1407</v>
      </c>
      <c r="D221" s="642"/>
      <c r="E221" s="642"/>
      <c r="F221" s="642"/>
      <c r="G221" s="642"/>
      <c r="H221" s="642"/>
      <c r="I221" s="642"/>
      <c r="J221" s="642"/>
      <c r="K221" s="642"/>
      <c r="L221" s="642" t="s">
        <v>259</v>
      </c>
      <c r="M221" s="643" t="n">
        <v>18</v>
      </c>
      <c r="N221" s="644" t="e">
        <f aca="false">VLOOKUP(A221,'[1]2023.10 CPU´s'!U$1:AF$1048576,11,FALSE())</f>
        <v>#N/A</v>
      </c>
      <c r="O221" s="645" t="e">
        <f aca="false">(N221/M221)-1</f>
        <v>#N/A</v>
      </c>
    </row>
    <row r="222" customFormat="false" ht="12.75" hidden="false" customHeight="true" outlineLevel="0" collapsed="false">
      <c r="A222" s="641" t="s">
        <v>1428</v>
      </c>
      <c r="B222" s="642" t="s">
        <v>1018</v>
      </c>
      <c r="C222" s="642" t="s">
        <v>1429</v>
      </c>
      <c r="D222" s="642"/>
      <c r="E222" s="642"/>
      <c r="F222" s="642"/>
      <c r="G222" s="642"/>
      <c r="H222" s="642"/>
      <c r="I222" s="642"/>
      <c r="J222" s="642"/>
      <c r="K222" s="642"/>
      <c r="L222" s="642" t="s">
        <v>259</v>
      </c>
      <c r="M222" s="643" t="n">
        <v>11</v>
      </c>
      <c r="N222" s="644" t="e">
        <f aca="false">VLOOKUP(A222,'[1]2023.10 CPU´s'!U$1:AF$1048576,11,FALSE())</f>
        <v>#N/A</v>
      </c>
      <c r="O222" s="645" t="e">
        <f aca="false">(N222/M222)-1</f>
        <v>#N/A</v>
      </c>
    </row>
    <row r="223" customFormat="false" ht="12.75" hidden="false" customHeight="true" outlineLevel="0" collapsed="false">
      <c r="A223" s="641" t="s">
        <v>1430</v>
      </c>
      <c r="B223" s="642" t="s">
        <v>1018</v>
      </c>
      <c r="C223" s="642" t="s">
        <v>1431</v>
      </c>
      <c r="D223" s="642"/>
      <c r="E223" s="642"/>
      <c r="F223" s="642"/>
      <c r="G223" s="642"/>
      <c r="H223" s="642"/>
      <c r="I223" s="642"/>
      <c r="J223" s="642"/>
      <c r="K223" s="642"/>
      <c r="L223" s="642" t="s">
        <v>259</v>
      </c>
      <c r="M223" s="643" t="n">
        <v>13.5</v>
      </c>
      <c r="N223" s="644" t="e">
        <f aca="false">VLOOKUP(A223,'[1]2023.10 CPU´s'!U$1:AF$1048576,11,FALSE())</f>
        <v>#N/A</v>
      </c>
      <c r="O223" s="645" t="e">
        <f aca="false">(N223/M223)-1</f>
        <v>#N/A</v>
      </c>
    </row>
    <row r="224" customFormat="false" ht="12.75" hidden="false" customHeight="true" outlineLevel="0" collapsed="false">
      <c r="A224" s="636" t="s">
        <v>1432</v>
      </c>
      <c r="B224" s="637" t="s">
        <v>1018</v>
      </c>
      <c r="C224" s="637" t="s">
        <v>1433</v>
      </c>
      <c r="D224" s="637"/>
      <c r="E224" s="637"/>
      <c r="F224" s="637"/>
      <c r="G224" s="637"/>
      <c r="H224" s="637"/>
      <c r="I224" s="637"/>
      <c r="J224" s="637"/>
      <c r="K224" s="637"/>
      <c r="L224" s="638"/>
      <c r="M224" s="638"/>
      <c r="N224" s="639"/>
      <c r="O224" s="640"/>
    </row>
    <row r="225" customFormat="false" ht="12.75" hidden="false" customHeight="true" outlineLevel="0" collapsed="false">
      <c r="A225" s="641" t="s">
        <v>1434</v>
      </c>
      <c r="B225" s="642" t="s">
        <v>1018</v>
      </c>
      <c r="C225" s="642" t="s">
        <v>1411</v>
      </c>
      <c r="D225" s="642"/>
      <c r="E225" s="642"/>
      <c r="F225" s="642"/>
      <c r="G225" s="642"/>
      <c r="H225" s="642"/>
      <c r="I225" s="642"/>
      <c r="J225" s="642"/>
      <c r="K225" s="642"/>
      <c r="L225" s="642" t="s">
        <v>259</v>
      </c>
      <c r="M225" s="643" t="n">
        <v>0.9</v>
      </c>
      <c r="N225" s="644" t="e">
        <f aca="false">VLOOKUP(A225,'[1]2023.10 CPU´s'!U$1:AF$1048576,11,FALSE())</f>
        <v>#N/A</v>
      </c>
      <c r="O225" s="645" t="e">
        <f aca="false">(N225/M225)-1</f>
        <v>#N/A</v>
      </c>
    </row>
    <row r="226" customFormat="false" ht="12.75" hidden="false" customHeight="true" outlineLevel="0" collapsed="false">
      <c r="A226" s="641" t="s">
        <v>1435</v>
      </c>
      <c r="B226" s="642" t="s">
        <v>1018</v>
      </c>
      <c r="C226" s="642" t="s">
        <v>1413</v>
      </c>
      <c r="D226" s="642"/>
      <c r="E226" s="642"/>
      <c r="F226" s="642"/>
      <c r="G226" s="642"/>
      <c r="H226" s="642"/>
      <c r="I226" s="642"/>
      <c r="J226" s="642"/>
      <c r="K226" s="642"/>
      <c r="L226" s="642" t="s">
        <v>259</v>
      </c>
      <c r="M226" s="643" t="n">
        <v>2.5</v>
      </c>
      <c r="N226" s="644" t="e">
        <f aca="false">VLOOKUP(A226,'[1]2023.10 CPU´s'!U$1:AF$1048576,11,FALSE())</f>
        <v>#N/A</v>
      </c>
      <c r="O226" s="645" t="e">
        <f aca="false">(N226/M226)-1</f>
        <v>#N/A</v>
      </c>
    </row>
    <row r="227" customFormat="false" ht="12.75" hidden="false" customHeight="true" outlineLevel="0" collapsed="false">
      <c r="A227" s="641" t="s">
        <v>1436</v>
      </c>
      <c r="B227" s="642" t="s">
        <v>1018</v>
      </c>
      <c r="C227" s="642" t="s">
        <v>1403</v>
      </c>
      <c r="D227" s="642"/>
      <c r="E227" s="642"/>
      <c r="F227" s="642"/>
      <c r="G227" s="642"/>
      <c r="H227" s="642"/>
      <c r="I227" s="642"/>
      <c r="J227" s="642"/>
      <c r="K227" s="642"/>
      <c r="L227" s="642" t="s">
        <v>259</v>
      </c>
      <c r="M227" s="643" t="n">
        <v>6.5</v>
      </c>
      <c r="N227" s="644" t="e">
        <f aca="false">VLOOKUP(A227,'[1]2023.10 CPU´s'!U$1:AF$1048576,11,FALSE())</f>
        <v>#N/A</v>
      </c>
      <c r="O227" s="645" t="e">
        <f aca="false">(N227/M227)-1</f>
        <v>#N/A</v>
      </c>
    </row>
    <row r="228" customFormat="false" ht="12.75" hidden="false" customHeight="true" outlineLevel="0" collapsed="false">
      <c r="A228" s="641" t="s">
        <v>1437</v>
      </c>
      <c r="B228" s="642" t="s">
        <v>1018</v>
      </c>
      <c r="C228" s="642" t="s">
        <v>1405</v>
      </c>
      <c r="D228" s="642"/>
      <c r="E228" s="642"/>
      <c r="F228" s="642"/>
      <c r="G228" s="642"/>
      <c r="H228" s="642"/>
      <c r="I228" s="642"/>
      <c r="J228" s="642"/>
      <c r="K228" s="642"/>
      <c r="L228" s="642" t="s">
        <v>259</v>
      </c>
      <c r="M228" s="643" t="n">
        <v>8.7</v>
      </c>
      <c r="N228" s="644" t="e">
        <f aca="false">VLOOKUP(A228,'[1]2023.10 CPU´s'!U$1:AF$1048576,11,FALSE())</f>
        <v>#N/A</v>
      </c>
      <c r="O228" s="645" t="e">
        <f aca="false">(N228/M228)-1</f>
        <v>#N/A</v>
      </c>
    </row>
    <row r="229" customFormat="false" ht="12.75" hidden="false" customHeight="true" outlineLevel="0" collapsed="false">
      <c r="A229" s="641" t="s">
        <v>1438</v>
      </c>
      <c r="B229" s="642" t="s">
        <v>1018</v>
      </c>
      <c r="C229" s="642" t="s">
        <v>1407</v>
      </c>
      <c r="D229" s="642"/>
      <c r="E229" s="642"/>
      <c r="F229" s="642"/>
      <c r="G229" s="642"/>
      <c r="H229" s="642"/>
      <c r="I229" s="642"/>
      <c r="J229" s="642"/>
      <c r="K229" s="642"/>
      <c r="L229" s="642" t="s">
        <v>259</v>
      </c>
      <c r="M229" s="643" t="n">
        <v>10.8</v>
      </c>
      <c r="N229" s="644" t="e">
        <f aca="false">VLOOKUP(A229,'[1]2023.10 CPU´s'!U$1:AF$1048576,11,FALSE())</f>
        <v>#N/A</v>
      </c>
      <c r="O229" s="645" t="e">
        <f aca="false">(N229/M229)-1</f>
        <v>#N/A</v>
      </c>
    </row>
    <row r="230" customFormat="false" ht="12.75" hidden="false" customHeight="true" outlineLevel="0" collapsed="false">
      <c r="A230" s="641" t="s">
        <v>1439</v>
      </c>
      <c r="B230" s="642" t="s">
        <v>1018</v>
      </c>
      <c r="C230" s="642" t="s">
        <v>1429</v>
      </c>
      <c r="D230" s="642"/>
      <c r="E230" s="642"/>
      <c r="F230" s="642"/>
      <c r="G230" s="642"/>
      <c r="H230" s="642"/>
      <c r="I230" s="642"/>
      <c r="J230" s="642"/>
      <c r="K230" s="642"/>
      <c r="L230" s="642" t="s">
        <v>259</v>
      </c>
      <c r="M230" s="643" t="n">
        <v>12</v>
      </c>
      <c r="N230" s="644" t="e">
        <f aca="false">VLOOKUP(A230,'[1]2023.10 CPU´s'!U$1:AF$1048576,11,FALSE())</f>
        <v>#N/A</v>
      </c>
      <c r="O230" s="645" t="e">
        <f aca="false">(N230/M230)-1</f>
        <v>#N/A</v>
      </c>
    </row>
    <row r="231" customFormat="false" ht="12.75" hidden="false" customHeight="true" outlineLevel="0" collapsed="false">
      <c r="A231" s="641" t="s">
        <v>1440</v>
      </c>
      <c r="B231" s="642" t="s">
        <v>1018</v>
      </c>
      <c r="C231" s="642" t="s">
        <v>1431</v>
      </c>
      <c r="D231" s="642"/>
      <c r="E231" s="642"/>
      <c r="F231" s="642"/>
      <c r="G231" s="642"/>
      <c r="H231" s="642"/>
      <c r="I231" s="642"/>
      <c r="J231" s="642"/>
      <c r="K231" s="642"/>
      <c r="L231" s="642" t="s">
        <v>259</v>
      </c>
      <c r="M231" s="643" t="n">
        <v>16</v>
      </c>
      <c r="N231" s="644" t="e">
        <f aca="false">VLOOKUP(A231,'[1]2023.10 CPU´s'!U$1:AF$1048576,11,FALSE())</f>
        <v>#N/A</v>
      </c>
      <c r="O231" s="645" t="e">
        <f aca="false">(N231/M231)-1</f>
        <v>#N/A</v>
      </c>
    </row>
    <row r="232" customFormat="false" ht="12.75" hidden="false" customHeight="true" outlineLevel="0" collapsed="false">
      <c r="A232" s="636" t="s">
        <v>1441</v>
      </c>
      <c r="B232" s="637" t="s">
        <v>1018</v>
      </c>
      <c r="C232" s="637" t="s">
        <v>1442</v>
      </c>
      <c r="D232" s="637"/>
      <c r="E232" s="637"/>
      <c r="F232" s="637"/>
      <c r="G232" s="637"/>
      <c r="H232" s="637"/>
      <c r="I232" s="637"/>
      <c r="J232" s="637"/>
      <c r="K232" s="637"/>
      <c r="L232" s="638"/>
      <c r="M232" s="638"/>
      <c r="N232" s="639"/>
      <c r="O232" s="640"/>
    </row>
    <row r="233" customFormat="false" ht="12.75" hidden="false" customHeight="true" outlineLevel="0" collapsed="false">
      <c r="A233" s="641" t="s">
        <v>1443</v>
      </c>
      <c r="B233" s="642" t="s">
        <v>1018</v>
      </c>
      <c r="C233" s="642" t="s">
        <v>1444</v>
      </c>
      <c r="D233" s="642"/>
      <c r="E233" s="642"/>
      <c r="F233" s="642"/>
      <c r="G233" s="642"/>
      <c r="H233" s="642"/>
      <c r="I233" s="642"/>
      <c r="J233" s="642"/>
      <c r="K233" s="642"/>
      <c r="L233" s="642" t="s">
        <v>259</v>
      </c>
      <c r="M233" s="643" t="n">
        <v>3.85</v>
      </c>
      <c r="N233" s="644" t="e">
        <f aca="false">VLOOKUP(A233,'[1]2023.10 CPU´s'!U$1:AF$1048576,11,FALSE())</f>
        <v>#N/A</v>
      </c>
      <c r="O233" s="645" t="e">
        <f aca="false">(N233/M233)-1</f>
        <v>#N/A</v>
      </c>
    </row>
    <row r="234" customFormat="false" ht="12.75" hidden="false" customHeight="true" outlineLevel="0" collapsed="false">
      <c r="A234" s="641" t="s">
        <v>1445</v>
      </c>
      <c r="B234" s="642" t="s">
        <v>1018</v>
      </c>
      <c r="C234" s="642" t="s">
        <v>1446</v>
      </c>
      <c r="D234" s="642"/>
      <c r="E234" s="642"/>
      <c r="F234" s="642"/>
      <c r="G234" s="642"/>
      <c r="H234" s="642"/>
      <c r="I234" s="642"/>
      <c r="J234" s="642"/>
      <c r="K234" s="642"/>
      <c r="L234" s="642" t="s">
        <v>259</v>
      </c>
      <c r="M234" s="643" t="n">
        <v>2.55</v>
      </c>
      <c r="N234" s="644" t="e">
        <f aca="false">VLOOKUP(A234,'[1]2023.10 CPU´s'!U$1:AF$1048576,11,FALSE())</f>
        <v>#N/A</v>
      </c>
      <c r="O234" s="645" t="e">
        <f aca="false">(N234/M234)-1</f>
        <v>#N/A</v>
      </c>
    </row>
    <row r="235" customFormat="false" ht="12.75" hidden="false" customHeight="true" outlineLevel="0" collapsed="false">
      <c r="A235" s="641" t="s">
        <v>1447</v>
      </c>
      <c r="B235" s="642" t="s">
        <v>1018</v>
      </c>
      <c r="C235" s="642" t="s">
        <v>1448</v>
      </c>
      <c r="D235" s="642"/>
      <c r="E235" s="642"/>
      <c r="F235" s="642"/>
      <c r="G235" s="642"/>
      <c r="H235" s="642"/>
      <c r="I235" s="642"/>
      <c r="J235" s="642"/>
      <c r="K235" s="642"/>
      <c r="L235" s="642" t="s">
        <v>259</v>
      </c>
      <c r="M235" s="643" t="n">
        <v>2.17</v>
      </c>
      <c r="N235" s="644" t="e">
        <f aca="false">VLOOKUP(A235,'[1]2023.10 CPU´s'!U$1:AF$1048576,11,FALSE())</f>
        <v>#N/A</v>
      </c>
      <c r="O235" s="645" t="e">
        <f aca="false">(N235/M235)-1</f>
        <v>#N/A</v>
      </c>
    </row>
    <row r="236" customFormat="false" ht="12.75" hidden="false" customHeight="true" outlineLevel="0" collapsed="false">
      <c r="A236" s="641" t="s">
        <v>1449</v>
      </c>
      <c r="B236" s="642" t="s">
        <v>1018</v>
      </c>
      <c r="C236" s="642" t="s">
        <v>1450</v>
      </c>
      <c r="D236" s="642"/>
      <c r="E236" s="642"/>
      <c r="F236" s="642"/>
      <c r="G236" s="642"/>
      <c r="H236" s="642"/>
      <c r="I236" s="642"/>
      <c r="J236" s="642"/>
      <c r="K236" s="642"/>
      <c r="L236" s="642" t="s">
        <v>259</v>
      </c>
      <c r="M236" s="643" t="n">
        <v>0.85</v>
      </c>
      <c r="N236" s="644" t="e">
        <f aca="false">VLOOKUP(A236,'[1]2023.10 CPU´s'!U$1:AF$1048576,11,FALSE())</f>
        <v>#N/A</v>
      </c>
      <c r="O236" s="645" t="e">
        <f aca="false">(N236/M236)-1</f>
        <v>#N/A</v>
      </c>
    </row>
    <row r="237" customFormat="false" ht="12.75" hidden="false" customHeight="true" outlineLevel="0" collapsed="false">
      <c r="A237" s="641" t="s">
        <v>1451</v>
      </c>
      <c r="B237" s="642" t="s">
        <v>1018</v>
      </c>
      <c r="C237" s="642" t="s">
        <v>1452</v>
      </c>
      <c r="D237" s="642"/>
      <c r="E237" s="642"/>
      <c r="F237" s="642"/>
      <c r="G237" s="642"/>
      <c r="H237" s="642"/>
      <c r="I237" s="642"/>
      <c r="J237" s="642"/>
      <c r="K237" s="642"/>
      <c r="L237" s="642" t="s">
        <v>259</v>
      </c>
      <c r="M237" s="643" t="n">
        <v>0.59</v>
      </c>
      <c r="N237" s="644" t="e">
        <f aca="false">VLOOKUP(A237,'[1]2023.10 CPU´s'!U$1:AF$1048576,11,FALSE())</f>
        <v>#N/A</v>
      </c>
      <c r="O237" s="645" t="e">
        <f aca="false">(N237/M237)-1</f>
        <v>#N/A</v>
      </c>
    </row>
    <row r="238" customFormat="false" ht="12.75" hidden="false" customHeight="true" outlineLevel="0" collapsed="false">
      <c r="A238" s="630" t="s">
        <v>1453</v>
      </c>
      <c r="B238" s="631"/>
      <c r="C238" s="632" t="s">
        <v>1454</v>
      </c>
      <c r="D238" s="632"/>
      <c r="E238" s="632"/>
      <c r="F238" s="632"/>
      <c r="G238" s="632"/>
      <c r="H238" s="632"/>
      <c r="I238" s="632"/>
      <c r="J238" s="632"/>
      <c r="K238" s="632"/>
      <c r="L238" s="633"/>
      <c r="M238" s="633"/>
      <c r="N238" s="634"/>
      <c r="O238" s="635"/>
    </row>
    <row r="239" customFormat="false" ht="12.75" hidden="false" customHeight="true" outlineLevel="0" collapsed="false">
      <c r="A239" s="636" t="s">
        <v>1455</v>
      </c>
      <c r="B239" s="637" t="s">
        <v>1018</v>
      </c>
      <c r="C239" s="637" t="s">
        <v>1456</v>
      </c>
      <c r="D239" s="637"/>
      <c r="E239" s="637"/>
      <c r="F239" s="637"/>
      <c r="G239" s="637"/>
      <c r="H239" s="637"/>
      <c r="I239" s="637"/>
      <c r="J239" s="637"/>
      <c r="K239" s="637"/>
      <c r="L239" s="638"/>
      <c r="M239" s="638"/>
      <c r="N239" s="639"/>
      <c r="O239" s="640"/>
    </row>
    <row r="240" customFormat="false" ht="12.75" hidden="false" customHeight="true" outlineLevel="0" collapsed="false">
      <c r="A240" s="641" t="s">
        <v>1457</v>
      </c>
      <c r="B240" s="642" t="s">
        <v>1018</v>
      </c>
      <c r="C240" s="642" t="s">
        <v>1458</v>
      </c>
      <c r="D240" s="642"/>
      <c r="E240" s="642"/>
      <c r="F240" s="642"/>
      <c r="G240" s="642"/>
      <c r="H240" s="642"/>
      <c r="I240" s="642"/>
      <c r="J240" s="642"/>
      <c r="K240" s="642"/>
      <c r="L240" s="642" t="s">
        <v>259</v>
      </c>
      <c r="M240" s="643" t="n">
        <v>1500</v>
      </c>
      <c r="N240" s="644" t="e">
        <f aca="false">VLOOKUP(A240,'[1]2023.10 CPU´s'!U$1:AF$1048576,11,FALSE())</f>
        <v>#N/A</v>
      </c>
      <c r="O240" s="645" t="e">
        <f aca="false">(N240/M240)-1</f>
        <v>#N/A</v>
      </c>
    </row>
    <row r="241" customFormat="false" ht="12.75" hidden="false" customHeight="true" outlineLevel="0" collapsed="false">
      <c r="A241" s="641" t="s">
        <v>1459</v>
      </c>
      <c r="B241" s="642" t="s">
        <v>1018</v>
      </c>
      <c r="C241" s="642" t="s">
        <v>1460</v>
      </c>
      <c r="D241" s="642"/>
      <c r="E241" s="642"/>
      <c r="F241" s="642"/>
      <c r="G241" s="642"/>
      <c r="H241" s="642"/>
      <c r="I241" s="642"/>
      <c r="J241" s="642"/>
      <c r="K241" s="642"/>
      <c r="L241" s="642" t="s">
        <v>261</v>
      </c>
      <c r="M241" s="643" t="n">
        <v>95</v>
      </c>
      <c r="N241" s="644" t="e">
        <f aca="false">VLOOKUP(A241,'[1]2023.10 CPU´s'!U$1:AF$1048576,11,FALSE())</f>
        <v>#N/A</v>
      </c>
      <c r="O241" s="645" t="e">
        <f aca="false">(N241/M241)-1</f>
        <v>#N/A</v>
      </c>
    </row>
    <row r="242" customFormat="false" ht="12.75" hidden="false" customHeight="true" outlineLevel="0" collapsed="false">
      <c r="A242" s="641" t="s">
        <v>1461</v>
      </c>
      <c r="B242" s="642" t="s">
        <v>1018</v>
      </c>
      <c r="C242" s="642" t="s">
        <v>1462</v>
      </c>
      <c r="D242" s="642"/>
      <c r="E242" s="642"/>
      <c r="F242" s="642"/>
      <c r="G242" s="642"/>
      <c r="H242" s="642"/>
      <c r="I242" s="642"/>
      <c r="J242" s="642"/>
      <c r="K242" s="642"/>
      <c r="L242" s="642" t="s">
        <v>259</v>
      </c>
      <c r="M242" s="643" t="n">
        <v>350</v>
      </c>
      <c r="N242" s="644" t="e">
        <f aca="false">VLOOKUP(A242,'[1]2023.10 CPU´s'!U$1:AF$1048576,11,FALSE())</f>
        <v>#N/A</v>
      </c>
      <c r="O242" s="645" t="e">
        <f aca="false">(N242/M242)-1</f>
        <v>#N/A</v>
      </c>
    </row>
    <row r="243" customFormat="false" ht="12.75" hidden="false" customHeight="true" outlineLevel="0" collapsed="false">
      <c r="A243" s="636" t="s">
        <v>1463</v>
      </c>
      <c r="B243" s="637" t="s">
        <v>1018</v>
      </c>
      <c r="C243" s="637" t="s">
        <v>1464</v>
      </c>
      <c r="D243" s="637"/>
      <c r="E243" s="637"/>
      <c r="F243" s="637"/>
      <c r="G243" s="637"/>
      <c r="H243" s="637"/>
      <c r="I243" s="637"/>
      <c r="J243" s="637"/>
      <c r="K243" s="637"/>
      <c r="L243" s="638"/>
      <c r="M243" s="638"/>
      <c r="N243" s="639"/>
      <c r="O243" s="640"/>
    </row>
    <row r="244" customFormat="false" ht="12.75" hidden="false" customHeight="true" outlineLevel="0" collapsed="false">
      <c r="A244" s="641" t="s">
        <v>1465</v>
      </c>
      <c r="B244" s="642" t="s">
        <v>1018</v>
      </c>
      <c r="C244" s="642" t="s">
        <v>1466</v>
      </c>
      <c r="D244" s="642"/>
      <c r="E244" s="642"/>
      <c r="F244" s="642"/>
      <c r="G244" s="642"/>
      <c r="H244" s="642"/>
      <c r="I244" s="642"/>
      <c r="J244" s="642"/>
      <c r="K244" s="642"/>
      <c r="L244" s="642" t="s">
        <v>259</v>
      </c>
      <c r="M244" s="643" t="n">
        <v>963</v>
      </c>
      <c r="N244" s="644" t="e">
        <f aca="false">VLOOKUP(A244,'[1]2023.10 CPU´s'!U$1:AF$1048576,11,FALSE())</f>
        <v>#N/A</v>
      </c>
      <c r="O244" s="645" t="e">
        <f aca="false">(N244/M244)-1</f>
        <v>#N/A</v>
      </c>
    </row>
    <row r="245" customFormat="false" ht="12.75" hidden="false" customHeight="true" outlineLevel="0" collapsed="false">
      <c r="A245" s="641" t="s">
        <v>1467</v>
      </c>
      <c r="B245" s="642" t="s">
        <v>1018</v>
      </c>
      <c r="C245" s="642" t="s">
        <v>1468</v>
      </c>
      <c r="D245" s="642"/>
      <c r="E245" s="642"/>
      <c r="F245" s="642"/>
      <c r="G245" s="642"/>
      <c r="H245" s="642"/>
      <c r="I245" s="642"/>
      <c r="J245" s="642"/>
      <c r="K245" s="642"/>
      <c r="L245" s="642" t="s">
        <v>261</v>
      </c>
      <c r="M245" s="643" t="n">
        <v>130</v>
      </c>
      <c r="N245" s="644" t="e">
        <f aca="false">VLOOKUP(A245,'[1]2023.10 CPU´s'!U$1:AF$1048576,11,FALSE())</f>
        <v>#N/A</v>
      </c>
      <c r="O245" s="645" t="e">
        <f aca="false">(N245/M245)-1</f>
        <v>#N/A</v>
      </c>
    </row>
    <row r="246" customFormat="false" ht="12.75" hidden="false" customHeight="true" outlineLevel="0" collapsed="false">
      <c r="A246" s="636" t="s">
        <v>1469</v>
      </c>
      <c r="B246" s="637" t="s">
        <v>1018</v>
      </c>
      <c r="C246" s="637" t="s">
        <v>1470</v>
      </c>
      <c r="D246" s="637"/>
      <c r="E246" s="637"/>
      <c r="F246" s="637"/>
      <c r="G246" s="637"/>
      <c r="H246" s="637"/>
      <c r="I246" s="637"/>
      <c r="J246" s="637"/>
      <c r="K246" s="637"/>
      <c r="L246" s="638"/>
      <c r="M246" s="638"/>
      <c r="N246" s="639"/>
      <c r="O246" s="640"/>
    </row>
    <row r="247" customFormat="false" ht="12.75" hidden="false" customHeight="true" outlineLevel="0" collapsed="false">
      <c r="A247" s="641" t="s">
        <v>1471</v>
      </c>
      <c r="B247" s="642" t="s">
        <v>1018</v>
      </c>
      <c r="C247" s="642" t="s">
        <v>1472</v>
      </c>
      <c r="D247" s="642"/>
      <c r="E247" s="642"/>
      <c r="F247" s="642"/>
      <c r="G247" s="642"/>
      <c r="H247" s="642"/>
      <c r="I247" s="642"/>
      <c r="J247" s="642"/>
      <c r="K247" s="642"/>
      <c r="L247" s="642" t="s">
        <v>253</v>
      </c>
      <c r="M247" s="643" t="n">
        <v>680</v>
      </c>
      <c r="N247" s="644" t="e">
        <f aca="false">VLOOKUP(A247,'[1]2023.10 CPU´s'!U$1:AF$1048576,11,FALSE())</f>
        <v>#N/A</v>
      </c>
      <c r="O247" s="645" t="e">
        <f aca="false">(N247/M247)-1</f>
        <v>#N/A</v>
      </c>
    </row>
    <row r="248" customFormat="false" ht="12.75" hidden="false" customHeight="true" outlineLevel="0" collapsed="false">
      <c r="A248" s="641" t="s">
        <v>1473</v>
      </c>
      <c r="B248" s="642" t="s">
        <v>1018</v>
      </c>
      <c r="C248" s="642" t="s">
        <v>1474</v>
      </c>
      <c r="D248" s="642"/>
      <c r="E248" s="642"/>
      <c r="F248" s="642"/>
      <c r="G248" s="642"/>
      <c r="H248" s="642"/>
      <c r="I248" s="642"/>
      <c r="J248" s="642"/>
      <c r="K248" s="642"/>
      <c r="L248" s="642" t="s">
        <v>261</v>
      </c>
      <c r="M248" s="643" t="n">
        <v>600</v>
      </c>
      <c r="N248" s="644" t="e">
        <f aca="false">VLOOKUP(A248,'[1]2023.10 CPU´s'!U$1:AF$1048576,11,FALSE())</f>
        <v>#N/A</v>
      </c>
      <c r="O248" s="645" t="e">
        <f aca="false">(N248/M248)-1</f>
        <v>#N/A</v>
      </c>
    </row>
    <row r="249" customFormat="false" ht="12.75" hidden="false" customHeight="true" outlineLevel="0" collapsed="false">
      <c r="A249" s="636" t="s">
        <v>1475</v>
      </c>
      <c r="B249" s="637" t="s">
        <v>1018</v>
      </c>
      <c r="C249" s="637" t="s">
        <v>1476</v>
      </c>
      <c r="D249" s="637"/>
      <c r="E249" s="637"/>
      <c r="F249" s="637"/>
      <c r="G249" s="637"/>
      <c r="H249" s="637"/>
      <c r="I249" s="637"/>
      <c r="J249" s="637"/>
      <c r="K249" s="637"/>
      <c r="L249" s="638"/>
      <c r="M249" s="638"/>
      <c r="N249" s="639"/>
      <c r="O249" s="640"/>
    </row>
    <row r="250" customFormat="false" ht="12.75" hidden="false" customHeight="true" outlineLevel="0" collapsed="false">
      <c r="A250" s="641" t="s">
        <v>1477</v>
      </c>
      <c r="B250" s="642" t="s">
        <v>1018</v>
      </c>
      <c r="C250" s="642" t="s">
        <v>1478</v>
      </c>
      <c r="D250" s="642"/>
      <c r="E250" s="642"/>
      <c r="F250" s="642"/>
      <c r="G250" s="642"/>
      <c r="H250" s="642"/>
      <c r="I250" s="642"/>
      <c r="J250" s="642"/>
      <c r="K250" s="642"/>
      <c r="L250" s="642" t="s">
        <v>259</v>
      </c>
      <c r="M250" s="643" t="n">
        <v>3000</v>
      </c>
      <c r="N250" s="644" t="e">
        <f aca="false">VLOOKUP(A250,'[1]2023.10 CPU´s'!U$1:AF$1048576,11,FALSE())</f>
        <v>#N/A</v>
      </c>
      <c r="O250" s="645" t="e">
        <f aca="false">(N250/M250)-1</f>
        <v>#N/A</v>
      </c>
    </row>
    <row r="251" customFormat="false" ht="12.75" hidden="false" customHeight="true" outlineLevel="0" collapsed="false">
      <c r="A251" s="641" t="s">
        <v>1479</v>
      </c>
      <c r="B251" s="642" t="s">
        <v>1018</v>
      </c>
      <c r="C251" s="642" t="s">
        <v>1480</v>
      </c>
      <c r="D251" s="642"/>
      <c r="E251" s="642"/>
      <c r="F251" s="642"/>
      <c r="G251" s="642"/>
      <c r="H251" s="642"/>
      <c r="I251" s="642"/>
      <c r="J251" s="642"/>
      <c r="K251" s="642"/>
      <c r="L251" s="642" t="s">
        <v>259</v>
      </c>
      <c r="M251" s="643" t="n">
        <v>950</v>
      </c>
      <c r="N251" s="644" t="e">
        <f aca="false">VLOOKUP(A251,'[1]2023.10 CPU´s'!U$1:AF$1048576,11,FALSE())</f>
        <v>#N/A</v>
      </c>
      <c r="O251" s="645" t="e">
        <f aca="false">(N251/M251)-1</f>
        <v>#N/A</v>
      </c>
    </row>
    <row r="252" customFormat="false" ht="12.75" hidden="false" customHeight="true" outlineLevel="0" collapsed="false">
      <c r="A252" s="641" t="s">
        <v>1481</v>
      </c>
      <c r="B252" s="642" t="s">
        <v>1018</v>
      </c>
      <c r="C252" s="642" t="s">
        <v>1482</v>
      </c>
      <c r="D252" s="642"/>
      <c r="E252" s="642"/>
      <c r="F252" s="642"/>
      <c r="G252" s="642"/>
      <c r="H252" s="642"/>
      <c r="I252" s="642"/>
      <c r="J252" s="642"/>
      <c r="K252" s="642"/>
      <c r="L252" s="642" t="s">
        <v>261</v>
      </c>
      <c r="M252" s="643" t="n">
        <v>350</v>
      </c>
      <c r="N252" s="644" t="e">
        <f aca="false">VLOOKUP(A252,'[1]2023.10 CPU´s'!U$1:AF$1048576,11,FALSE())</f>
        <v>#N/A</v>
      </c>
      <c r="O252" s="645" t="e">
        <f aca="false">(N252/M252)-1</f>
        <v>#N/A</v>
      </c>
    </row>
    <row r="253" customFormat="false" ht="12.75" hidden="false" customHeight="true" outlineLevel="0" collapsed="false">
      <c r="A253" s="641" t="s">
        <v>1483</v>
      </c>
      <c r="B253" s="642" t="s">
        <v>1018</v>
      </c>
      <c r="C253" s="642" t="s">
        <v>1484</v>
      </c>
      <c r="D253" s="642"/>
      <c r="E253" s="642"/>
      <c r="F253" s="642"/>
      <c r="G253" s="642"/>
      <c r="H253" s="642"/>
      <c r="I253" s="642"/>
      <c r="J253" s="642"/>
      <c r="K253" s="642"/>
      <c r="L253" s="642" t="s">
        <v>261</v>
      </c>
      <c r="M253" s="643" t="n">
        <v>600</v>
      </c>
      <c r="N253" s="644" t="e">
        <f aca="false">VLOOKUP(A253,'[1]2023.10 CPU´s'!U$1:AF$1048576,11,FALSE())</f>
        <v>#N/A</v>
      </c>
      <c r="O253" s="645" t="e">
        <f aca="false">(N253/M253)-1</f>
        <v>#N/A</v>
      </c>
    </row>
    <row r="254" customFormat="false" ht="12.75" hidden="false" customHeight="true" outlineLevel="0" collapsed="false">
      <c r="A254" s="636" t="s">
        <v>1485</v>
      </c>
      <c r="B254" s="637" t="s">
        <v>1018</v>
      </c>
      <c r="C254" s="637" t="s">
        <v>1486</v>
      </c>
      <c r="D254" s="637"/>
      <c r="E254" s="637"/>
      <c r="F254" s="637"/>
      <c r="G254" s="637"/>
      <c r="H254" s="637"/>
      <c r="I254" s="637"/>
      <c r="J254" s="637"/>
      <c r="K254" s="637"/>
      <c r="L254" s="638"/>
      <c r="M254" s="638"/>
      <c r="N254" s="639"/>
      <c r="O254" s="640"/>
    </row>
    <row r="255" customFormat="false" ht="12.75" hidden="false" customHeight="true" outlineLevel="0" collapsed="false">
      <c r="A255" s="641" t="s">
        <v>1487</v>
      </c>
      <c r="B255" s="642" t="s">
        <v>1018</v>
      </c>
      <c r="C255" s="642" t="s">
        <v>1488</v>
      </c>
      <c r="D255" s="642"/>
      <c r="E255" s="642"/>
      <c r="F255" s="642"/>
      <c r="G255" s="642"/>
      <c r="H255" s="642"/>
      <c r="I255" s="642"/>
      <c r="J255" s="642"/>
      <c r="K255" s="642"/>
      <c r="L255" s="642" t="s">
        <v>259</v>
      </c>
      <c r="M255" s="643" t="n">
        <v>3000</v>
      </c>
      <c r="N255" s="644" t="e">
        <f aca="false">VLOOKUP(A255,'[1]2023.10 CPU´s'!U$1:AF$1048576,11,FALSE())</f>
        <v>#N/A</v>
      </c>
      <c r="O255" s="645" t="e">
        <f aca="false">(N255/M255)-1</f>
        <v>#N/A</v>
      </c>
    </row>
    <row r="256" customFormat="false" ht="12.75" hidden="false" customHeight="true" outlineLevel="0" collapsed="false">
      <c r="A256" s="641" t="s">
        <v>1489</v>
      </c>
      <c r="B256" s="642" t="s">
        <v>1018</v>
      </c>
      <c r="C256" s="642" t="s">
        <v>1490</v>
      </c>
      <c r="D256" s="642"/>
      <c r="E256" s="642"/>
      <c r="F256" s="642"/>
      <c r="G256" s="642"/>
      <c r="H256" s="642"/>
      <c r="I256" s="642"/>
      <c r="J256" s="642"/>
      <c r="K256" s="642"/>
      <c r="L256" s="642" t="s">
        <v>259</v>
      </c>
      <c r="M256" s="643" t="n">
        <v>1500</v>
      </c>
      <c r="N256" s="644" t="e">
        <f aca="false">VLOOKUP(A256,'[1]2023.10 CPU´s'!U$1:AF$1048576,11,FALSE())</f>
        <v>#N/A</v>
      </c>
      <c r="O256" s="645" t="e">
        <f aca="false">(N256/M256)-1</f>
        <v>#N/A</v>
      </c>
    </row>
    <row r="257" customFormat="false" ht="12.75" hidden="false" customHeight="true" outlineLevel="0" collapsed="false">
      <c r="A257" s="641" t="s">
        <v>1491</v>
      </c>
      <c r="B257" s="642" t="s">
        <v>1018</v>
      </c>
      <c r="C257" s="642" t="s">
        <v>1492</v>
      </c>
      <c r="D257" s="642"/>
      <c r="E257" s="642"/>
      <c r="F257" s="642"/>
      <c r="G257" s="642"/>
      <c r="H257" s="642"/>
      <c r="I257" s="642"/>
      <c r="J257" s="642"/>
      <c r="K257" s="642"/>
      <c r="L257" s="642" t="s">
        <v>259</v>
      </c>
      <c r="M257" s="643" t="n">
        <v>1000</v>
      </c>
      <c r="N257" s="644" t="e">
        <f aca="false">VLOOKUP(A257,'[1]2023.10 CPU´s'!U$1:AF$1048576,11,FALSE())</f>
        <v>#N/A</v>
      </c>
      <c r="O257" s="645" t="e">
        <f aca="false">(N257/M257)-1</f>
        <v>#N/A</v>
      </c>
    </row>
    <row r="258" customFormat="false" ht="12.75" hidden="false" customHeight="true" outlineLevel="0" collapsed="false">
      <c r="A258" s="630" t="s">
        <v>1493</v>
      </c>
      <c r="B258" s="631"/>
      <c r="C258" s="632" t="s">
        <v>1494</v>
      </c>
      <c r="D258" s="632"/>
      <c r="E258" s="632"/>
      <c r="F258" s="632"/>
      <c r="G258" s="632"/>
      <c r="H258" s="632"/>
      <c r="I258" s="632"/>
      <c r="J258" s="632"/>
      <c r="K258" s="632"/>
      <c r="L258" s="633"/>
      <c r="M258" s="633"/>
      <c r="N258" s="633"/>
      <c r="O258" s="633"/>
    </row>
    <row r="259" customFormat="false" ht="12.75" hidden="false" customHeight="true" outlineLevel="0" collapsed="false">
      <c r="A259" s="636" t="s">
        <v>1495</v>
      </c>
      <c r="B259" s="637" t="s">
        <v>1018</v>
      </c>
      <c r="C259" s="637" t="s">
        <v>1494</v>
      </c>
      <c r="D259" s="637"/>
      <c r="E259" s="637"/>
      <c r="F259" s="637"/>
      <c r="G259" s="637"/>
      <c r="H259" s="637"/>
      <c r="I259" s="637"/>
      <c r="J259" s="637"/>
      <c r="K259" s="637"/>
      <c r="L259" s="638"/>
      <c r="M259" s="638"/>
      <c r="N259" s="639"/>
      <c r="O259" s="640"/>
    </row>
    <row r="260" customFormat="false" ht="12.75" hidden="false" customHeight="true" outlineLevel="0" collapsed="false">
      <c r="A260" s="641" t="s">
        <v>1496</v>
      </c>
      <c r="B260" s="642" t="s">
        <v>1018</v>
      </c>
      <c r="C260" s="642" t="s">
        <v>1497</v>
      </c>
      <c r="D260" s="642"/>
      <c r="E260" s="642"/>
      <c r="F260" s="642"/>
      <c r="G260" s="642"/>
      <c r="H260" s="642"/>
      <c r="I260" s="642"/>
      <c r="J260" s="642"/>
      <c r="K260" s="642"/>
      <c r="L260" s="642" t="s">
        <v>259</v>
      </c>
      <c r="M260" s="643" t="n">
        <v>116.38</v>
      </c>
      <c r="N260" s="644" t="e">
        <f aca="false">VLOOKUP(A260,'[1]2023.10 CPU´s'!U$1:AF$1048576,11,FALSE())</f>
        <v>#N/A</v>
      </c>
      <c r="O260" s="645" t="e">
        <f aca="false">(N260/M260)-1</f>
        <v>#N/A</v>
      </c>
    </row>
    <row r="261" customFormat="false" ht="12.75" hidden="false" customHeight="true" outlineLevel="0" collapsed="false">
      <c r="A261" s="641" t="s">
        <v>1498</v>
      </c>
      <c r="B261" s="642" t="s">
        <v>1018</v>
      </c>
      <c r="C261" s="642" t="s">
        <v>1499</v>
      </c>
      <c r="D261" s="642"/>
      <c r="E261" s="642"/>
      <c r="F261" s="642"/>
      <c r="G261" s="642"/>
      <c r="H261" s="642"/>
      <c r="I261" s="642"/>
      <c r="J261" s="642"/>
      <c r="K261" s="642"/>
      <c r="L261" s="642" t="s">
        <v>259</v>
      </c>
      <c r="M261" s="643" t="n">
        <v>452</v>
      </c>
      <c r="N261" s="644" t="e">
        <f aca="false">VLOOKUP(A261,'[1]2023.10 CPU´s'!U$1:AF$1048576,11,FALSE())</f>
        <v>#N/A</v>
      </c>
      <c r="O261" s="645" t="e">
        <f aca="false">(N261/M261)-1</f>
        <v>#N/A</v>
      </c>
    </row>
    <row r="262" customFormat="false" ht="12.75" hidden="false" customHeight="true" outlineLevel="0" collapsed="false">
      <c r="A262" s="641" t="s">
        <v>1500</v>
      </c>
      <c r="B262" s="642" t="s">
        <v>1018</v>
      </c>
      <c r="C262" s="642" t="s">
        <v>1501</v>
      </c>
      <c r="D262" s="642"/>
      <c r="E262" s="642"/>
      <c r="F262" s="642"/>
      <c r="G262" s="642"/>
      <c r="H262" s="642"/>
      <c r="I262" s="642"/>
      <c r="J262" s="642"/>
      <c r="K262" s="642"/>
      <c r="L262" s="642" t="s">
        <v>259</v>
      </c>
      <c r="M262" s="643" t="n">
        <v>3037</v>
      </c>
      <c r="N262" s="644" t="e">
        <f aca="false">VLOOKUP(A262,'[1]2023.10 CPU´s'!U$1:AF$1048576,11,FALSE())</f>
        <v>#N/A</v>
      </c>
      <c r="O262" s="645" t="e">
        <f aca="false">(N262/M262)-1</f>
        <v>#N/A</v>
      </c>
    </row>
    <row r="263" customFormat="false" ht="12.75" hidden="false" customHeight="true" outlineLevel="0" collapsed="false">
      <c r="A263" s="641" t="s">
        <v>1502</v>
      </c>
      <c r="B263" s="642" t="s">
        <v>1018</v>
      </c>
      <c r="C263" s="642" t="s">
        <v>1503</v>
      </c>
      <c r="D263" s="642"/>
      <c r="E263" s="642"/>
      <c r="F263" s="642"/>
      <c r="G263" s="642"/>
      <c r="H263" s="642"/>
      <c r="I263" s="642"/>
      <c r="J263" s="642"/>
      <c r="K263" s="642"/>
      <c r="L263" s="642" t="s">
        <v>259</v>
      </c>
      <c r="M263" s="643" t="n">
        <v>4528.56</v>
      </c>
      <c r="N263" s="644" t="e">
        <f aca="false">VLOOKUP(A263,'[1]2023.10 CPU´s'!U$1:AF$1048576,11,FALSE())</f>
        <v>#N/A</v>
      </c>
      <c r="O263" s="645" t="e">
        <f aca="false">(N263/M263)-1</f>
        <v>#N/A</v>
      </c>
    </row>
    <row r="264" customFormat="false" ht="12.75" hidden="false" customHeight="true" outlineLevel="0" collapsed="false">
      <c r="A264" s="641" t="s">
        <v>1504</v>
      </c>
      <c r="B264" s="642" t="s">
        <v>1018</v>
      </c>
      <c r="C264" s="642" t="s">
        <v>1505</v>
      </c>
      <c r="D264" s="642"/>
      <c r="E264" s="642"/>
      <c r="F264" s="642"/>
      <c r="G264" s="642"/>
      <c r="H264" s="642"/>
      <c r="I264" s="642"/>
      <c r="J264" s="642"/>
      <c r="K264" s="642"/>
      <c r="L264" s="642" t="s">
        <v>259</v>
      </c>
      <c r="M264" s="643" t="n">
        <v>404.8</v>
      </c>
      <c r="N264" s="644" t="e">
        <f aca="false">VLOOKUP(A264,'[1]2023.10 CPU´s'!U$1:AF$1048576,11,FALSE())</f>
        <v>#N/A</v>
      </c>
      <c r="O264" s="645" t="e">
        <f aca="false">(N264/M264)-1</f>
        <v>#N/A</v>
      </c>
    </row>
    <row r="265" customFormat="false" ht="12.75" hidden="false" customHeight="true" outlineLevel="0" collapsed="false">
      <c r="A265" s="641" t="s">
        <v>1506</v>
      </c>
      <c r="B265" s="642" t="s">
        <v>1018</v>
      </c>
      <c r="C265" s="642" t="s">
        <v>1507</v>
      </c>
      <c r="D265" s="642"/>
      <c r="E265" s="642"/>
      <c r="F265" s="642"/>
      <c r="G265" s="642"/>
      <c r="H265" s="642"/>
      <c r="I265" s="642"/>
      <c r="J265" s="642"/>
      <c r="K265" s="642"/>
      <c r="L265" s="642" t="s">
        <v>259</v>
      </c>
      <c r="M265" s="643" t="n">
        <v>379.5</v>
      </c>
      <c r="N265" s="644" t="e">
        <f aca="false">VLOOKUP(A265,'[1]2023.10 CPU´s'!U$1:AF$1048576,11,FALSE())</f>
        <v>#N/A</v>
      </c>
      <c r="O265" s="645" t="e">
        <f aca="false">(N265/M265)-1</f>
        <v>#N/A</v>
      </c>
    </row>
    <row r="266" customFormat="false" ht="12.75" hidden="false" customHeight="true" outlineLevel="0" collapsed="false">
      <c r="A266" s="641" t="s">
        <v>1508</v>
      </c>
      <c r="B266" s="642" t="s">
        <v>1018</v>
      </c>
      <c r="C266" s="642" t="s">
        <v>1509</v>
      </c>
      <c r="D266" s="642"/>
      <c r="E266" s="642"/>
      <c r="F266" s="642"/>
      <c r="G266" s="642"/>
      <c r="H266" s="642"/>
      <c r="I266" s="642"/>
      <c r="J266" s="642"/>
      <c r="K266" s="642"/>
      <c r="L266" s="642" t="s">
        <v>259</v>
      </c>
      <c r="M266" s="643" t="n">
        <v>120</v>
      </c>
      <c r="N266" s="644" t="e">
        <f aca="false">VLOOKUP(A266,'[1]2023.10 CPU´s'!U$1:AF$1048576,11,FALSE())</f>
        <v>#N/A</v>
      </c>
      <c r="O266" s="645" t="e">
        <f aca="false">(N266/M266)-1</f>
        <v>#N/A</v>
      </c>
    </row>
    <row r="267" customFormat="false" ht="12.75" hidden="false" customHeight="true" outlineLevel="0" collapsed="false">
      <c r="A267" s="641" t="s">
        <v>1510</v>
      </c>
      <c r="B267" s="642" t="s">
        <v>1018</v>
      </c>
      <c r="C267" s="642" t="s">
        <v>1511</v>
      </c>
      <c r="D267" s="642"/>
      <c r="E267" s="642"/>
      <c r="F267" s="642"/>
      <c r="G267" s="642"/>
      <c r="H267" s="642"/>
      <c r="I267" s="642"/>
      <c r="J267" s="642"/>
      <c r="K267" s="642"/>
      <c r="L267" s="642" t="s">
        <v>259</v>
      </c>
      <c r="M267" s="643" t="n">
        <v>150</v>
      </c>
      <c r="N267" s="644" t="e">
        <f aca="false">VLOOKUP(A267,'[1]2023.10 CPU´s'!U$1:AF$1048576,11,FALSE())</f>
        <v>#N/A</v>
      </c>
      <c r="O267" s="645" t="e">
        <f aca="false">(N267/M267)-1</f>
        <v>#N/A</v>
      </c>
    </row>
    <row r="268" customFormat="false" ht="12.75" hidden="false" customHeight="true" outlineLevel="0" collapsed="false">
      <c r="A268" s="630" t="s">
        <v>1512</v>
      </c>
      <c r="B268" s="631"/>
      <c r="C268" s="632" t="s">
        <v>1513</v>
      </c>
      <c r="D268" s="632"/>
      <c r="E268" s="632"/>
      <c r="F268" s="632"/>
      <c r="G268" s="632"/>
      <c r="H268" s="632"/>
      <c r="I268" s="632"/>
      <c r="J268" s="632"/>
      <c r="K268" s="632"/>
      <c r="L268" s="633"/>
      <c r="M268" s="633"/>
      <c r="N268" s="633"/>
      <c r="O268" s="633"/>
    </row>
    <row r="269" customFormat="false" ht="12.75" hidden="false" customHeight="true" outlineLevel="0" collapsed="false">
      <c r="A269" s="636" t="s">
        <v>1514</v>
      </c>
      <c r="B269" s="637" t="s">
        <v>1018</v>
      </c>
      <c r="C269" s="637" t="s">
        <v>1515</v>
      </c>
      <c r="D269" s="637"/>
      <c r="E269" s="637"/>
      <c r="F269" s="637"/>
      <c r="G269" s="637"/>
      <c r="H269" s="637"/>
      <c r="I269" s="637"/>
      <c r="J269" s="637"/>
      <c r="K269" s="637"/>
      <c r="L269" s="638"/>
      <c r="M269" s="638"/>
      <c r="N269" s="639"/>
      <c r="O269" s="640"/>
    </row>
    <row r="270" customFormat="false" ht="12.75" hidden="false" customHeight="true" outlineLevel="0" collapsed="false">
      <c r="A270" s="641" t="s">
        <v>1516</v>
      </c>
      <c r="B270" s="642" t="s">
        <v>1018</v>
      </c>
      <c r="C270" s="642" t="s">
        <v>1517</v>
      </c>
      <c r="D270" s="642"/>
      <c r="E270" s="642"/>
      <c r="F270" s="642"/>
      <c r="G270" s="642"/>
      <c r="H270" s="642"/>
      <c r="I270" s="642"/>
      <c r="J270" s="642"/>
      <c r="K270" s="642"/>
      <c r="L270" s="642" t="s">
        <v>259</v>
      </c>
      <c r="M270" s="643" t="n">
        <v>30</v>
      </c>
      <c r="N270" s="644" t="e">
        <f aca="false">VLOOKUP(A270,'[1]2023.10 CPU´s'!U$1:AF$1048576,11,FALSE())</f>
        <v>#N/A</v>
      </c>
      <c r="O270" s="645" t="e">
        <f aca="false">(N270/M270)-1</f>
        <v>#N/A</v>
      </c>
    </row>
    <row r="271" customFormat="false" ht="12.75" hidden="false" customHeight="true" outlineLevel="0" collapsed="false">
      <c r="A271" s="641" t="s">
        <v>1518</v>
      </c>
      <c r="B271" s="642" t="s">
        <v>1018</v>
      </c>
      <c r="C271" s="642" t="s">
        <v>1519</v>
      </c>
      <c r="D271" s="642"/>
      <c r="E271" s="642"/>
      <c r="F271" s="642"/>
      <c r="G271" s="642"/>
      <c r="H271" s="642"/>
      <c r="I271" s="642"/>
      <c r="J271" s="642"/>
      <c r="K271" s="642"/>
      <c r="L271" s="642" t="s">
        <v>259</v>
      </c>
      <c r="M271" s="643" t="n">
        <v>120</v>
      </c>
      <c r="N271" s="644" t="e">
        <f aca="false">VLOOKUP(A271,'[1]2023.10 CPU´s'!U$1:AF$1048576,11,FALSE())</f>
        <v>#N/A</v>
      </c>
      <c r="O271" s="645" t="e">
        <f aca="false">(N271/M271)-1</f>
        <v>#N/A</v>
      </c>
    </row>
    <row r="272" customFormat="false" ht="12.75" hidden="false" customHeight="true" outlineLevel="0" collapsed="false">
      <c r="A272" s="641" t="s">
        <v>1520</v>
      </c>
      <c r="B272" s="642" t="s">
        <v>1018</v>
      </c>
      <c r="C272" s="642" t="s">
        <v>1521</v>
      </c>
      <c r="D272" s="642"/>
      <c r="E272" s="642"/>
      <c r="F272" s="642"/>
      <c r="G272" s="642"/>
      <c r="H272" s="642"/>
      <c r="I272" s="642"/>
      <c r="J272" s="642"/>
      <c r="K272" s="642"/>
      <c r="L272" s="642" t="s">
        <v>259</v>
      </c>
      <c r="M272" s="643" t="n">
        <v>100</v>
      </c>
      <c r="N272" s="644" t="e">
        <f aca="false">VLOOKUP(A272,'[1]2023.10 CPU´s'!U$1:AF$1048576,11,FALSE())</f>
        <v>#N/A</v>
      </c>
      <c r="O272" s="645" t="e">
        <f aca="false">(N272/M272)-1</f>
        <v>#N/A</v>
      </c>
    </row>
    <row r="273" customFormat="false" ht="12.75" hidden="false" customHeight="true" outlineLevel="0" collapsed="false">
      <c r="A273" s="641" t="s">
        <v>1522</v>
      </c>
      <c r="B273" s="642" t="s">
        <v>1018</v>
      </c>
      <c r="C273" s="642" t="s">
        <v>1523</v>
      </c>
      <c r="D273" s="642"/>
      <c r="E273" s="642"/>
      <c r="F273" s="642"/>
      <c r="G273" s="642"/>
      <c r="H273" s="642"/>
      <c r="I273" s="642"/>
      <c r="J273" s="642"/>
      <c r="K273" s="642"/>
      <c r="L273" s="642" t="s">
        <v>259</v>
      </c>
      <c r="M273" s="643" t="n">
        <v>250</v>
      </c>
      <c r="N273" s="644" t="e">
        <f aca="false">VLOOKUP(A273,'[1]2023.10 CPU´s'!U$1:AF$1048576,11,FALSE())</f>
        <v>#N/A</v>
      </c>
      <c r="O273" s="645" t="e">
        <f aca="false">(N273/M273)-1</f>
        <v>#N/A</v>
      </c>
    </row>
    <row r="274" customFormat="false" ht="12.75" hidden="false" customHeight="true" outlineLevel="0" collapsed="false">
      <c r="A274" s="641" t="s">
        <v>1524</v>
      </c>
      <c r="B274" s="642" t="s">
        <v>1018</v>
      </c>
      <c r="C274" s="642" t="s">
        <v>1525</v>
      </c>
      <c r="D274" s="642"/>
      <c r="E274" s="642"/>
      <c r="F274" s="642"/>
      <c r="G274" s="642"/>
      <c r="H274" s="642"/>
      <c r="I274" s="642"/>
      <c r="J274" s="642"/>
      <c r="K274" s="642"/>
      <c r="L274" s="642" t="s">
        <v>259</v>
      </c>
      <c r="M274" s="643" t="n">
        <v>75</v>
      </c>
      <c r="N274" s="644" t="e">
        <f aca="false">VLOOKUP(A274,'[1]2023.10 CPU´s'!U$1:AF$1048576,11,FALSE())</f>
        <v>#N/A</v>
      </c>
      <c r="O274" s="645" t="e">
        <f aca="false">(N274/M274)-1</f>
        <v>#N/A</v>
      </c>
    </row>
    <row r="275" customFormat="false" ht="12.75" hidden="false" customHeight="true" outlineLevel="0" collapsed="false">
      <c r="A275" s="641" t="s">
        <v>1526</v>
      </c>
      <c r="B275" s="642" t="s">
        <v>1018</v>
      </c>
      <c r="C275" s="642" t="s">
        <v>1527</v>
      </c>
      <c r="D275" s="642"/>
      <c r="E275" s="642"/>
      <c r="F275" s="642"/>
      <c r="G275" s="642"/>
      <c r="H275" s="642"/>
      <c r="I275" s="642"/>
      <c r="J275" s="642"/>
      <c r="K275" s="642"/>
      <c r="L275" s="642" t="s">
        <v>259</v>
      </c>
      <c r="M275" s="643" t="n">
        <v>75</v>
      </c>
      <c r="N275" s="644" t="e">
        <f aca="false">VLOOKUP(A275,'[1]2023.10 CPU´s'!U$1:AF$1048576,11,FALSE())</f>
        <v>#N/A</v>
      </c>
      <c r="O275" s="645" t="e">
        <f aca="false">(N275/M275)-1</f>
        <v>#N/A</v>
      </c>
    </row>
    <row r="276" customFormat="false" ht="12.75" hidden="false" customHeight="true" outlineLevel="0" collapsed="false">
      <c r="A276" s="641" t="s">
        <v>1528</v>
      </c>
      <c r="B276" s="642" t="s">
        <v>1018</v>
      </c>
      <c r="C276" s="642" t="s">
        <v>1529</v>
      </c>
      <c r="D276" s="642"/>
      <c r="E276" s="642"/>
      <c r="F276" s="642"/>
      <c r="G276" s="642"/>
      <c r="H276" s="642"/>
      <c r="I276" s="642"/>
      <c r="J276" s="642"/>
      <c r="K276" s="642"/>
      <c r="L276" s="642" t="s">
        <v>259</v>
      </c>
      <c r="M276" s="643" t="n">
        <v>250</v>
      </c>
      <c r="N276" s="644" t="e">
        <f aca="false">VLOOKUP(A276,'[1]2023.10 CPU´s'!U$1:AF$1048576,11,FALSE())</f>
        <v>#N/A</v>
      </c>
      <c r="O276" s="645" t="e">
        <f aca="false">(N276/M276)-1</f>
        <v>#N/A</v>
      </c>
    </row>
    <row r="277" customFormat="false" ht="12.75" hidden="false" customHeight="true" outlineLevel="0" collapsed="false">
      <c r="A277" s="641" t="s">
        <v>1530</v>
      </c>
      <c r="B277" s="642" t="s">
        <v>1018</v>
      </c>
      <c r="C277" s="642" t="s">
        <v>1531</v>
      </c>
      <c r="D277" s="642"/>
      <c r="E277" s="642"/>
      <c r="F277" s="642"/>
      <c r="G277" s="642"/>
      <c r="H277" s="642"/>
      <c r="I277" s="642"/>
      <c r="J277" s="642"/>
      <c r="K277" s="642"/>
      <c r="L277" s="642" t="s">
        <v>259</v>
      </c>
      <c r="M277" s="643" t="n">
        <v>100</v>
      </c>
      <c r="N277" s="644" t="e">
        <f aca="false">VLOOKUP(A277,'[1]2023.10 CPU´s'!U$1:AF$1048576,11,FALSE())</f>
        <v>#N/A</v>
      </c>
      <c r="O277" s="645" t="e">
        <f aca="false">(N277/M277)-1</f>
        <v>#N/A</v>
      </c>
    </row>
    <row r="278" customFormat="false" ht="12.75" hidden="false" customHeight="true" outlineLevel="0" collapsed="false">
      <c r="A278" s="641" t="s">
        <v>1532</v>
      </c>
      <c r="B278" s="642" t="s">
        <v>1018</v>
      </c>
      <c r="C278" s="642" t="s">
        <v>1533</v>
      </c>
      <c r="D278" s="642"/>
      <c r="E278" s="642"/>
      <c r="F278" s="642"/>
      <c r="G278" s="642"/>
      <c r="H278" s="642"/>
      <c r="I278" s="642"/>
      <c r="J278" s="642"/>
      <c r="K278" s="642"/>
      <c r="L278" s="642" t="s">
        <v>259</v>
      </c>
      <c r="M278" s="643" t="n">
        <v>110</v>
      </c>
      <c r="N278" s="644" t="e">
        <f aca="false">VLOOKUP(A278,'[1]2023.10 CPU´s'!U$1:AF$1048576,11,FALSE())</f>
        <v>#N/A</v>
      </c>
      <c r="O278" s="645" t="e">
        <f aca="false">(N278/M278)-1</f>
        <v>#N/A</v>
      </c>
    </row>
    <row r="279" customFormat="false" ht="12.75" hidden="false" customHeight="true" outlineLevel="0" collapsed="false">
      <c r="A279" s="641" t="s">
        <v>1534</v>
      </c>
      <c r="B279" s="642" t="s">
        <v>1018</v>
      </c>
      <c r="C279" s="642" t="s">
        <v>1535</v>
      </c>
      <c r="D279" s="642"/>
      <c r="E279" s="642"/>
      <c r="F279" s="642"/>
      <c r="G279" s="642"/>
      <c r="H279" s="642"/>
      <c r="I279" s="642"/>
      <c r="J279" s="642"/>
      <c r="K279" s="642"/>
      <c r="L279" s="642" t="s">
        <v>259</v>
      </c>
      <c r="M279" s="643" t="n">
        <v>120</v>
      </c>
      <c r="N279" s="644" t="e">
        <f aca="false">VLOOKUP(A279,'[1]2023.10 CPU´s'!U$1:AF$1048576,11,FALSE())</f>
        <v>#N/A</v>
      </c>
      <c r="O279" s="645" t="e">
        <f aca="false">(N279/M279)-1</f>
        <v>#N/A</v>
      </c>
    </row>
    <row r="280" customFormat="false" ht="12.75" hidden="false" customHeight="true" outlineLevel="0" collapsed="false">
      <c r="A280" s="641" t="s">
        <v>1536</v>
      </c>
      <c r="B280" s="642" t="s">
        <v>1018</v>
      </c>
      <c r="C280" s="642" t="s">
        <v>1537</v>
      </c>
      <c r="D280" s="642"/>
      <c r="E280" s="642"/>
      <c r="F280" s="642"/>
      <c r="G280" s="642"/>
      <c r="H280" s="642"/>
      <c r="I280" s="642"/>
      <c r="J280" s="642"/>
      <c r="K280" s="642"/>
      <c r="L280" s="642" t="s">
        <v>259</v>
      </c>
      <c r="M280" s="643" t="n">
        <v>50</v>
      </c>
      <c r="N280" s="644" t="e">
        <f aca="false">VLOOKUP(A280,'[1]2023.10 CPU´s'!U$1:AF$1048576,11,FALSE())</f>
        <v>#N/A</v>
      </c>
      <c r="O280" s="645" t="e">
        <f aca="false">(N280/M280)-1</f>
        <v>#N/A</v>
      </c>
    </row>
    <row r="281" customFormat="false" ht="12.75" hidden="false" customHeight="true" outlineLevel="0" collapsed="false">
      <c r="A281" s="641" t="s">
        <v>1538</v>
      </c>
      <c r="B281" s="642" t="s">
        <v>1018</v>
      </c>
      <c r="C281" s="642" t="s">
        <v>1539</v>
      </c>
      <c r="D281" s="642"/>
      <c r="E281" s="642"/>
      <c r="F281" s="642"/>
      <c r="G281" s="642"/>
      <c r="H281" s="642"/>
      <c r="I281" s="642"/>
      <c r="J281" s="642"/>
      <c r="K281" s="642"/>
      <c r="L281" s="642" t="s">
        <v>259</v>
      </c>
      <c r="M281" s="643" t="n">
        <v>120</v>
      </c>
      <c r="N281" s="644" t="e">
        <f aca="false">VLOOKUP(A281,'[1]2023.10 CPU´s'!U$1:AF$1048576,11,FALSE())</f>
        <v>#N/A</v>
      </c>
      <c r="O281" s="645" t="e">
        <f aca="false">(N281/M281)-1</f>
        <v>#N/A</v>
      </c>
    </row>
    <row r="282" customFormat="false" ht="12.75" hidden="false" customHeight="true" outlineLevel="0" collapsed="false">
      <c r="A282" s="641" t="s">
        <v>1540</v>
      </c>
      <c r="B282" s="642" t="s">
        <v>1018</v>
      </c>
      <c r="C282" s="642" t="s">
        <v>1541</v>
      </c>
      <c r="D282" s="642"/>
      <c r="E282" s="642"/>
      <c r="F282" s="642"/>
      <c r="G282" s="642"/>
      <c r="H282" s="642"/>
      <c r="I282" s="642"/>
      <c r="J282" s="642"/>
      <c r="K282" s="642"/>
      <c r="L282" s="642" t="s">
        <v>259</v>
      </c>
      <c r="M282" s="643" t="n">
        <v>150</v>
      </c>
      <c r="N282" s="644" t="e">
        <f aca="false">VLOOKUP(A282,'[1]2023.10 CPU´s'!U$1:AF$1048576,11,FALSE())</f>
        <v>#N/A</v>
      </c>
      <c r="O282" s="645" t="e">
        <f aca="false">(N282/M282)-1</f>
        <v>#N/A</v>
      </c>
    </row>
    <row r="283" customFormat="false" ht="12.75" hidden="false" customHeight="true" outlineLevel="0" collapsed="false">
      <c r="A283" s="641" t="s">
        <v>1542</v>
      </c>
      <c r="B283" s="642" t="s">
        <v>1018</v>
      </c>
      <c r="C283" s="642" t="s">
        <v>1543</v>
      </c>
      <c r="D283" s="642"/>
      <c r="E283" s="642"/>
      <c r="F283" s="642"/>
      <c r="G283" s="642"/>
      <c r="H283" s="642"/>
      <c r="I283" s="642"/>
      <c r="J283" s="642"/>
      <c r="K283" s="642"/>
      <c r="L283" s="642" t="s">
        <v>259</v>
      </c>
      <c r="M283" s="643" t="n">
        <v>120</v>
      </c>
      <c r="N283" s="644" t="e">
        <f aca="false">VLOOKUP(A283,'[1]2023.10 CPU´s'!U$1:AF$1048576,11,FALSE())</f>
        <v>#N/A</v>
      </c>
      <c r="O283" s="645" t="e">
        <f aca="false">(N283/M283)-1</f>
        <v>#N/A</v>
      </c>
    </row>
    <row r="284" customFormat="false" ht="12.75" hidden="false" customHeight="true" outlineLevel="0" collapsed="false">
      <c r="A284" s="641" t="s">
        <v>1544</v>
      </c>
      <c r="B284" s="642" t="s">
        <v>1018</v>
      </c>
      <c r="C284" s="642" t="s">
        <v>1545</v>
      </c>
      <c r="D284" s="642"/>
      <c r="E284" s="642"/>
      <c r="F284" s="642"/>
      <c r="G284" s="642"/>
      <c r="H284" s="642"/>
      <c r="I284" s="642"/>
      <c r="J284" s="642"/>
      <c r="K284" s="642"/>
      <c r="L284" s="642" t="s">
        <v>259</v>
      </c>
      <c r="M284" s="643" t="n">
        <v>126</v>
      </c>
      <c r="N284" s="644" t="e">
        <f aca="false">VLOOKUP(A284,'[1]2023.10 CPU´s'!U$1:AF$1048576,11,FALSE())</f>
        <v>#N/A</v>
      </c>
      <c r="O284" s="645" t="e">
        <f aca="false">(N284/M284)-1</f>
        <v>#N/A</v>
      </c>
    </row>
    <row r="285" customFormat="false" ht="12.75" hidden="false" customHeight="true" outlineLevel="0" collapsed="false">
      <c r="A285" s="641" t="s">
        <v>1546</v>
      </c>
      <c r="B285" s="642" t="s">
        <v>1018</v>
      </c>
      <c r="C285" s="642" t="s">
        <v>1547</v>
      </c>
      <c r="D285" s="642"/>
      <c r="E285" s="642"/>
      <c r="F285" s="642"/>
      <c r="G285" s="642"/>
      <c r="H285" s="642"/>
      <c r="I285" s="642"/>
      <c r="J285" s="642"/>
      <c r="K285" s="642"/>
      <c r="L285" s="642" t="s">
        <v>259</v>
      </c>
      <c r="M285" s="643" t="n">
        <v>440</v>
      </c>
      <c r="N285" s="644" t="e">
        <f aca="false">VLOOKUP(A285,'[1]2023.10 CPU´s'!U$1:AF$1048576,11,FALSE())</f>
        <v>#N/A</v>
      </c>
      <c r="O285" s="645" t="e">
        <f aca="false">(N285/M285)-1</f>
        <v>#N/A</v>
      </c>
    </row>
    <row r="286" customFormat="false" ht="12.75" hidden="false" customHeight="true" outlineLevel="0" collapsed="false">
      <c r="A286" s="641" t="s">
        <v>1548</v>
      </c>
      <c r="B286" s="642" t="s">
        <v>1018</v>
      </c>
      <c r="C286" s="642" t="s">
        <v>1549</v>
      </c>
      <c r="D286" s="642"/>
      <c r="E286" s="642"/>
      <c r="F286" s="642"/>
      <c r="G286" s="642"/>
      <c r="H286" s="642"/>
      <c r="I286" s="642"/>
      <c r="J286" s="642"/>
      <c r="K286" s="642"/>
      <c r="L286" s="642" t="s">
        <v>259</v>
      </c>
      <c r="M286" s="643" t="n">
        <v>500</v>
      </c>
      <c r="N286" s="644" t="e">
        <f aca="false">VLOOKUP(A286,'[1]2023.10 CPU´s'!U$1:AF$1048576,11,FALSE())</f>
        <v>#N/A</v>
      </c>
      <c r="O286" s="645" t="e">
        <f aca="false">(N286/M286)-1</f>
        <v>#N/A</v>
      </c>
    </row>
    <row r="287" customFormat="false" ht="12.75" hidden="false" customHeight="true" outlineLevel="0" collapsed="false">
      <c r="A287" s="641" t="s">
        <v>1550</v>
      </c>
      <c r="B287" s="642" t="s">
        <v>1018</v>
      </c>
      <c r="C287" s="642" t="s">
        <v>1551</v>
      </c>
      <c r="D287" s="642"/>
      <c r="E287" s="642"/>
      <c r="F287" s="642"/>
      <c r="G287" s="642"/>
      <c r="H287" s="642"/>
      <c r="I287" s="642"/>
      <c r="J287" s="642"/>
      <c r="K287" s="642"/>
      <c r="L287" s="642" t="s">
        <v>259</v>
      </c>
      <c r="M287" s="643" t="n">
        <v>500</v>
      </c>
      <c r="N287" s="644" t="e">
        <f aca="false">VLOOKUP(A287,'[1]2023.10 CPU´s'!U$1:AF$1048576,11,FALSE())</f>
        <v>#N/A</v>
      </c>
      <c r="O287" s="645" t="e">
        <f aca="false">(N287/M287)-1</f>
        <v>#N/A</v>
      </c>
    </row>
    <row r="288" customFormat="false" ht="12.75" hidden="false" customHeight="true" outlineLevel="0" collapsed="false">
      <c r="A288" s="641" t="s">
        <v>1552</v>
      </c>
      <c r="B288" s="642" t="s">
        <v>1018</v>
      </c>
      <c r="C288" s="642" t="s">
        <v>1553</v>
      </c>
      <c r="D288" s="642"/>
      <c r="E288" s="642"/>
      <c r="F288" s="642"/>
      <c r="G288" s="642"/>
      <c r="H288" s="642"/>
      <c r="I288" s="642"/>
      <c r="J288" s="642"/>
      <c r="K288" s="642"/>
      <c r="L288" s="642" t="s">
        <v>259</v>
      </c>
      <c r="M288" s="643" t="n">
        <v>400</v>
      </c>
      <c r="N288" s="644" t="e">
        <f aca="false">VLOOKUP(A288,'[1]2023.10 CPU´s'!U$1:AF$1048576,11,FALSE())</f>
        <v>#N/A</v>
      </c>
      <c r="O288" s="645" t="e">
        <f aca="false">(N288/M288)-1</f>
        <v>#N/A</v>
      </c>
    </row>
    <row r="289" customFormat="false" ht="12.75" hidden="false" customHeight="true" outlineLevel="0" collapsed="false">
      <c r="A289" s="641" t="s">
        <v>1554</v>
      </c>
      <c r="B289" s="642" t="s">
        <v>1018</v>
      </c>
      <c r="C289" s="642" t="s">
        <v>1555</v>
      </c>
      <c r="D289" s="642"/>
      <c r="E289" s="642"/>
      <c r="F289" s="642"/>
      <c r="G289" s="642"/>
      <c r="H289" s="642"/>
      <c r="I289" s="642"/>
      <c r="J289" s="642"/>
      <c r="K289" s="642"/>
      <c r="L289" s="642" t="s">
        <v>259</v>
      </c>
      <c r="M289" s="643" t="n">
        <v>2604</v>
      </c>
      <c r="N289" s="644" t="e">
        <f aca="false">VLOOKUP(A289,'[1]2023.10 CPU´s'!U$1:AF$1048576,11,FALSE())</f>
        <v>#N/A</v>
      </c>
      <c r="O289" s="645" t="e">
        <f aca="false">(N289/M289)-1</f>
        <v>#N/A</v>
      </c>
    </row>
    <row r="290" customFormat="false" ht="12.75" hidden="false" customHeight="true" outlineLevel="0" collapsed="false">
      <c r="A290" s="641" t="s">
        <v>1556</v>
      </c>
      <c r="B290" s="642" t="s">
        <v>1018</v>
      </c>
      <c r="C290" s="642" t="s">
        <v>1557</v>
      </c>
      <c r="D290" s="642"/>
      <c r="E290" s="642"/>
      <c r="F290" s="642"/>
      <c r="G290" s="642"/>
      <c r="H290" s="642"/>
      <c r="I290" s="642"/>
      <c r="J290" s="642"/>
      <c r="K290" s="642"/>
      <c r="L290" s="642" t="s">
        <v>259</v>
      </c>
      <c r="M290" s="643" t="n">
        <v>1089</v>
      </c>
      <c r="N290" s="644" t="e">
        <f aca="false">VLOOKUP(A290,'[1]2023.10 CPU´s'!U$1:AF$1048576,11,FALSE())</f>
        <v>#N/A</v>
      </c>
      <c r="O290" s="645" t="e">
        <f aca="false">(N290/M290)-1</f>
        <v>#N/A</v>
      </c>
    </row>
    <row r="291" customFormat="false" ht="12.75" hidden="false" customHeight="true" outlineLevel="0" collapsed="false">
      <c r="A291" s="641" t="s">
        <v>1558</v>
      </c>
      <c r="B291" s="642" t="s">
        <v>1018</v>
      </c>
      <c r="C291" s="642" t="s">
        <v>1559</v>
      </c>
      <c r="D291" s="642"/>
      <c r="E291" s="642"/>
      <c r="F291" s="642"/>
      <c r="G291" s="642"/>
      <c r="H291" s="642"/>
      <c r="I291" s="642"/>
      <c r="J291" s="642"/>
      <c r="K291" s="642"/>
      <c r="L291" s="642" t="s">
        <v>259</v>
      </c>
      <c r="M291" s="643" t="n">
        <v>3000</v>
      </c>
      <c r="N291" s="644" t="e">
        <f aca="false">VLOOKUP(A291,'[1]2023.10 CPU´s'!U$1:AF$1048576,11,FALSE())</f>
        <v>#N/A</v>
      </c>
      <c r="O291" s="645" t="e">
        <f aca="false">(N291/M291)-1</f>
        <v>#N/A</v>
      </c>
    </row>
    <row r="292" customFormat="false" ht="12.75" hidden="false" customHeight="true" outlineLevel="0" collapsed="false">
      <c r="A292" s="641" t="s">
        <v>1560</v>
      </c>
      <c r="B292" s="642" t="s">
        <v>1018</v>
      </c>
      <c r="C292" s="642" t="s">
        <v>1561</v>
      </c>
      <c r="D292" s="642"/>
      <c r="E292" s="642"/>
      <c r="F292" s="642"/>
      <c r="G292" s="642"/>
      <c r="H292" s="642"/>
      <c r="I292" s="642"/>
      <c r="J292" s="642"/>
      <c r="K292" s="642"/>
      <c r="L292" s="642" t="s">
        <v>259</v>
      </c>
      <c r="M292" s="643" t="n">
        <v>3000</v>
      </c>
      <c r="N292" s="644" t="e">
        <f aca="false">VLOOKUP(A292,'[1]2023.10 CPU´s'!U$1:AF$1048576,11,FALSE())</f>
        <v>#N/A</v>
      </c>
      <c r="O292" s="645" t="e">
        <f aca="false">(N292/M292)-1</f>
        <v>#N/A</v>
      </c>
    </row>
    <row r="293" customFormat="false" ht="12.75" hidden="false" customHeight="true" outlineLevel="0" collapsed="false">
      <c r="A293" s="641" t="s">
        <v>1562</v>
      </c>
      <c r="B293" s="642" t="s">
        <v>1018</v>
      </c>
      <c r="C293" s="642" t="s">
        <v>1563</v>
      </c>
      <c r="D293" s="642"/>
      <c r="E293" s="642"/>
      <c r="F293" s="642"/>
      <c r="G293" s="642"/>
      <c r="H293" s="642"/>
      <c r="I293" s="642"/>
      <c r="J293" s="642"/>
      <c r="K293" s="642"/>
      <c r="L293" s="642" t="s">
        <v>259</v>
      </c>
      <c r="M293" s="643" t="n">
        <v>3000</v>
      </c>
      <c r="N293" s="644" t="e">
        <f aca="false">VLOOKUP(A293,'[1]2023.10 CPU´s'!U$1:AF$1048576,11,FALSE())</f>
        <v>#N/A</v>
      </c>
      <c r="O293" s="645" t="e">
        <f aca="false">(N293/M293)-1</f>
        <v>#N/A</v>
      </c>
    </row>
    <row r="294" customFormat="false" ht="12.75" hidden="false" customHeight="true" outlineLevel="0" collapsed="false">
      <c r="A294" s="641" t="s">
        <v>1564</v>
      </c>
      <c r="B294" s="642" t="s">
        <v>1018</v>
      </c>
      <c r="C294" s="642" t="s">
        <v>1565</v>
      </c>
      <c r="D294" s="642"/>
      <c r="E294" s="642"/>
      <c r="F294" s="642"/>
      <c r="G294" s="642"/>
      <c r="H294" s="642"/>
      <c r="I294" s="642"/>
      <c r="J294" s="642"/>
      <c r="K294" s="642"/>
      <c r="L294" s="642" t="s">
        <v>259</v>
      </c>
      <c r="M294" s="643" t="n">
        <v>3000</v>
      </c>
      <c r="N294" s="644" t="e">
        <f aca="false">VLOOKUP(A294,'[1]2023.10 CPU´s'!U$1:AF$1048576,11,FALSE())</f>
        <v>#N/A</v>
      </c>
      <c r="O294" s="645" t="e">
        <f aca="false">(N294/M294)-1</f>
        <v>#N/A</v>
      </c>
    </row>
    <row r="295" customFormat="false" ht="12.75" hidden="false" customHeight="true" outlineLevel="0" collapsed="false">
      <c r="A295" s="641" t="s">
        <v>1566</v>
      </c>
      <c r="B295" s="642" t="s">
        <v>1018</v>
      </c>
      <c r="C295" s="642" t="s">
        <v>1567</v>
      </c>
      <c r="D295" s="642"/>
      <c r="E295" s="642"/>
      <c r="F295" s="642"/>
      <c r="G295" s="642"/>
      <c r="H295" s="642"/>
      <c r="I295" s="642"/>
      <c r="J295" s="642"/>
      <c r="K295" s="642"/>
      <c r="L295" s="642" t="s">
        <v>259</v>
      </c>
      <c r="M295" s="643" t="n">
        <v>3000</v>
      </c>
      <c r="N295" s="644" t="e">
        <f aca="false">VLOOKUP(A295,'[1]2023.10 CPU´s'!U$1:AF$1048576,11,FALSE())</f>
        <v>#N/A</v>
      </c>
      <c r="O295" s="645" t="e">
        <f aca="false">(N295/M295)-1</f>
        <v>#N/A</v>
      </c>
    </row>
    <row r="296" customFormat="false" ht="12.75" hidden="false" customHeight="true" outlineLevel="0" collapsed="false">
      <c r="A296" s="641" t="s">
        <v>1568</v>
      </c>
      <c r="B296" s="642" t="s">
        <v>1018</v>
      </c>
      <c r="C296" s="642" t="s">
        <v>1569</v>
      </c>
      <c r="D296" s="642"/>
      <c r="E296" s="642"/>
      <c r="F296" s="642"/>
      <c r="G296" s="642"/>
      <c r="H296" s="642"/>
      <c r="I296" s="642"/>
      <c r="J296" s="642"/>
      <c r="K296" s="642"/>
      <c r="L296" s="642" t="s">
        <v>259</v>
      </c>
      <c r="M296" s="643" t="n">
        <v>500</v>
      </c>
      <c r="N296" s="644" t="e">
        <f aca="false">VLOOKUP(A296,'[1]2023.10 CPU´s'!U$1:AF$1048576,11,FALSE())</f>
        <v>#N/A</v>
      </c>
      <c r="O296" s="645" t="e">
        <f aca="false">(N296/M296)-1</f>
        <v>#N/A</v>
      </c>
    </row>
    <row r="297" customFormat="false" ht="12.75" hidden="false" customHeight="true" outlineLevel="0" collapsed="false">
      <c r="A297" s="641" t="s">
        <v>1570</v>
      </c>
      <c r="B297" s="642" t="s">
        <v>1018</v>
      </c>
      <c r="C297" s="642" t="s">
        <v>1571</v>
      </c>
      <c r="D297" s="642"/>
      <c r="E297" s="642"/>
      <c r="F297" s="642"/>
      <c r="G297" s="642"/>
      <c r="H297" s="642"/>
      <c r="I297" s="642"/>
      <c r="J297" s="642"/>
      <c r="K297" s="642"/>
      <c r="L297" s="642" t="s">
        <v>259</v>
      </c>
      <c r="M297" s="643" t="n">
        <v>500</v>
      </c>
      <c r="N297" s="644" t="e">
        <f aca="false">VLOOKUP(A297,'[1]2023.10 CPU´s'!U$1:AF$1048576,11,FALSE())</f>
        <v>#N/A</v>
      </c>
      <c r="O297" s="645" t="e">
        <f aca="false">(N297/M297)-1</f>
        <v>#N/A</v>
      </c>
    </row>
    <row r="298" customFormat="false" ht="12.75" hidden="false" customHeight="true" outlineLevel="0" collapsed="false">
      <c r="A298" s="641" t="s">
        <v>1572</v>
      </c>
      <c r="B298" s="642" t="s">
        <v>1018</v>
      </c>
      <c r="C298" s="642" t="s">
        <v>1573</v>
      </c>
      <c r="D298" s="642"/>
      <c r="E298" s="642"/>
      <c r="F298" s="642"/>
      <c r="G298" s="642"/>
      <c r="H298" s="642"/>
      <c r="I298" s="642"/>
      <c r="J298" s="642"/>
      <c r="K298" s="642"/>
      <c r="L298" s="642" t="s">
        <v>259</v>
      </c>
      <c r="M298" s="643" t="n">
        <v>500</v>
      </c>
      <c r="N298" s="644" t="e">
        <f aca="false">VLOOKUP(A298,'[1]2023.10 CPU´s'!U$1:AF$1048576,11,FALSE())</f>
        <v>#N/A</v>
      </c>
      <c r="O298" s="645" t="e">
        <f aca="false">(N298/M298)-1</f>
        <v>#N/A</v>
      </c>
    </row>
    <row r="299" customFormat="false" ht="12.75" hidden="false" customHeight="true" outlineLevel="0" collapsed="false">
      <c r="A299" s="641" t="s">
        <v>1574</v>
      </c>
      <c r="B299" s="642" t="s">
        <v>1018</v>
      </c>
      <c r="C299" s="642" t="s">
        <v>1575</v>
      </c>
      <c r="D299" s="642"/>
      <c r="E299" s="642"/>
      <c r="F299" s="642"/>
      <c r="G299" s="642"/>
      <c r="H299" s="642"/>
      <c r="I299" s="642"/>
      <c r="J299" s="642"/>
      <c r="K299" s="642"/>
      <c r="L299" s="642" t="s">
        <v>259</v>
      </c>
      <c r="M299" s="643" t="n">
        <v>500</v>
      </c>
      <c r="N299" s="644" t="e">
        <f aca="false">VLOOKUP(A299,'[1]2023.10 CPU´s'!U$1:AF$1048576,11,FALSE())</f>
        <v>#N/A</v>
      </c>
      <c r="O299" s="645" t="e">
        <f aca="false">(N299/M299)-1</f>
        <v>#N/A</v>
      </c>
    </row>
    <row r="300" customFormat="false" ht="12.75" hidden="false" customHeight="true" outlineLevel="0" collapsed="false">
      <c r="A300" s="641" t="s">
        <v>1576</v>
      </c>
      <c r="B300" s="642" t="s">
        <v>1018</v>
      </c>
      <c r="C300" s="642" t="s">
        <v>1577</v>
      </c>
      <c r="D300" s="642"/>
      <c r="E300" s="642"/>
      <c r="F300" s="642"/>
      <c r="G300" s="642"/>
      <c r="H300" s="642"/>
      <c r="I300" s="642"/>
      <c r="J300" s="642"/>
      <c r="K300" s="642"/>
      <c r="L300" s="642" t="s">
        <v>259</v>
      </c>
      <c r="M300" s="643" t="n">
        <v>600</v>
      </c>
      <c r="N300" s="644" t="e">
        <f aca="false">VLOOKUP(A300,'[1]2023.10 CPU´s'!U$1:AF$1048576,11,FALSE())</f>
        <v>#N/A</v>
      </c>
      <c r="O300" s="645" t="e">
        <f aca="false">(N300/M300)-1</f>
        <v>#N/A</v>
      </c>
    </row>
    <row r="301" customFormat="false" ht="12.75" hidden="false" customHeight="true" outlineLevel="0" collapsed="false">
      <c r="A301" s="641" t="s">
        <v>1578</v>
      </c>
      <c r="B301" s="642" t="s">
        <v>1018</v>
      </c>
      <c r="C301" s="642" t="s">
        <v>1579</v>
      </c>
      <c r="D301" s="642"/>
      <c r="E301" s="642"/>
      <c r="F301" s="642"/>
      <c r="G301" s="642"/>
      <c r="H301" s="642"/>
      <c r="I301" s="642"/>
      <c r="J301" s="642"/>
      <c r="K301" s="642"/>
      <c r="L301" s="642" t="s">
        <v>259</v>
      </c>
      <c r="M301" s="643" t="n">
        <v>600</v>
      </c>
      <c r="N301" s="644" t="e">
        <f aca="false">VLOOKUP(A301,'[1]2023.10 CPU´s'!U$1:AF$1048576,11,FALSE())</f>
        <v>#N/A</v>
      </c>
      <c r="O301" s="645" t="e">
        <f aca="false">(N301/M301)-1</f>
        <v>#N/A</v>
      </c>
    </row>
    <row r="302" customFormat="false" ht="12.75" hidden="false" customHeight="true" outlineLevel="0" collapsed="false">
      <c r="A302" s="636" t="s">
        <v>1580</v>
      </c>
      <c r="B302" s="637" t="s">
        <v>1018</v>
      </c>
      <c r="C302" s="637" t="s">
        <v>1581</v>
      </c>
      <c r="D302" s="637"/>
      <c r="E302" s="637"/>
      <c r="F302" s="637"/>
      <c r="G302" s="637"/>
      <c r="H302" s="637"/>
      <c r="I302" s="637"/>
      <c r="J302" s="637"/>
      <c r="K302" s="637"/>
      <c r="L302" s="638"/>
      <c r="M302" s="638"/>
      <c r="N302" s="639"/>
      <c r="O302" s="640"/>
    </row>
    <row r="303" customFormat="false" ht="12.75" hidden="false" customHeight="true" outlineLevel="0" collapsed="false">
      <c r="A303" s="641" t="s">
        <v>1582</v>
      </c>
      <c r="B303" s="642" t="s">
        <v>1018</v>
      </c>
      <c r="C303" s="642" t="s">
        <v>1583</v>
      </c>
      <c r="D303" s="642"/>
      <c r="E303" s="642"/>
      <c r="F303" s="642"/>
      <c r="G303" s="642"/>
      <c r="H303" s="642"/>
      <c r="I303" s="642"/>
      <c r="J303" s="642"/>
      <c r="K303" s="642"/>
      <c r="L303" s="642" t="s">
        <v>259</v>
      </c>
      <c r="M303" s="643" t="n">
        <v>126.5</v>
      </c>
      <c r="N303" s="644" t="e">
        <f aca="false">VLOOKUP(A303,'[1]2023.10 CPU´s'!U$1:AF$1048576,11,FALSE())</f>
        <v>#N/A</v>
      </c>
      <c r="O303" s="645" t="e">
        <f aca="false">(N303/M303)-1</f>
        <v>#N/A</v>
      </c>
    </row>
    <row r="304" customFormat="false" ht="12.75" hidden="false" customHeight="true" outlineLevel="0" collapsed="false">
      <c r="A304" s="641" t="s">
        <v>1584</v>
      </c>
      <c r="B304" s="642" t="s">
        <v>1018</v>
      </c>
      <c r="C304" s="642" t="s">
        <v>1585</v>
      </c>
      <c r="D304" s="642"/>
      <c r="E304" s="642"/>
      <c r="F304" s="642"/>
      <c r="G304" s="642"/>
      <c r="H304" s="642"/>
      <c r="I304" s="642"/>
      <c r="J304" s="642"/>
      <c r="K304" s="642"/>
      <c r="L304" s="642" t="s">
        <v>259</v>
      </c>
      <c r="M304" s="643" t="n">
        <v>118</v>
      </c>
      <c r="N304" s="644" t="e">
        <f aca="false">VLOOKUP(A304,'[1]2023.10 CPU´s'!U$1:AF$1048576,11,FALSE())</f>
        <v>#N/A</v>
      </c>
      <c r="O304" s="645" t="e">
        <f aca="false">(N304/M304)-1</f>
        <v>#N/A</v>
      </c>
    </row>
    <row r="305" customFormat="false" ht="12.75" hidden="false" customHeight="true" outlineLevel="0" collapsed="false">
      <c r="A305" s="641" t="s">
        <v>1586</v>
      </c>
      <c r="B305" s="642" t="s">
        <v>1018</v>
      </c>
      <c r="C305" s="642" t="s">
        <v>1587</v>
      </c>
      <c r="D305" s="642"/>
      <c r="E305" s="642"/>
      <c r="F305" s="642"/>
      <c r="G305" s="642"/>
      <c r="H305" s="642"/>
      <c r="I305" s="642"/>
      <c r="J305" s="642"/>
      <c r="K305" s="642"/>
      <c r="L305" s="642" t="s">
        <v>259</v>
      </c>
      <c r="M305" s="643" t="n">
        <v>118</v>
      </c>
      <c r="N305" s="644" t="e">
        <f aca="false">VLOOKUP(A305,'[1]2023.10 CPU´s'!U$1:AF$1048576,11,FALSE())</f>
        <v>#N/A</v>
      </c>
      <c r="O305" s="645" t="e">
        <f aca="false">(N305/M305)-1</f>
        <v>#N/A</v>
      </c>
    </row>
    <row r="306" customFormat="false" ht="12.75" hidden="false" customHeight="true" outlineLevel="0" collapsed="false">
      <c r="A306" s="641" t="s">
        <v>1588</v>
      </c>
      <c r="B306" s="642" t="s">
        <v>1018</v>
      </c>
      <c r="C306" s="642" t="s">
        <v>1589</v>
      </c>
      <c r="D306" s="642"/>
      <c r="E306" s="642"/>
      <c r="F306" s="642"/>
      <c r="G306" s="642"/>
      <c r="H306" s="642"/>
      <c r="I306" s="642"/>
      <c r="J306" s="642"/>
      <c r="K306" s="642"/>
      <c r="L306" s="642" t="s">
        <v>259</v>
      </c>
      <c r="M306" s="643" t="n">
        <v>118</v>
      </c>
      <c r="N306" s="644" t="e">
        <f aca="false">VLOOKUP(A306,'[1]2023.10 CPU´s'!U$1:AF$1048576,11,FALSE())</f>
        <v>#N/A</v>
      </c>
      <c r="O306" s="645" t="e">
        <f aca="false">(N306/M306)-1</f>
        <v>#N/A</v>
      </c>
    </row>
    <row r="307" customFormat="false" ht="12.75" hidden="false" customHeight="true" outlineLevel="0" collapsed="false">
      <c r="A307" s="641" t="s">
        <v>1590</v>
      </c>
      <c r="B307" s="642" t="s">
        <v>1018</v>
      </c>
      <c r="C307" s="642" t="s">
        <v>1591</v>
      </c>
      <c r="D307" s="642"/>
      <c r="E307" s="642"/>
      <c r="F307" s="642"/>
      <c r="G307" s="642"/>
      <c r="H307" s="642"/>
      <c r="I307" s="642"/>
      <c r="J307" s="642"/>
      <c r="K307" s="642"/>
      <c r="L307" s="642" t="s">
        <v>259</v>
      </c>
      <c r="M307" s="643" t="n">
        <v>107.53</v>
      </c>
      <c r="N307" s="644" t="e">
        <f aca="false">VLOOKUP(A307,'[1]2023.10 CPU´s'!U$1:AF$1048576,11,FALSE())</f>
        <v>#N/A</v>
      </c>
      <c r="O307" s="645" t="e">
        <f aca="false">(N307/M307)-1</f>
        <v>#N/A</v>
      </c>
    </row>
    <row r="308" customFormat="false" ht="12.75" hidden="false" customHeight="true" outlineLevel="0" collapsed="false">
      <c r="A308" s="641" t="s">
        <v>1592</v>
      </c>
      <c r="B308" s="642" t="s">
        <v>1018</v>
      </c>
      <c r="C308" s="642" t="s">
        <v>1593</v>
      </c>
      <c r="D308" s="642"/>
      <c r="E308" s="642"/>
      <c r="F308" s="642"/>
      <c r="G308" s="642"/>
      <c r="H308" s="642"/>
      <c r="I308" s="642"/>
      <c r="J308" s="642"/>
      <c r="K308" s="642"/>
      <c r="L308" s="642" t="s">
        <v>259</v>
      </c>
      <c r="M308" s="643" t="n">
        <v>152</v>
      </c>
      <c r="N308" s="644" t="e">
        <f aca="false">VLOOKUP(A308,'[1]2023.10 CPU´s'!U$1:AF$1048576,11,FALSE())</f>
        <v>#N/A</v>
      </c>
      <c r="O308" s="645" t="e">
        <f aca="false">(N308/M308)-1</f>
        <v>#N/A</v>
      </c>
    </row>
    <row r="309" customFormat="false" ht="12.75" hidden="false" customHeight="true" outlineLevel="0" collapsed="false">
      <c r="A309" s="641" t="s">
        <v>1594</v>
      </c>
      <c r="B309" s="642" t="s">
        <v>1018</v>
      </c>
      <c r="C309" s="642" t="s">
        <v>1595</v>
      </c>
      <c r="D309" s="642"/>
      <c r="E309" s="642"/>
      <c r="F309" s="642"/>
      <c r="G309" s="642"/>
      <c r="H309" s="642"/>
      <c r="I309" s="642"/>
      <c r="J309" s="642"/>
      <c r="K309" s="642"/>
      <c r="L309" s="642" t="s">
        <v>259</v>
      </c>
      <c r="M309" s="643" t="n">
        <v>350</v>
      </c>
      <c r="N309" s="644" t="e">
        <f aca="false">VLOOKUP(A309,'[1]2023.10 CPU´s'!U$1:AF$1048576,11,FALSE())</f>
        <v>#N/A</v>
      </c>
      <c r="O309" s="645" t="e">
        <f aca="false">(N309/M309)-1</f>
        <v>#N/A</v>
      </c>
    </row>
    <row r="310" customFormat="false" ht="12.75" hidden="false" customHeight="true" outlineLevel="0" collapsed="false">
      <c r="A310" s="641" t="s">
        <v>1596</v>
      </c>
      <c r="B310" s="642" t="s">
        <v>1018</v>
      </c>
      <c r="C310" s="642" t="s">
        <v>1597</v>
      </c>
      <c r="D310" s="642"/>
      <c r="E310" s="642"/>
      <c r="F310" s="642"/>
      <c r="G310" s="642"/>
      <c r="H310" s="642"/>
      <c r="I310" s="642"/>
      <c r="J310" s="642"/>
      <c r="K310" s="642"/>
      <c r="L310" s="642" t="s">
        <v>259</v>
      </c>
      <c r="M310" s="643" t="n">
        <v>316.25</v>
      </c>
      <c r="N310" s="644" t="e">
        <f aca="false">VLOOKUP(A310,'[1]2023.10 CPU´s'!U$1:AF$1048576,11,FALSE())</f>
        <v>#N/A</v>
      </c>
      <c r="O310" s="645" t="e">
        <f aca="false">(N310/M310)-1</f>
        <v>#N/A</v>
      </c>
    </row>
    <row r="311" customFormat="false" ht="12.75" hidden="false" customHeight="true" outlineLevel="0" collapsed="false">
      <c r="A311" s="641" t="s">
        <v>1598</v>
      </c>
      <c r="B311" s="642" t="s">
        <v>1018</v>
      </c>
      <c r="C311" s="642" t="s">
        <v>1599</v>
      </c>
      <c r="D311" s="642"/>
      <c r="E311" s="642"/>
      <c r="F311" s="642"/>
      <c r="G311" s="642"/>
      <c r="H311" s="642"/>
      <c r="I311" s="642"/>
      <c r="J311" s="642"/>
      <c r="K311" s="642"/>
      <c r="L311" s="642" t="s">
        <v>259</v>
      </c>
      <c r="M311" s="643" t="n">
        <v>287.5</v>
      </c>
      <c r="N311" s="644" t="e">
        <f aca="false">VLOOKUP(A311,'[1]2023.10 CPU´s'!U$1:AF$1048576,11,FALSE())</f>
        <v>#N/A</v>
      </c>
      <c r="O311" s="645" t="e">
        <f aca="false">(N311/M311)-1</f>
        <v>#N/A</v>
      </c>
    </row>
    <row r="312" customFormat="false" ht="12.75" hidden="false" customHeight="true" outlineLevel="0" collapsed="false">
      <c r="A312" s="641" t="s">
        <v>1600</v>
      </c>
      <c r="B312" s="642" t="s">
        <v>1018</v>
      </c>
      <c r="C312" s="642" t="s">
        <v>1601</v>
      </c>
      <c r="D312" s="642"/>
      <c r="E312" s="642"/>
      <c r="F312" s="642"/>
      <c r="G312" s="642"/>
      <c r="H312" s="642"/>
      <c r="I312" s="642"/>
      <c r="J312" s="642"/>
      <c r="K312" s="642"/>
      <c r="L312" s="642" t="s">
        <v>259</v>
      </c>
      <c r="M312" s="643" t="n">
        <v>150</v>
      </c>
      <c r="N312" s="644" t="e">
        <f aca="false">VLOOKUP(A312,'[1]2023.10 CPU´s'!U$1:AF$1048576,11,FALSE())</f>
        <v>#N/A</v>
      </c>
      <c r="O312" s="645" t="e">
        <f aca="false">(N312/M312)-1</f>
        <v>#N/A</v>
      </c>
    </row>
    <row r="313" customFormat="false" ht="12.75" hidden="false" customHeight="true" outlineLevel="0" collapsed="false">
      <c r="A313" s="641" t="s">
        <v>1602</v>
      </c>
      <c r="B313" s="642" t="s">
        <v>1018</v>
      </c>
      <c r="C313" s="642" t="s">
        <v>1603</v>
      </c>
      <c r="D313" s="642"/>
      <c r="E313" s="642"/>
      <c r="F313" s="642"/>
      <c r="G313" s="642"/>
      <c r="H313" s="642"/>
      <c r="I313" s="642"/>
      <c r="J313" s="642"/>
      <c r="K313" s="642"/>
      <c r="L313" s="642" t="s">
        <v>259</v>
      </c>
      <c r="M313" s="643" t="n">
        <v>350</v>
      </c>
      <c r="N313" s="644" t="e">
        <f aca="false">VLOOKUP(A313,'[1]2023.10 CPU´s'!U$1:AF$1048576,11,FALSE())</f>
        <v>#N/A</v>
      </c>
      <c r="O313" s="645" t="e">
        <f aca="false">(N313/M313)-1</f>
        <v>#N/A</v>
      </c>
    </row>
    <row r="314" customFormat="false" ht="12.75" hidden="false" customHeight="true" outlineLevel="0" collapsed="false">
      <c r="A314" s="630" t="s">
        <v>1604</v>
      </c>
      <c r="B314" s="631"/>
      <c r="C314" s="632" t="s">
        <v>1605</v>
      </c>
      <c r="D314" s="632"/>
      <c r="E314" s="632"/>
      <c r="F314" s="632"/>
      <c r="G314" s="632"/>
      <c r="H314" s="632"/>
      <c r="I314" s="632"/>
      <c r="J314" s="632"/>
      <c r="K314" s="632"/>
      <c r="L314" s="633"/>
      <c r="M314" s="633"/>
      <c r="N314" s="633"/>
      <c r="O314" s="633"/>
    </row>
    <row r="315" customFormat="false" ht="12.75" hidden="false" customHeight="true" outlineLevel="0" collapsed="false">
      <c r="A315" s="636" t="s">
        <v>1606</v>
      </c>
      <c r="B315" s="637" t="s">
        <v>1018</v>
      </c>
      <c r="C315" s="637" t="s">
        <v>1607</v>
      </c>
      <c r="D315" s="637"/>
      <c r="E315" s="637"/>
      <c r="F315" s="637"/>
      <c r="G315" s="637"/>
      <c r="H315" s="637"/>
      <c r="I315" s="637"/>
      <c r="J315" s="637"/>
      <c r="K315" s="637"/>
      <c r="L315" s="638"/>
      <c r="M315" s="638"/>
      <c r="N315" s="639"/>
      <c r="O315" s="640"/>
    </row>
    <row r="316" customFormat="false" ht="12.75" hidden="false" customHeight="true" outlineLevel="0" collapsed="false">
      <c r="A316" s="641" t="s">
        <v>1608</v>
      </c>
      <c r="B316" s="642" t="s">
        <v>1018</v>
      </c>
      <c r="C316" s="642" t="s">
        <v>1609</v>
      </c>
      <c r="D316" s="642"/>
      <c r="E316" s="642"/>
      <c r="F316" s="642"/>
      <c r="G316" s="642"/>
      <c r="H316" s="642"/>
      <c r="I316" s="642"/>
      <c r="J316" s="642"/>
      <c r="K316" s="642"/>
      <c r="L316" s="642" t="s">
        <v>259</v>
      </c>
      <c r="M316" s="643" t="n">
        <v>350</v>
      </c>
      <c r="N316" s="644" t="e">
        <f aca="false">VLOOKUP(A316,'[1]2023.10 CPU´s'!U$1:AF$1048576,11,FALSE())</f>
        <v>#N/A</v>
      </c>
      <c r="O316" s="645" t="e">
        <f aca="false">(N316/M316)-1</f>
        <v>#N/A</v>
      </c>
    </row>
    <row r="317" customFormat="false" ht="12.75" hidden="false" customHeight="true" outlineLevel="0" collapsed="false">
      <c r="A317" s="641" t="s">
        <v>1610</v>
      </c>
      <c r="B317" s="642" t="s">
        <v>1018</v>
      </c>
      <c r="C317" s="642" t="s">
        <v>1611</v>
      </c>
      <c r="D317" s="642"/>
      <c r="E317" s="642"/>
      <c r="F317" s="642"/>
      <c r="G317" s="642"/>
      <c r="H317" s="642"/>
      <c r="I317" s="642"/>
      <c r="J317" s="642"/>
      <c r="K317" s="642"/>
      <c r="L317" s="642" t="s">
        <v>259</v>
      </c>
      <c r="M317" s="643" t="n">
        <v>350</v>
      </c>
      <c r="N317" s="644" t="e">
        <f aca="false">VLOOKUP(A317,'[1]2023.10 CPU´s'!U$1:AF$1048576,11,FALSE())</f>
        <v>#N/A</v>
      </c>
      <c r="O317" s="645" t="e">
        <f aca="false">(N317/M317)-1</f>
        <v>#N/A</v>
      </c>
    </row>
    <row r="318" customFormat="false" ht="12.75" hidden="false" customHeight="true" outlineLevel="0" collapsed="false">
      <c r="A318" s="641" t="s">
        <v>1612</v>
      </c>
      <c r="B318" s="642" t="s">
        <v>1018</v>
      </c>
      <c r="C318" s="642" t="s">
        <v>1613</v>
      </c>
      <c r="D318" s="642"/>
      <c r="E318" s="642"/>
      <c r="F318" s="642"/>
      <c r="G318" s="642"/>
      <c r="H318" s="642"/>
      <c r="I318" s="642"/>
      <c r="J318" s="642"/>
      <c r="K318" s="642"/>
      <c r="L318" s="642" t="s">
        <v>259</v>
      </c>
      <c r="M318" s="643" t="n">
        <v>350</v>
      </c>
      <c r="N318" s="644" t="e">
        <f aca="false">VLOOKUP(A318,'[1]2023.10 CPU´s'!U$1:AF$1048576,11,FALSE())</f>
        <v>#N/A</v>
      </c>
      <c r="O318" s="645" t="e">
        <f aca="false">(N318/M318)-1</f>
        <v>#N/A</v>
      </c>
    </row>
    <row r="319" customFormat="false" ht="12.75" hidden="false" customHeight="true" outlineLevel="0" collapsed="false">
      <c r="A319" s="641" t="s">
        <v>1614</v>
      </c>
      <c r="B319" s="642" t="s">
        <v>1018</v>
      </c>
      <c r="C319" s="642" t="s">
        <v>1615</v>
      </c>
      <c r="D319" s="642"/>
      <c r="E319" s="642"/>
      <c r="F319" s="642"/>
      <c r="G319" s="642"/>
      <c r="H319" s="642"/>
      <c r="I319" s="642"/>
      <c r="J319" s="642"/>
      <c r="K319" s="642"/>
      <c r="L319" s="642" t="s">
        <v>259</v>
      </c>
      <c r="M319" s="643" t="n">
        <v>120</v>
      </c>
      <c r="N319" s="644" t="e">
        <f aca="false">VLOOKUP(A319,'[1]2023.10 CPU´s'!U$1:AF$1048576,11,FALSE())</f>
        <v>#N/A</v>
      </c>
      <c r="O319" s="645" t="e">
        <f aca="false">(N319/M319)-1</f>
        <v>#N/A</v>
      </c>
    </row>
    <row r="320" customFormat="false" ht="12.75" hidden="false" customHeight="true" outlineLevel="0" collapsed="false">
      <c r="A320" s="641" t="s">
        <v>1616</v>
      </c>
      <c r="B320" s="642" t="s">
        <v>1018</v>
      </c>
      <c r="C320" s="642" t="s">
        <v>1617</v>
      </c>
      <c r="D320" s="642"/>
      <c r="E320" s="642"/>
      <c r="F320" s="642"/>
      <c r="G320" s="642"/>
      <c r="H320" s="642"/>
      <c r="I320" s="642"/>
      <c r="J320" s="642"/>
      <c r="K320" s="642"/>
      <c r="L320" s="642" t="s">
        <v>259</v>
      </c>
      <c r="M320" s="643" t="n">
        <v>500</v>
      </c>
      <c r="N320" s="644" t="e">
        <f aca="false">VLOOKUP(A320,'[1]2023.10 CPU´s'!U$1:AF$1048576,11,FALSE())</f>
        <v>#N/A</v>
      </c>
      <c r="O320" s="645" t="e">
        <f aca="false">(N320/M320)-1</f>
        <v>#N/A</v>
      </c>
    </row>
    <row r="321" customFormat="false" ht="12.75" hidden="false" customHeight="true" outlineLevel="0" collapsed="false">
      <c r="A321" s="641" t="s">
        <v>1618</v>
      </c>
      <c r="B321" s="642" t="s">
        <v>1018</v>
      </c>
      <c r="C321" s="642" t="s">
        <v>1619</v>
      </c>
      <c r="D321" s="642"/>
      <c r="E321" s="642"/>
      <c r="F321" s="642"/>
      <c r="G321" s="642"/>
      <c r="H321" s="642"/>
      <c r="I321" s="642"/>
      <c r="J321" s="642"/>
      <c r="K321" s="642"/>
      <c r="L321" s="642" t="s">
        <v>259</v>
      </c>
      <c r="M321" s="643" t="n">
        <v>200</v>
      </c>
      <c r="N321" s="644" t="e">
        <f aca="false">VLOOKUP(A321,'[1]2023.10 CPU´s'!U$1:AF$1048576,11,FALSE())</f>
        <v>#N/A</v>
      </c>
      <c r="O321" s="645" t="e">
        <f aca="false">(N321/M321)-1</f>
        <v>#N/A</v>
      </c>
    </row>
    <row r="322" customFormat="false" ht="12.75" hidden="false" customHeight="true" outlineLevel="0" collapsed="false">
      <c r="A322" s="641" t="s">
        <v>1620</v>
      </c>
      <c r="B322" s="642" t="s">
        <v>1018</v>
      </c>
      <c r="C322" s="642" t="s">
        <v>1621</v>
      </c>
      <c r="D322" s="642"/>
      <c r="E322" s="642"/>
      <c r="F322" s="642"/>
      <c r="G322" s="642"/>
      <c r="H322" s="642"/>
      <c r="I322" s="642"/>
      <c r="J322" s="642"/>
      <c r="K322" s="642"/>
      <c r="L322" s="642" t="s">
        <v>259</v>
      </c>
      <c r="M322" s="643" t="n">
        <v>350</v>
      </c>
      <c r="N322" s="644" t="e">
        <f aca="false">VLOOKUP(A322,'[1]2023.10 CPU´s'!U$1:AF$1048576,11,FALSE())</f>
        <v>#N/A</v>
      </c>
      <c r="O322" s="645" t="e">
        <f aca="false">(N322/M322)-1</f>
        <v>#N/A</v>
      </c>
    </row>
    <row r="323" customFormat="false" ht="12.75" hidden="false" customHeight="true" outlineLevel="0" collapsed="false">
      <c r="A323" s="636" t="s">
        <v>1622</v>
      </c>
      <c r="B323" s="637" t="s">
        <v>1018</v>
      </c>
      <c r="C323" s="637" t="s">
        <v>1623</v>
      </c>
      <c r="D323" s="637"/>
      <c r="E323" s="637"/>
      <c r="F323" s="637"/>
      <c r="G323" s="637"/>
      <c r="H323" s="637"/>
      <c r="I323" s="637"/>
      <c r="J323" s="637"/>
      <c r="K323" s="637"/>
      <c r="L323" s="638"/>
      <c r="M323" s="638"/>
      <c r="N323" s="639"/>
      <c r="O323" s="640"/>
    </row>
    <row r="324" customFormat="false" ht="12.75" hidden="false" customHeight="true" outlineLevel="0" collapsed="false">
      <c r="A324" s="641" t="s">
        <v>1624</v>
      </c>
      <c r="B324" s="642" t="s">
        <v>1018</v>
      </c>
      <c r="C324" s="642" t="s">
        <v>1625</v>
      </c>
      <c r="D324" s="642"/>
      <c r="E324" s="642"/>
      <c r="F324" s="642"/>
      <c r="G324" s="642"/>
      <c r="H324" s="642"/>
      <c r="I324" s="642"/>
      <c r="J324" s="642"/>
      <c r="K324" s="642"/>
      <c r="L324" s="642" t="s">
        <v>259</v>
      </c>
      <c r="M324" s="643" t="n">
        <v>350</v>
      </c>
      <c r="N324" s="644" t="e">
        <f aca="false">VLOOKUP(A324,'[1]2023.10 CPU´s'!U$1:AF$1048576,11,FALSE())</f>
        <v>#N/A</v>
      </c>
      <c r="O324" s="645" t="e">
        <f aca="false">(N324/M324)-1</f>
        <v>#N/A</v>
      </c>
    </row>
    <row r="325" customFormat="false" ht="12.75" hidden="false" customHeight="true" outlineLevel="0" collapsed="false">
      <c r="A325" s="641" t="s">
        <v>1626</v>
      </c>
      <c r="B325" s="642" t="s">
        <v>1018</v>
      </c>
      <c r="C325" s="642" t="s">
        <v>1627</v>
      </c>
      <c r="D325" s="642"/>
      <c r="E325" s="642"/>
      <c r="F325" s="642"/>
      <c r="G325" s="642"/>
      <c r="H325" s="642"/>
      <c r="I325" s="642"/>
      <c r="J325" s="642"/>
      <c r="K325" s="642"/>
      <c r="L325" s="642" t="s">
        <v>259</v>
      </c>
      <c r="M325" s="643" t="n">
        <v>500</v>
      </c>
      <c r="N325" s="644" t="e">
        <f aca="false">VLOOKUP(A325,'[1]2023.10 CPU´s'!U$1:AF$1048576,11,FALSE())</f>
        <v>#N/A</v>
      </c>
      <c r="O325" s="645" t="e">
        <f aca="false">(N325/M325)-1</f>
        <v>#N/A</v>
      </c>
    </row>
    <row r="326" customFormat="false" ht="12.75" hidden="false" customHeight="true" outlineLevel="0" collapsed="false">
      <c r="A326" s="641" t="s">
        <v>1628</v>
      </c>
      <c r="B326" s="642" t="s">
        <v>1018</v>
      </c>
      <c r="C326" s="642" t="s">
        <v>1629</v>
      </c>
      <c r="D326" s="642"/>
      <c r="E326" s="642"/>
      <c r="F326" s="642"/>
      <c r="G326" s="642"/>
      <c r="H326" s="642"/>
      <c r="I326" s="642"/>
      <c r="J326" s="642"/>
      <c r="K326" s="642"/>
      <c r="L326" s="642" t="s">
        <v>259</v>
      </c>
      <c r="M326" s="643" t="n">
        <v>500</v>
      </c>
      <c r="N326" s="644" t="e">
        <f aca="false">VLOOKUP(A326,'[1]2023.10 CPU´s'!U$1:AF$1048576,11,FALSE())</f>
        <v>#N/A</v>
      </c>
      <c r="O326" s="645" t="e">
        <f aca="false">(N326/M326)-1</f>
        <v>#N/A</v>
      </c>
    </row>
    <row r="327" customFormat="false" ht="12.75" hidden="false" customHeight="true" outlineLevel="0" collapsed="false">
      <c r="A327" s="641" t="s">
        <v>1630</v>
      </c>
      <c r="B327" s="642" t="s">
        <v>1018</v>
      </c>
      <c r="C327" s="642" t="s">
        <v>1631</v>
      </c>
      <c r="D327" s="642"/>
      <c r="E327" s="642"/>
      <c r="F327" s="642"/>
      <c r="G327" s="642"/>
      <c r="H327" s="642"/>
      <c r="I327" s="642"/>
      <c r="J327" s="642"/>
      <c r="K327" s="642"/>
      <c r="L327" s="642" t="s">
        <v>259</v>
      </c>
      <c r="M327" s="643" t="n">
        <v>120</v>
      </c>
      <c r="N327" s="644" t="e">
        <f aca="false">VLOOKUP(A327,'[1]2023.10 CPU´s'!U$1:AF$1048576,11,FALSE())</f>
        <v>#N/A</v>
      </c>
      <c r="O327" s="645" t="e">
        <f aca="false">(N327/M327)-1</f>
        <v>#N/A</v>
      </c>
    </row>
    <row r="328" customFormat="false" ht="12.75" hidden="false" customHeight="true" outlineLevel="0" collapsed="false">
      <c r="A328" s="636" t="s">
        <v>1632</v>
      </c>
      <c r="B328" s="637" t="s">
        <v>1018</v>
      </c>
      <c r="C328" s="637" t="s">
        <v>1633</v>
      </c>
      <c r="D328" s="637"/>
      <c r="E328" s="637"/>
      <c r="F328" s="637"/>
      <c r="G328" s="637"/>
      <c r="H328" s="637"/>
      <c r="I328" s="637"/>
      <c r="J328" s="637"/>
      <c r="K328" s="637"/>
      <c r="L328" s="638"/>
      <c r="M328" s="638"/>
      <c r="N328" s="639"/>
      <c r="O328" s="640"/>
    </row>
    <row r="329" customFormat="false" ht="12.75" hidden="false" customHeight="true" outlineLevel="0" collapsed="false">
      <c r="A329" s="641" t="s">
        <v>1634</v>
      </c>
      <c r="B329" s="642" t="s">
        <v>1018</v>
      </c>
      <c r="C329" s="642" t="s">
        <v>1635</v>
      </c>
      <c r="D329" s="642"/>
      <c r="E329" s="642"/>
      <c r="F329" s="642"/>
      <c r="G329" s="642"/>
      <c r="H329" s="642"/>
      <c r="I329" s="642"/>
      <c r="J329" s="642"/>
      <c r="K329" s="642"/>
      <c r="L329" s="642" t="s">
        <v>259</v>
      </c>
      <c r="M329" s="643" t="n">
        <v>120</v>
      </c>
      <c r="N329" s="644" t="e">
        <f aca="false">VLOOKUP(A329,'[1]2023.10 CPU´s'!U$1:AF$1048576,11,FALSE())</f>
        <v>#N/A</v>
      </c>
      <c r="O329" s="645" t="e">
        <f aca="false">(N329/M329)-1</f>
        <v>#N/A</v>
      </c>
    </row>
    <row r="330" customFormat="false" ht="12.75" hidden="false" customHeight="true" outlineLevel="0" collapsed="false">
      <c r="A330" s="641" t="s">
        <v>1636</v>
      </c>
      <c r="B330" s="642" t="s">
        <v>1018</v>
      </c>
      <c r="C330" s="642" t="s">
        <v>1637</v>
      </c>
      <c r="D330" s="642"/>
      <c r="E330" s="642"/>
      <c r="F330" s="642"/>
      <c r="G330" s="642"/>
      <c r="H330" s="642"/>
      <c r="I330" s="642"/>
      <c r="J330" s="642"/>
      <c r="K330" s="642"/>
      <c r="L330" s="642" t="s">
        <v>259</v>
      </c>
      <c r="M330" s="643" t="n">
        <v>300</v>
      </c>
      <c r="N330" s="644" t="e">
        <f aca="false">VLOOKUP(A330,'[1]2023.10 CPU´s'!U$1:AF$1048576,11,FALSE())</f>
        <v>#N/A</v>
      </c>
      <c r="O330" s="645" t="e">
        <f aca="false">(N330/M330)-1</f>
        <v>#N/A</v>
      </c>
    </row>
    <row r="331" customFormat="false" ht="12.75" hidden="false" customHeight="true" outlineLevel="0" collapsed="false">
      <c r="A331" s="641" t="s">
        <v>1638</v>
      </c>
      <c r="B331" s="642" t="s">
        <v>1018</v>
      </c>
      <c r="C331" s="642" t="s">
        <v>1639</v>
      </c>
      <c r="D331" s="642"/>
      <c r="E331" s="642"/>
      <c r="F331" s="642"/>
      <c r="G331" s="642"/>
      <c r="H331" s="642"/>
      <c r="I331" s="642"/>
      <c r="J331" s="642"/>
      <c r="K331" s="642"/>
      <c r="L331" s="642" t="s">
        <v>259</v>
      </c>
      <c r="M331" s="643" t="n">
        <v>500</v>
      </c>
      <c r="N331" s="644" t="e">
        <f aca="false">VLOOKUP(A331,'[1]2023.10 CPU´s'!U$1:AF$1048576,11,FALSE())</f>
        <v>#N/A</v>
      </c>
      <c r="O331" s="645" t="e">
        <f aca="false">(N331/M331)-1</f>
        <v>#N/A</v>
      </c>
    </row>
    <row r="332" customFormat="false" ht="12.75" hidden="false" customHeight="true" outlineLevel="0" collapsed="false">
      <c r="A332" s="636" t="s">
        <v>1640</v>
      </c>
      <c r="B332" s="637" t="s">
        <v>1018</v>
      </c>
      <c r="C332" s="637" t="s">
        <v>1641</v>
      </c>
      <c r="D332" s="637"/>
      <c r="E332" s="637"/>
      <c r="F332" s="637"/>
      <c r="G332" s="637"/>
      <c r="H332" s="637"/>
      <c r="I332" s="637"/>
      <c r="J332" s="637"/>
      <c r="K332" s="637"/>
      <c r="L332" s="638"/>
      <c r="M332" s="638"/>
      <c r="N332" s="639"/>
      <c r="O332" s="640"/>
    </row>
    <row r="333" customFormat="false" ht="12.75" hidden="false" customHeight="true" outlineLevel="0" collapsed="false">
      <c r="A333" s="641" t="s">
        <v>1642</v>
      </c>
      <c r="B333" s="642" t="s">
        <v>1018</v>
      </c>
      <c r="C333" s="642" t="s">
        <v>1643</v>
      </c>
      <c r="D333" s="642"/>
      <c r="E333" s="642"/>
      <c r="F333" s="642"/>
      <c r="G333" s="642"/>
      <c r="H333" s="642"/>
      <c r="I333" s="642"/>
      <c r="J333" s="642"/>
      <c r="K333" s="642"/>
      <c r="L333" s="642" t="s">
        <v>259</v>
      </c>
      <c r="M333" s="643" t="n">
        <v>1878.53</v>
      </c>
      <c r="N333" s="644" t="e">
        <f aca="false">VLOOKUP(A333,'[1]2023.10 CPU´s'!U$1:AF$1048576,11,FALSE())</f>
        <v>#N/A</v>
      </c>
      <c r="O333" s="645" t="e">
        <f aca="false">(N333/M333)-1</f>
        <v>#N/A</v>
      </c>
    </row>
    <row r="334" customFormat="false" ht="12.75" hidden="false" customHeight="true" outlineLevel="0" collapsed="false">
      <c r="A334" s="641" t="s">
        <v>1644</v>
      </c>
      <c r="B334" s="642" t="s">
        <v>1018</v>
      </c>
      <c r="C334" s="642" t="s">
        <v>1645</v>
      </c>
      <c r="D334" s="642"/>
      <c r="E334" s="642"/>
      <c r="F334" s="642"/>
      <c r="G334" s="642"/>
      <c r="H334" s="642"/>
      <c r="I334" s="642"/>
      <c r="J334" s="642"/>
      <c r="K334" s="642"/>
      <c r="L334" s="642" t="s">
        <v>259</v>
      </c>
      <c r="M334" s="643" t="n">
        <v>400</v>
      </c>
      <c r="N334" s="644" t="e">
        <f aca="false">VLOOKUP(A334,'[1]2023.10 CPU´s'!U$1:AF$1048576,11,FALSE())</f>
        <v>#N/A</v>
      </c>
      <c r="O334" s="645" t="e">
        <f aca="false">(N334/M334)-1</f>
        <v>#N/A</v>
      </c>
    </row>
    <row r="335" customFormat="false" ht="12.75" hidden="false" customHeight="true" outlineLevel="0" collapsed="false">
      <c r="A335" s="641" t="s">
        <v>1646</v>
      </c>
      <c r="B335" s="642" t="s">
        <v>1018</v>
      </c>
      <c r="C335" s="642" t="s">
        <v>1647</v>
      </c>
      <c r="D335" s="642"/>
      <c r="E335" s="642"/>
      <c r="F335" s="642"/>
      <c r="G335" s="642"/>
      <c r="H335" s="642"/>
      <c r="I335" s="642"/>
      <c r="J335" s="642"/>
      <c r="K335" s="642"/>
      <c r="L335" s="642" t="s">
        <v>259</v>
      </c>
      <c r="M335" s="643" t="n">
        <v>120</v>
      </c>
      <c r="N335" s="644" t="e">
        <f aca="false">VLOOKUP(A335,'[1]2023.10 CPU´s'!U$1:AF$1048576,11,FALSE())</f>
        <v>#N/A</v>
      </c>
      <c r="O335" s="645" t="e">
        <f aca="false">(N335/M335)-1</f>
        <v>#N/A</v>
      </c>
    </row>
    <row r="336" customFormat="false" ht="12.75" hidden="false" customHeight="true" outlineLevel="0" collapsed="false">
      <c r="A336" s="641" t="s">
        <v>1648</v>
      </c>
      <c r="B336" s="642" t="s">
        <v>1018</v>
      </c>
      <c r="C336" s="642" t="s">
        <v>1649</v>
      </c>
      <c r="D336" s="642"/>
      <c r="E336" s="642"/>
      <c r="F336" s="642"/>
      <c r="G336" s="642"/>
      <c r="H336" s="642"/>
      <c r="I336" s="642"/>
      <c r="J336" s="642"/>
      <c r="K336" s="642"/>
      <c r="L336" s="642" t="s">
        <v>259</v>
      </c>
      <c r="M336" s="643" t="n">
        <v>23</v>
      </c>
      <c r="N336" s="644" t="e">
        <f aca="false">VLOOKUP(A336,'[1]2023.10 CPU´s'!U$1:AF$1048576,11,FALSE())</f>
        <v>#N/A</v>
      </c>
      <c r="O336" s="645" t="e">
        <f aca="false">(N336/M336)-1</f>
        <v>#N/A</v>
      </c>
    </row>
    <row r="337" customFormat="false" ht="12.75" hidden="false" customHeight="true" outlineLevel="0" collapsed="false">
      <c r="A337" s="641" t="s">
        <v>1650</v>
      </c>
      <c r="B337" s="642" t="s">
        <v>1018</v>
      </c>
      <c r="C337" s="642" t="s">
        <v>1651</v>
      </c>
      <c r="D337" s="642"/>
      <c r="E337" s="642"/>
      <c r="F337" s="642"/>
      <c r="G337" s="642"/>
      <c r="H337" s="642"/>
      <c r="I337" s="642"/>
      <c r="J337" s="642"/>
      <c r="K337" s="642"/>
      <c r="L337" s="642" t="s">
        <v>259</v>
      </c>
      <c r="M337" s="643" t="n">
        <v>74.03</v>
      </c>
      <c r="N337" s="644" t="e">
        <f aca="false">VLOOKUP(A337,'[1]2023.10 CPU´s'!U$1:AF$1048576,11,FALSE())</f>
        <v>#N/A</v>
      </c>
      <c r="O337" s="645" t="e">
        <f aca="false">(N337/M337)-1</f>
        <v>#N/A</v>
      </c>
    </row>
    <row r="338" customFormat="false" ht="12.75" hidden="false" customHeight="true" outlineLevel="0" collapsed="false">
      <c r="A338" s="641" t="s">
        <v>1652</v>
      </c>
      <c r="B338" s="642" t="s">
        <v>1018</v>
      </c>
      <c r="C338" s="642" t="s">
        <v>1653</v>
      </c>
      <c r="D338" s="642"/>
      <c r="E338" s="642"/>
      <c r="F338" s="642"/>
      <c r="G338" s="642"/>
      <c r="H338" s="642"/>
      <c r="I338" s="642"/>
      <c r="J338" s="642"/>
      <c r="K338" s="642"/>
      <c r="L338" s="642" t="s">
        <v>259</v>
      </c>
      <c r="M338" s="643" t="n">
        <v>137.62</v>
      </c>
      <c r="N338" s="644" t="e">
        <f aca="false">VLOOKUP(A338,'[1]2023.10 CPU´s'!U$1:AF$1048576,11,FALSE())</f>
        <v>#N/A</v>
      </c>
      <c r="O338" s="645" t="e">
        <f aca="false">(N338/M338)-1</f>
        <v>#N/A</v>
      </c>
    </row>
    <row r="339" customFormat="false" ht="12.75" hidden="false" customHeight="true" outlineLevel="0" collapsed="false">
      <c r="A339" s="641" t="s">
        <v>1654</v>
      </c>
      <c r="B339" s="642" t="s">
        <v>1018</v>
      </c>
      <c r="C339" s="642" t="s">
        <v>1655</v>
      </c>
      <c r="D339" s="642"/>
      <c r="E339" s="642"/>
      <c r="F339" s="642"/>
      <c r="G339" s="642"/>
      <c r="H339" s="642"/>
      <c r="I339" s="642"/>
      <c r="J339" s="642"/>
      <c r="K339" s="642"/>
      <c r="L339" s="642" t="s">
        <v>259</v>
      </c>
      <c r="M339" s="643" t="n">
        <v>200</v>
      </c>
      <c r="N339" s="644" t="e">
        <f aca="false">VLOOKUP(A339,'[1]2023.10 CPU´s'!U$1:AF$1048576,11,FALSE())</f>
        <v>#N/A</v>
      </c>
      <c r="O339" s="645" t="e">
        <f aca="false">(N339/M339)-1</f>
        <v>#N/A</v>
      </c>
    </row>
    <row r="340" customFormat="false" ht="12.75" hidden="false" customHeight="true" outlineLevel="0" collapsed="false">
      <c r="A340" s="641" t="s">
        <v>1656</v>
      </c>
      <c r="B340" s="642" t="s">
        <v>1018</v>
      </c>
      <c r="C340" s="642" t="s">
        <v>1657</v>
      </c>
      <c r="D340" s="642"/>
      <c r="E340" s="642"/>
      <c r="F340" s="642"/>
      <c r="G340" s="642"/>
      <c r="H340" s="642"/>
      <c r="I340" s="642"/>
      <c r="J340" s="642"/>
      <c r="K340" s="642"/>
      <c r="L340" s="642" t="s">
        <v>259</v>
      </c>
      <c r="M340" s="643" t="n">
        <v>600</v>
      </c>
      <c r="N340" s="644" t="e">
        <f aca="false">VLOOKUP(A340,'[1]2023.10 CPU´s'!U$1:AF$1048576,11,FALSE())</f>
        <v>#N/A</v>
      </c>
      <c r="O340" s="645" t="e">
        <f aca="false">(N340/M340)-1</f>
        <v>#N/A</v>
      </c>
    </row>
    <row r="341" customFormat="false" ht="12.75" hidden="false" customHeight="true" outlineLevel="0" collapsed="false">
      <c r="A341" s="641" t="s">
        <v>1658</v>
      </c>
      <c r="B341" s="642" t="s">
        <v>1018</v>
      </c>
      <c r="C341" s="642" t="s">
        <v>1659</v>
      </c>
      <c r="D341" s="642"/>
      <c r="E341" s="642"/>
      <c r="F341" s="642"/>
      <c r="G341" s="642"/>
      <c r="H341" s="642"/>
      <c r="I341" s="642"/>
      <c r="J341" s="642"/>
      <c r="K341" s="642"/>
      <c r="L341" s="642" t="s">
        <v>259</v>
      </c>
      <c r="M341" s="643" t="n">
        <v>700</v>
      </c>
      <c r="N341" s="644" t="e">
        <f aca="false">VLOOKUP(A341,'[1]2023.10 CPU´s'!U$1:AF$1048576,11,FALSE())</f>
        <v>#N/A</v>
      </c>
      <c r="O341" s="645" t="e">
        <f aca="false">(N341/M341)-1</f>
        <v>#N/A</v>
      </c>
    </row>
    <row r="342" customFormat="false" ht="12.75" hidden="false" customHeight="true" outlineLevel="0" collapsed="false">
      <c r="A342" s="630" t="s">
        <v>1660</v>
      </c>
      <c r="B342" s="631"/>
      <c r="C342" s="632" t="s">
        <v>1661</v>
      </c>
      <c r="D342" s="632"/>
      <c r="E342" s="632"/>
      <c r="F342" s="632"/>
      <c r="G342" s="632"/>
      <c r="H342" s="632"/>
      <c r="I342" s="632"/>
      <c r="J342" s="632"/>
      <c r="K342" s="632"/>
      <c r="L342" s="633"/>
      <c r="M342" s="633"/>
      <c r="N342" s="633"/>
      <c r="O342" s="633"/>
    </row>
    <row r="343" customFormat="false" ht="12.75" hidden="false" customHeight="true" outlineLevel="0" collapsed="false">
      <c r="A343" s="636" t="s">
        <v>1662</v>
      </c>
      <c r="B343" s="637" t="s">
        <v>1018</v>
      </c>
      <c r="C343" s="637" t="s">
        <v>1663</v>
      </c>
      <c r="D343" s="637"/>
      <c r="E343" s="637"/>
      <c r="F343" s="637"/>
      <c r="G343" s="637"/>
      <c r="H343" s="637"/>
      <c r="I343" s="637"/>
      <c r="J343" s="637"/>
      <c r="K343" s="637"/>
      <c r="L343" s="638"/>
      <c r="M343" s="638"/>
      <c r="N343" s="639"/>
      <c r="O343" s="640"/>
    </row>
    <row r="344" customFormat="false" ht="12.75" hidden="false" customHeight="true" outlineLevel="0" collapsed="false">
      <c r="A344" s="641" t="s">
        <v>1664</v>
      </c>
      <c r="B344" s="642" t="s">
        <v>1018</v>
      </c>
      <c r="C344" s="642" t="s">
        <v>1665</v>
      </c>
      <c r="D344" s="642"/>
      <c r="E344" s="642"/>
      <c r="F344" s="642"/>
      <c r="G344" s="642"/>
      <c r="H344" s="642"/>
      <c r="I344" s="642"/>
      <c r="J344" s="642"/>
      <c r="K344" s="642"/>
      <c r="L344" s="642" t="s">
        <v>1666</v>
      </c>
      <c r="M344" s="643" t="n">
        <v>800</v>
      </c>
      <c r="N344" s="644" t="e">
        <f aca="false">VLOOKUP(A344,'[1]2023.10 CPU´s'!U$1:AF$1048576,11,FALSE())</f>
        <v>#N/A</v>
      </c>
      <c r="O344" s="645" t="e">
        <f aca="false">(N344/M344)-1</f>
        <v>#N/A</v>
      </c>
    </row>
    <row r="345" customFormat="false" ht="12.75" hidden="false" customHeight="true" outlineLevel="0" collapsed="false">
      <c r="A345" s="641" t="s">
        <v>1667</v>
      </c>
      <c r="B345" s="642" t="s">
        <v>1018</v>
      </c>
      <c r="C345" s="642" t="s">
        <v>1668</v>
      </c>
      <c r="D345" s="642"/>
      <c r="E345" s="642"/>
      <c r="F345" s="642"/>
      <c r="G345" s="642"/>
      <c r="H345" s="642"/>
      <c r="I345" s="642"/>
      <c r="J345" s="642"/>
      <c r="K345" s="642"/>
      <c r="L345" s="642" t="s">
        <v>1666</v>
      </c>
      <c r="M345" s="643" t="n">
        <v>800</v>
      </c>
      <c r="N345" s="644" t="e">
        <f aca="false">VLOOKUP(A345,'[1]2023.10 CPU´s'!U$1:AF$1048576,11,FALSE())</f>
        <v>#N/A</v>
      </c>
      <c r="O345" s="645" t="e">
        <f aca="false">(N345/M345)-1</f>
        <v>#N/A</v>
      </c>
    </row>
    <row r="346" customFormat="false" ht="12.75" hidden="false" customHeight="true" outlineLevel="0" collapsed="false">
      <c r="A346" s="641" t="s">
        <v>1669</v>
      </c>
      <c r="B346" s="642" t="s">
        <v>1018</v>
      </c>
      <c r="C346" s="642" t="s">
        <v>1670</v>
      </c>
      <c r="D346" s="642"/>
      <c r="E346" s="642"/>
      <c r="F346" s="642"/>
      <c r="G346" s="642"/>
      <c r="H346" s="642"/>
      <c r="I346" s="642"/>
      <c r="J346" s="642"/>
      <c r="K346" s="642"/>
      <c r="L346" s="642" t="s">
        <v>1666</v>
      </c>
      <c r="M346" s="643" t="n">
        <v>800</v>
      </c>
      <c r="N346" s="644" t="e">
        <f aca="false">VLOOKUP(A346,'[1]2023.10 CPU´s'!U$1:AF$1048576,11,FALSE())</f>
        <v>#N/A</v>
      </c>
      <c r="O346" s="645" t="e">
        <f aca="false">(N346/M346)-1</f>
        <v>#N/A</v>
      </c>
    </row>
    <row r="347" customFormat="false" ht="12.75" hidden="false" customHeight="true" outlineLevel="0" collapsed="false">
      <c r="A347" s="641" t="s">
        <v>1671</v>
      </c>
      <c r="B347" s="642" t="s">
        <v>1018</v>
      </c>
      <c r="C347" s="642" t="s">
        <v>1672</v>
      </c>
      <c r="D347" s="642"/>
      <c r="E347" s="642"/>
      <c r="F347" s="642"/>
      <c r="G347" s="642"/>
      <c r="H347" s="642"/>
      <c r="I347" s="642"/>
      <c r="J347" s="642"/>
      <c r="K347" s="642"/>
      <c r="L347" s="642" t="s">
        <v>259</v>
      </c>
      <c r="M347" s="643" t="n">
        <v>800</v>
      </c>
      <c r="N347" s="644" t="e">
        <f aca="false">VLOOKUP(A347,'[1]2023.10 CPU´s'!U$1:AF$1048576,11,FALSE())</f>
        <v>#N/A</v>
      </c>
      <c r="O347" s="645" t="e">
        <f aca="false">(N347/M347)-1</f>
        <v>#N/A</v>
      </c>
    </row>
    <row r="348" customFormat="false" ht="12.75" hidden="false" customHeight="true" outlineLevel="0" collapsed="false">
      <c r="A348" s="641" t="s">
        <v>1673</v>
      </c>
      <c r="B348" s="642" t="s">
        <v>1018</v>
      </c>
      <c r="C348" s="642" t="s">
        <v>1674</v>
      </c>
      <c r="D348" s="642"/>
      <c r="E348" s="642"/>
      <c r="F348" s="642"/>
      <c r="G348" s="642"/>
      <c r="H348" s="642"/>
      <c r="I348" s="642"/>
      <c r="J348" s="642"/>
      <c r="K348" s="642"/>
      <c r="L348" s="642" t="s">
        <v>259</v>
      </c>
      <c r="M348" s="643" t="n">
        <v>1000</v>
      </c>
      <c r="N348" s="644" t="e">
        <f aca="false">VLOOKUP(A348,'[1]2023.10 CPU´s'!U$1:AF$1048576,11,FALSE())</f>
        <v>#N/A</v>
      </c>
      <c r="O348" s="645" t="e">
        <f aca="false">(N348/M348)-1</f>
        <v>#N/A</v>
      </c>
    </row>
    <row r="349" customFormat="false" ht="12.75" hidden="false" customHeight="true" outlineLevel="0" collapsed="false">
      <c r="A349" s="636" t="s">
        <v>1675</v>
      </c>
      <c r="B349" s="637" t="s">
        <v>1018</v>
      </c>
      <c r="C349" s="637" t="s">
        <v>1676</v>
      </c>
      <c r="D349" s="637"/>
      <c r="E349" s="637"/>
      <c r="F349" s="637"/>
      <c r="G349" s="637"/>
      <c r="H349" s="637"/>
      <c r="I349" s="637"/>
      <c r="J349" s="637"/>
      <c r="K349" s="637"/>
      <c r="L349" s="638"/>
      <c r="M349" s="638"/>
      <c r="N349" s="639"/>
      <c r="O349" s="640"/>
    </row>
    <row r="350" customFormat="false" ht="12.75" hidden="false" customHeight="true" outlineLevel="0" collapsed="false">
      <c r="A350" s="641" t="s">
        <v>1677</v>
      </c>
      <c r="B350" s="642" t="s">
        <v>1018</v>
      </c>
      <c r="C350" s="642" t="s">
        <v>1678</v>
      </c>
      <c r="D350" s="642"/>
      <c r="E350" s="642"/>
      <c r="F350" s="642"/>
      <c r="G350" s="642"/>
      <c r="H350" s="642"/>
      <c r="I350" s="642"/>
      <c r="J350" s="642"/>
      <c r="K350" s="642"/>
      <c r="L350" s="642" t="s">
        <v>259</v>
      </c>
      <c r="M350" s="643" t="n">
        <v>150</v>
      </c>
      <c r="N350" s="644" t="e">
        <f aca="false">VLOOKUP(A350,'[1]2023.10 CPU´s'!U$1:AF$1048576,11,FALSE())</f>
        <v>#N/A</v>
      </c>
      <c r="O350" s="645" t="e">
        <f aca="false">(N350/M350)-1</f>
        <v>#N/A</v>
      </c>
    </row>
    <row r="351" customFormat="false" ht="12.75" hidden="false" customHeight="true" outlineLevel="0" collapsed="false">
      <c r="A351" s="641" t="s">
        <v>1679</v>
      </c>
      <c r="B351" s="642" t="s">
        <v>1018</v>
      </c>
      <c r="C351" s="642" t="s">
        <v>1680</v>
      </c>
      <c r="D351" s="642"/>
      <c r="E351" s="642"/>
      <c r="F351" s="642"/>
      <c r="G351" s="642"/>
      <c r="H351" s="642"/>
      <c r="I351" s="642"/>
      <c r="J351" s="642"/>
      <c r="K351" s="642"/>
      <c r="L351" s="642" t="s">
        <v>259</v>
      </c>
      <c r="M351" s="643" t="n">
        <v>500</v>
      </c>
      <c r="N351" s="644" t="e">
        <f aca="false">VLOOKUP(A351,'[1]2023.10 CPU´s'!U$1:AF$1048576,11,FALSE())</f>
        <v>#N/A</v>
      </c>
      <c r="O351" s="645" t="e">
        <f aca="false">(N351/M351)-1</f>
        <v>#N/A</v>
      </c>
    </row>
    <row r="352" customFormat="false" ht="12.75" hidden="false" customHeight="true" outlineLevel="0" collapsed="false">
      <c r="A352" s="636" t="s">
        <v>1681</v>
      </c>
      <c r="B352" s="637" t="s">
        <v>1018</v>
      </c>
      <c r="C352" s="637" t="s">
        <v>1682</v>
      </c>
      <c r="D352" s="637"/>
      <c r="E352" s="637"/>
      <c r="F352" s="637"/>
      <c r="G352" s="637"/>
      <c r="H352" s="637"/>
      <c r="I352" s="637"/>
      <c r="J352" s="637"/>
      <c r="K352" s="637"/>
      <c r="L352" s="638"/>
      <c r="M352" s="638"/>
      <c r="N352" s="639"/>
      <c r="O352" s="640"/>
    </row>
    <row r="353" customFormat="false" ht="12.75" hidden="false" customHeight="true" outlineLevel="0" collapsed="false">
      <c r="A353" s="641" t="s">
        <v>1683</v>
      </c>
      <c r="B353" s="642" t="s">
        <v>1018</v>
      </c>
      <c r="C353" s="642" t="s">
        <v>1684</v>
      </c>
      <c r="D353" s="642"/>
      <c r="E353" s="642"/>
      <c r="F353" s="642"/>
      <c r="G353" s="642"/>
      <c r="H353" s="642"/>
      <c r="I353" s="642"/>
      <c r="J353" s="642"/>
      <c r="K353" s="642"/>
      <c r="L353" s="642" t="s">
        <v>259</v>
      </c>
      <c r="M353" s="643" t="n">
        <v>500</v>
      </c>
      <c r="N353" s="644" t="e">
        <f aca="false">VLOOKUP(A353,'[1]2023.10 CPU´s'!U$1:AF$1048576,11,FALSE())</f>
        <v>#N/A</v>
      </c>
      <c r="O353" s="645" t="e">
        <f aca="false">(N353/M353)-1</f>
        <v>#N/A</v>
      </c>
    </row>
    <row r="354" customFormat="false" ht="12.75" hidden="false" customHeight="true" outlineLevel="0" collapsed="false">
      <c r="A354" s="641" t="s">
        <v>1685</v>
      </c>
      <c r="B354" s="642" t="s">
        <v>1018</v>
      </c>
      <c r="C354" s="642" t="s">
        <v>1686</v>
      </c>
      <c r="D354" s="642"/>
      <c r="E354" s="642"/>
      <c r="F354" s="642"/>
      <c r="G354" s="642"/>
      <c r="H354" s="642"/>
      <c r="I354" s="642"/>
      <c r="J354" s="642"/>
      <c r="K354" s="642"/>
      <c r="L354" s="642" t="s">
        <v>259</v>
      </c>
      <c r="M354" s="643" t="n">
        <v>500</v>
      </c>
      <c r="N354" s="644" t="e">
        <f aca="false">VLOOKUP(A354,'[1]2023.10 CPU´s'!U$1:AF$1048576,11,FALSE())</f>
        <v>#N/A</v>
      </c>
      <c r="O354" s="645" t="e">
        <f aca="false">(N354/M354)-1</f>
        <v>#N/A</v>
      </c>
    </row>
  </sheetData>
  <mergeCells count="354">
    <mergeCell ref="C1:K1"/>
    <mergeCell ref="C2:K2"/>
    <mergeCell ref="C3:K3"/>
    <mergeCell ref="C4:K4"/>
    <mergeCell ref="C5:K5"/>
    <mergeCell ref="C6:K6"/>
    <mergeCell ref="C7:K7"/>
    <mergeCell ref="C8:K8"/>
    <mergeCell ref="C9:K9"/>
    <mergeCell ref="C10:K10"/>
    <mergeCell ref="C11:K11"/>
    <mergeCell ref="C12:K12"/>
    <mergeCell ref="C13:K13"/>
    <mergeCell ref="C14:K14"/>
    <mergeCell ref="C15:K15"/>
    <mergeCell ref="C16:K16"/>
    <mergeCell ref="C17:K17"/>
    <mergeCell ref="C18:K18"/>
    <mergeCell ref="C19:K19"/>
    <mergeCell ref="C20:K20"/>
    <mergeCell ref="C21:K21"/>
    <mergeCell ref="C22:K22"/>
    <mergeCell ref="C23:K23"/>
    <mergeCell ref="C24:K24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C41:K41"/>
    <mergeCell ref="C42:K42"/>
    <mergeCell ref="C43:K43"/>
    <mergeCell ref="C44:K44"/>
    <mergeCell ref="C45:K45"/>
    <mergeCell ref="C46:K46"/>
    <mergeCell ref="C47:K47"/>
    <mergeCell ref="C48:K48"/>
    <mergeCell ref="C49:K49"/>
    <mergeCell ref="C50:K50"/>
    <mergeCell ref="C51:K51"/>
    <mergeCell ref="C52:K52"/>
    <mergeCell ref="C53:K53"/>
    <mergeCell ref="C54:K54"/>
    <mergeCell ref="C55:K55"/>
    <mergeCell ref="C56:K56"/>
    <mergeCell ref="C57:K57"/>
    <mergeCell ref="C58:K58"/>
    <mergeCell ref="C59:K59"/>
    <mergeCell ref="C60:K60"/>
    <mergeCell ref="C61:K61"/>
    <mergeCell ref="C62:K62"/>
    <mergeCell ref="C63:K63"/>
    <mergeCell ref="C64:K64"/>
    <mergeCell ref="C65:K65"/>
    <mergeCell ref="C66:K66"/>
    <mergeCell ref="C67:K67"/>
    <mergeCell ref="C68:K68"/>
    <mergeCell ref="C69:K69"/>
    <mergeCell ref="C70:K70"/>
    <mergeCell ref="C71:K71"/>
    <mergeCell ref="C72:K72"/>
    <mergeCell ref="C73:K73"/>
    <mergeCell ref="C74:K74"/>
    <mergeCell ref="C75:K75"/>
    <mergeCell ref="C76:K76"/>
    <mergeCell ref="C77:K77"/>
    <mergeCell ref="C78:K78"/>
    <mergeCell ref="C79:K79"/>
    <mergeCell ref="C80:K80"/>
    <mergeCell ref="C81:K81"/>
    <mergeCell ref="C82:K82"/>
    <mergeCell ref="C83:K83"/>
    <mergeCell ref="C84:K84"/>
    <mergeCell ref="C85:K85"/>
    <mergeCell ref="C86:K86"/>
    <mergeCell ref="C87:K87"/>
    <mergeCell ref="C88:K88"/>
    <mergeCell ref="C89:K89"/>
    <mergeCell ref="C90:K90"/>
    <mergeCell ref="C91:K91"/>
    <mergeCell ref="C92:K92"/>
    <mergeCell ref="C93:K93"/>
    <mergeCell ref="C94:K94"/>
    <mergeCell ref="C95:K95"/>
    <mergeCell ref="C96:K96"/>
    <mergeCell ref="C97:K97"/>
    <mergeCell ref="C98:K98"/>
    <mergeCell ref="C99:K99"/>
    <mergeCell ref="C100:K100"/>
    <mergeCell ref="C101:K101"/>
    <mergeCell ref="C102:K102"/>
    <mergeCell ref="C103:K103"/>
    <mergeCell ref="C104:K104"/>
    <mergeCell ref="C105:K105"/>
    <mergeCell ref="C106:K106"/>
    <mergeCell ref="C107:K107"/>
    <mergeCell ref="C108:K108"/>
    <mergeCell ref="C109:K109"/>
    <mergeCell ref="C110:K110"/>
    <mergeCell ref="C111:K111"/>
    <mergeCell ref="C112:K112"/>
    <mergeCell ref="C113:K113"/>
    <mergeCell ref="C114:K114"/>
    <mergeCell ref="C115:K115"/>
    <mergeCell ref="C116:K116"/>
    <mergeCell ref="C117:K117"/>
    <mergeCell ref="C118:K118"/>
    <mergeCell ref="C119:K119"/>
    <mergeCell ref="C120:K120"/>
    <mergeCell ref="C121:K121"/>
    <mergeCell ref="C122:K122"/>
    <mergeCell ref="C123:K123"/>
    <mergeCell ref="C124:K124"/>
    <mergeCell ref="C125:K125"/>
    <mergeCell ref="C126:K126"/>
    <mergeCell ref="C127:K127"/>
    <mergeCell ref="C128:K128"/>
    <mergeCell ref="C129:K129"/>
    <mergeCell ref="C130:K130"/>
    <mergeCell ref="C131:K131"/>
    <mergeCell ref="C132:K132"/>
    <mergeCell ref="C133:K133"/>
    <mergeCell ref="C134:K134"/>
    <mergeCell ref="C135:K135"/>
    <mergeCell ref="C136:K136"/>
    <mergeCell ref="C137:K137"/>
    <mergeCell ref="C138:K138"/>
    <mergeCell ref="C139:K139"/>
    <mergeCell ref="C140:K140"/>
    <mergeCell ref="C141:K141"/>
    <mergeCell ref="C142:K142"/>
    <mergeCell ref="C143:K143"/>
    <mergeCell ref="C144:K144"/>
    <mergeCell ref="C145:K145"/>
    <mergeCell ref="C146:K146"/>
    <mergeCell ref="C147:K147"/>
    <mergeCell ref="C148:K148"/>
    <mergeCell ref="C149:K149"/>
    <mergeCell ref="C150:K150"/>
    <mergeCell ref="C151:K151"/>
    <mergeCell ref="C152:K152"/>
    <mergeCell ref="C153:K153"/>
    <mergeCell ref="C154:K154"/>
    <mergeCell ref="C155:K155"/>
    <mergeCell ref="C156:K156"/>
    <mergeCell ref="C157:K157"/>
    <mergeCell ref="C158:K158"/>
    <mergeCell ref="C159:K159"/>
    <mergeCell ref="C160:K160"/>
    <mergeCell ref="C161:K161"/>
    <mergeCell ref="C162:K162"/>
    <mergeCell ref="C163:K163"/>
    <mergeCell ref="C164:K164"/>
    <mergeCell ref="C165:K165"/>
    <mergeCell ref="C166:K166"/>
    <mergeCell ref="C167:K167"/>
    <mergeCell ref="C168:K168"/>
    <mergeCell ref="C169:K169"/>
    <mergeCell ref="C170:K170"/>
    <mergeCell ref="C171:K171"/>
    <mergeCell ref="C172:K172"/>
    <mergeCell ref="C173:K173"/>
    <mergeCell ref="C174:K174"/>
    <mergeCell ref="C175:K175"/>
    <mergeCell ref="C176:K176"/>
    <mergeCell ref="C177:K177"/>
    <mergeCell ref="C178:K178"/>
    <mergeCell ref="C179:K179"/>
    <mergeCell ref="C180:K180"/>
    <mergeCell ref="C181:K181"/>
    <mergeCell ref="C182:K182"/>
    <mergeCell ref="C183:K183"/>
    <mergeCell ref="C184:K184"/>
    <mergeCell ref="C185:K185"/>
    <mergeCell ref="C186:K186"/>
    <mergeCell ref="C187:K187"/>
    <mergeCell ref="C188:K188"/>
    <mergeCell ref="C189:K189"/>
    <mergeCell ref="C190:K190"/>
    <mergeCell ref="C191:K191"/>
    <mergeCell ref="C192:K192"/>
    <mergeCell ref="C193:K193"/>
    <mergeCell ref="C194:K194"/>
    <mergeCell ref="C195:K195"/>
    <mergeCell ref="C196:K196"/>
    <mergeCell ref="C197:K197"/>
    <mergeCell ref="C198:K198"/>
    <mergeCell ref="C199:K199"/>
    <mergeCell ref="C200:K200"/>
    <mergeCell ref="C201:K201"/>
    <mergeCell ref="C202:K202"/>
    <mergeCell ref="C203:K203"/>
    <mergeCell ref="C204:K204"/>
    <mergeCell ref="C205:K205"/>
    <mergeCell ref="C206:K206"/>
    <mergeCell ref="C207:K207"/>
    <mergeCell ref="C208:K208"/>
    <mergeCell ref="C209:K209"/>
    <mergeCell ref="C210:K210"/>
    <mergeCell ref="C211:K211"/>
    <mergeCell ref="C212:K212"/>
    <mergeCell ref="C213:K213"/>
    <mergeCell ref="C214:K214"/>
    <mergeCell ref="C215:K215"/>
    <mergeCell ref="C216:K216"/>
    <mergeCell ref="C217:K217"/>
    <mergeCell ref="C218:K218"/>
    <mergeCell ref="C219:K219"/>
    <mergeCell ref="C220:K220"/>
    <mergeCell ref="C221:K221"/>
    <mergeCell ref="C222:K222"/>
    <mergeCell ref="C223:K223"/>
    <mergeCell ref="C224:K224"/>
    <mergeCell ref="C225:K225"/>
    <mergeCell ref="C226:K226"/>
    <mergeCell ref="C227:K227"/>
    <mergeCell ref="C228:K228"/>
    <mergeCell ref="C229:K229"/>
    <mergeCell ref="C230:K230"/>
    <mergeCell ref="C231:K231"/>
    <mergeCell ref="C232:K232"/>
    <mergeCell ref="C233:K233"/>
    <mergeCell ref="C234:K234"/>
    <mergeCell ref="C235:K235"/>
    <mergeCell ref="C236:K236"/>
    <mergeCell ref="C237:K237"/>
    <mergeCell ref="C238:K238"/>
    <mergeCell ref="C239:K239"/>
    <mergeCell ref="C240:K240"/>
    <mergeCell ref="C241:K241"/>
    <mergeCell ref="C242:K242"/>
    <mergeCell ref="C243:K243"/>
    <mergeCell ref="C244:K244"/>
    <mergeCell ref="C245:K245"/>
    <mergeCell ref="C246:K246"/>
    <mergeCell ref="C247:K247"/>
    <mergeCell ref="C248:K248"/>
    <mergeCell ref="C249:K249"/>
    <mergeCell ref="C250:K250"/>
    <mergeCell ref="C251:K251"/>
    <mergeCell ref="C252:K252"/>
    <mergeCell ref="C253:K253"/>
    <mergeCell ref="C254:K254"/>
    <mergeCell ref="C255:K255"/>
    <mergeCell ref="C256:K256"/>
    <mergeCell ref="C257:K257"/>
    <mergeCell ref="C258:K258"/>
    <mergeCell ref="C259:K259"/>
    <mergeCell ref="C260:K260"/>
    <mergeCell ref="C261:K261"/>
    <mergeCell ref="C262:K262"/>
    <mergeCell ref="C263:K263"/>
    <mergeCell ref="C264:K264"/>
    <mergeCell ref="C265:K265"/>
    <mergeCell ref="C266:K266"/>
    <mergeCell ref="C267:K267"/>
    <mergeCell ref="C268:K268"/>
    <mergeCell ref="C269:K269"/>
    <mergeCell ref="C270:K270"/>
    <mergeCell ref="C271:K271"/>
    <mergeCell ref="C272:K272"/>
    <mergeCell ref="C273:K273"/>
    <mergeCell ref="C274:K274"/>
    <mergeCell ref="C275:K275"/>
    <mergeCell ref="C276:K276"/>
    <mergeCell ref="C277:K277"/>
    <mergeCell ref="C278:K278"/>
    <mergeCell ref="C279:K279"/>
    <mergeCell ref="C280:K280"/>
    <mergeCell ref="C281:K281"/>
    <mergeCell ref="C282:K282"/>
    <mergeCell ref="C283:K283"/>
    <mergeCell ref="C284:K284"/>
    <mergeCell ref="C285:K285"/>
    <mergeCell ref="C286:K286"/>
    <mergeCell ref="C287:K287"/>
    <mergeCell ref="C288:K288"/>
    <mergeCell ref="C289:K289"/>
    <mergeCell ref="C290:K290"/>
    <mergeCell ref="C291:K291"/>
    <mergeCell ref="C292:K292"/>
    <mergeCell ref="C293:K293"/>
    <mergeCell ref="C294:K294"/>
    <mergeCell ref="C295:K295"/>
    <mergeCell ref="C296:K296"/>
    <mergeCell ref="C297:K297"/>
    <mergeCell ref="C298:K298"/>
    <mergeCell ref="C299:K299"/>
    <mergeCell ref="C300:K300"/>
    <mergeCell ref="C301:K301"/>
    <mergeCell ref="C302:K302"/>
    <mergeCell ref="C303:K303"/>
    <mergeCell ref="C304:K304"/>
    <mergeCell ref="C305:K305"/>
    <mergeCell ref="C306:K306"/>
    <mergeCell ref="C307:K307"/>
    <mergeCell ref="C308:K308"/>
    <mergeCell ref="C309:K309"/>
    <mergeCell ref="C310:K310"/>
    <mergeCell ref="C311:K311"/>
    <mergeCell ref="C312:K312"/>
    <mergeCell ref="C313:K313"/>
    <mergeCell ref="C314:K314"/>
    <mergeCell ref="C315:K315"/>
    <mergeCell ref="C316:K316"/>
    <mergeCell ref="C317:K317"/>
    <mergeCell ref="C318:K318"/>
    <mergeCell ref="C319:K319"/>
    <mergeCell ref="C320:K320"/>
    <mergeCell ref="C321:K321"/>
    <mergeCell ref="C322:K322"/>
    <mergeCell ref="C323:K323"/>
    <mergeCell ref="C324:K324"/>
    <mergeCell ref="C325:K325"/>
    <mergeCell ref="C326:K326"/>
    <mergeCell ref="C327:K327"/>
    <mergeCell ref="C328:K328"/>
    <mergeCell ref="C329:K329"/>
    <mergeCell ref="C330:K330"/>
    <mergeCell ref="C331:K331"/>
    <mergeCell ref="C332:K332"/>
    <mergeCell ref="C333:K333"/>
    <mergeCell ref="C334:K334"/>
    <mergeCell ref="C335:K335"/>
    <mergeCell ref="C336:K336"/>
    <mergeCell ref="C337:K337"/>
    <mergeCell ref="C338:K338"/>
    <mergeCell ref="C339:K339"/>
    <mergeCell ref="C340:K340"/>
    <mergeCell ref="C341:K341"/>
    <mergeCell ref="C342:K342"/>
    <mergeCell ref="C343:K343"/>
    <mergeCell ref="C344:K344"/>
    <mergeCell ref="C345:K345"/>
    <mergeCell ref="C346:K346"/>
    <mergeCell ref="C347:K347"/>
    <mergeCell ref="C348:K348"/>
    <mergeCell ref="C349:K349"/>
    <mergeCell ref="C350:K350"/>
    <mergeCell ref="C351:K351"/>
    <mergeCell ref="C352:K352"/>
    <mergeCell ref="C353:K353"/>
    <mergeCell ref="C354:K35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45"/>
  <sheetViews>
    <sheetView showFormulas="false" showGridLines="true" showRowColHeaders="true" showZeros="true" rightToLeft="false" tabSelected="false" showOutlineSymbols="true" defaultGridColor="true" view="normal" topLeftCell="A126" colorId="64" zoomScale="80" zoomScaleNormal="80" zoomScalePageLayoutView="100" workbookViewId="0">
      <selection pane="topLeft" activeCell="A137" activeCellId="0" sqref="A137"/>
    </sheetView>
  </sheetViews>
  <sheetFormatPr defaultColWidth="11.70703125" defaultRowHeight="12.8" zeroHeight="false" outlineLevelRow="0" outlineLevelCol="0"/>
  <cols>
    <col collapsed="false" customWidth="true" hidden="false" outlineLevel="0" max="2" min="2" style="0" width="95.58"/>
  </cols>
  <sheetData>
    <row r="1" customFormat="false" ht="12.8" hidden="false" customHeight="false" outlineLevel="0" collapsed="false">
      <c r="A1" s="646" t="s">
        <v>1687</v>
      </c>
      <c r="B1" s="646"/>
      <c r="C1" s="646"/>
      <c r="D1" s="646"/>
      <c r="E1" s="646"/>
      <c r="F1" s="646"/>
      <c r="G1" s="646"/>
      <c r="H1" s="646"/>
      <c r="I1" s="646"/>
    </row>
    <row r="2" customFormat="false" ht="12.8" hidden="false" customHeight="false" outlineLevel="0" collapsed="false">
      <c r="A2" s="647" t="s">
        <v>23</v>
      </c>
      <c r="B2" s="648" t="s">
        <v>1012</v>
      </c>
      <c r="C2" s="647" t="s">
        <v>490</v>
      </c>
      <c r="D2" s="647" t="s">
        <v>109</v>
      </c>
    </row>
    <row r="3" customFormat="false" ht="12.8" hidden="false" customHeight="false" outlineLevel="0" collapsed="false">
      <c r="A3" s="649" t="s">
        <v>1688</v>
      </c>
      <c r="B3" s="649" t="s">
        <v>1689</v>
      </c>
      <c r="C3" s="648" t="s">
        <v>250</v>
      </c>
      <c r="D3" s="650" t="n">
        <v>3.25</v>
      </c>
    </row>
    <row r="4" customFormat="false" ht="12.8" hidden="false" customHeight="false" outlineLevel="0" collapsed="false">
      <c r="A4" s="649" t="s">
        <v>1690</v>
      </c>
      <c r="B4" s="649" t="s">
        <v>1691</v>
      </c>
      <c r="C4" s="648" t="s">
        <v>250</v>
      </c>
      <c r="D4" s="650" t="n">
        <v>0.71</v>
      </c>
    </row>
    <row r="5" customFormat="false" ht="12.8" hidden="false" customHeight="false" outlineLevel="0" collapsed="false">
      <c r="A5" s="649" t="s">
        <v>1692</v>
      </c>
      <c r="B5" s="649" t="s">
        <v>1693</v>
      </c>
      <c r="C5" s="648" t="s">
        <v>250</v>
      </c>
      <c r="D5" s="650" t="n">
        <v>221.3</v>
      </c>
    </row>
    <row r="6" customFormat="false" ht="12.8" hidden="false" customHeight="false" outlineLevel="0" collapsed="false">
      <c r="A6" s="649" t="s">
        <v>1694</v>
      </c>
      <c r="B6" s="649" t="s">
        <v>1695</v>
      </c>
      <c r="C6" s="648" t="s">
        <v>250</v>
      </c>
      <c r="D6" s="650" t="n">
        <v>100.3</v>
      </c>
    </row>
    <row r="7" customFormat="false" ht="12.8" hidden="false" customHeight="false" outlineLevel="0" collapsed="false">
      <c r="A7" s="649" t="s">
        <v>1696</v>
      </c>
      <c r="B7" s="649" t="s">
        <v>1697</v>
      </c>
      <c r="C7" s="648" t="s">
        <v>250</v>
      </c>
      <c r="D7" s="650" t="n">
        <v>0.24</v>
      </c>
    </row>
    <row r="8" customFormat="false" ht="12.8" hidden="false" customHeight="false" outlineLevel="0" collapsed="false">
      <c r="A8" s="651" t="s">
        <v>1698</v>
      </c>
      <c r="B8" s="651" t="s">
        <v>1699</v>
      </c>
      <c r="C8" s="652" t="s">
        <v>250</v>
      </c>
      <c r="D8" s="653" t="n">
        <v>1.21</v>
      </c>
    </row>
    <row r="9" customFormat="false" ht="12.8" hidden="false" customHeight="false" outlineLevel="0" collapsed="false">
      <c r="A9" s="651" t="s">
        <v>1700</v>
      </c>
      <c r="B9" s="651" t="s">
        <v>1701</v>
      </c>
      <c r="C9" s="652" t="s">
        <v>250</v>
      </c>
      <c r="D9" s="653" t="n">
        <v>1.05</v>
      </c>
    </row>
    <row r="10" customFormat="false" ht="12.8" hidden="false" customHeight="false" outlineLevel="0" collapsed="false">
      <c r="A10" s="649" t="s">
        <v>1702</v>
      </c>
      <c r="B10" s="649" t="s">
        <v>1703</v>
      </c>
      <c r="C10" s="648" t="s">
        <v>459</v>
      </c>
      <c r="D10" s="650" t="n">
        <v>4060</v>
      </c>
    </row>
    <row r="11" customFormat="false" ht="12.8" hidden="false" customHeight="false" outlineLevel="0" collapsed="false">
      <c r="A11" s="649" t="s">
        <v>1704</v>
      </c>
      <c r="B11" s="649" t="s">
        <v>1705</v>
      </c>
      <c r="C11" s="648" t="s">
        <v>459</v>
      </c>
      <c r="D11" s="650" t="n">
        <v>2108.23</v>
      </c>
    </row>
    <row r="12" customFormat="false" ht="12.8" hidden="false" customHeight="false" outlineLevel="0" collapsed="false">
      <c r="A12" s="649" t="s">
        <v>1706</v>
      </c>
      <c r="B12" s="649" t="s">
        <v>1707</v>
      </c>
      <c r="C12" s="648" t="s">
        <v>250</v>
      </c>
      <c r="D12" s="650" t="n">
        <v>20.16</v>
      </c>
    </row>
    <row r="13" customFormat="false" ht="12.8" hidden="false" customHeight="false" outlineLevel="0" collapsed="false">
      <c r="A13" s="649" t="s">
        <v>1708</v>
      </c>
      <c r="B13" s="649" t="s">
        <v>1709</v>
      </c>
      <c r="C13" s="648" t="s">
        <v>250</v>
      </c>
      <c r="D13" s="650" t="n">
        <v>23.64</v>
      </c>
    </row>
    <row r="14" customFormat="false" ht="12.8" hidden="false" customHeight="false" outlineLevel="0" collapsed="false">
      <c r="A14" s="649" t="s">
        <v>1710</v>
      </c>
      <c r="B14" s="649" t="s">
        <v>1711</v>
      </c>
      <c r="C14" s="648" t="s">
        <v>250</v>
      </c>
      <c r="D14" s="650" t="n">
        <v>16.83</v>
      </c>
    </row>
    <row r="15" customFormat="false" ht="12.8" hidden="false" customHeight="false" outlineLevel="0" collapsed="false">
      <c r="A15" s="649" t="s">
        <v>1712</v>
      </c>
      <c r="B15" s="649" t="s">
        <v>1713</v>
      </c>
      <c r="C15" s="648" t="s">
        <v>250</v>
      </c>
      <c r="D15" s="650" t="n">
        <v>24.04</v>
      </c>
    </row>
    <row r="16" customFormat="false" ht="12.8" hidden="false" customHeight="false" outlineLevel="0" collapsed="false">
      <c r="A16" s="649" t="s">
        <v>1714</v>
      </c>
      <c r="B16" s="649" t="s">
        <v>1715</v>
      </c>
      <c r="C16" s="648" t="s">
        <v>250</v>
      </c>
      <c r="D16" s="650" t="n">
        <v>24.04</v>
      </c>
    </row>
    <row r="17" customFormat="false" ht="12.8" hidden="false" customHeight="false" outlineLevel="0" collapsed="false">
      <c r="A17" s="649" t="s">
        <v>1716</v>
      </c>
      <c r="B17" s="649" t="s">
        <v>1152</v>
      </c>
      <c r="C17" s="648" t="s">
        <v>250</v>
      </c>
      <c r="D17" s="650" t="n">
        <v>16.84</v>
      </c>
    </row>
    <row r="18" customFormat="false" ht="12.8" hidden="false" customHeight="false" outlineLevel="0" collapsed="false">
      <c r="A18" s="649" t="s">
        <v>1717</v>
      </c>
      <c r="B18" s="649" t="s">
        <v>1718</v>
      </c>
      <c r="C18" s="648" t="s">
        <v>250</v>
      </c>
      <c r="D18" s="650" t="n">
        <v>20.58</v>
      </c>
    </row>
    <row r="19" customFormat="false" ht="12.8" hidden="false" customHeight="false" outlineLevel="0" collapsed="false">
      <c r="A19" s="649" t="s">
        <v>1719</v>
      </c>
      <c r="B19" s="649" t="s">
        <v>1128</v>
      </c>
      <c r="C19" s="648" t="s">
        <v>250</v>
      </c>
      <c r="D19" s="650" t="n">
        <v>38.9</v>
      </c>
    </row>
    <row r="20" customFormat="false" ht="12.8" hidden="false" customHeight="false" outlineLevel="0" collapsed="false">
      <c r="A20" s="649" t="s">
        <v>1720</v>
      </c>
      <c r="B20" s="649" t="s">
        <v>1721</v>
      </c>
      <c r="C20" s="648" t="s">
        <v>459</v>
      </c>
      <c r="D20" s="650" t="n">
        <v>20576.39</v>
      </c>
    </row>
    <row r="21" customFormat="false" ht="12.8" hidden="false" customHeight="false" outlineLevel="0" collapsed="false">
      <c r="A21" s="649" t="s">
        <v>1722</v>
      </c>
      <c r="B21" s="649" t="s">
        <v>1723</v>
      </c>
      <c r="C21" s="648" t="s">
        <v>250</v>
      </c>
      <c r="D21" s="650" t="n">
        <v>189.1</v>
      </c>
    </row>
    <row r="22" customFormat="false" ht="12.8" hidden="false" customHeight="false" outlineLevel="0" collapsed="false">
      <c r="A22" s="649" t="s">
        <v>1724</v>
      </c>
      <c r="B22" s="649" t="s">
        <v>1725</v>
      </c>
      <c r="C22" s="648" t="s">
        <v>250</v>
      </c>
      <c r="D22" s="650" t="n">
        <v>172.92</v>
      </c>
    </row>
    <row r="23" customFormat="false" ht="12.8" hidden="false" customHeight="false" outlineLevel="0" collapsed="false">
      <c r="A23" s="649" t="s">
        <v>1726</v>
      </c>
      <c r="B23" s="649" t="s">
        <v>1727</v>
      </c>
      <c r="C23" s="648" t="s">
        <v>250</v>
      </c>
      <c r="D23" s="650" t="n">
        <v>156.74</v>
      </c>
    </row>
    <row r="24" customFormat="false" ht="12.8" hidden="false" customHeight="false" outlineLevel="0" collapsed="false">
      <c r="A24" s="649" t="s">
        <v>1728</v>
      </c>
      <c r="B24" s="649" t="s">
        <v>1729</v>
      </c>
      <c r="C24" s="648" t="s">
        <v>250</v>
      </c>
      <c r="D24" s="650" t="n">
        <v>140.57</v>
      </c>
    </row>
    <row r="25" customFormat="false" ht="12.8" hidden="false" customHeight="false" outlineLevel="0" collapsed="false">
      <c r="A25" s="649" t="s">
        <v>1730</v>
      </c>
      <c r="B25" s="649" t="s">
        <v>1731</v>
      </c>
      <c r="C25" s="648" t="s">
        <v>250</v>
      </c>
      <c r="D25" s="650" t="n">
        <v>124.39</v>
      </c>
    </row>
    <row r="26" customFormat="false" ht="12.8" hidden="false" customHeight="false" outlineLevel="0" collapsed="false">
      <c r="A26" s="649" t="s">
        <v>1732</v>
      </c>
      <c r="B26" s="649" t="s">
        <v>1733</v>
      </c>
      <c r="C26" s="648" t="s">
        <v>250</v>
      </c>
      <c r="D26" s="650" t="n">
        <v>111.52</v>
      </c>
    </row>
    <row r="27" customFormat="false" ht="12.8" hidden="false" customHeight="false" outlineLevel="0" collapsed="false">
      <c r="A27" s="649" t="s">
        <v>1734</v>
      </c>
      <c r="B27" s="649" t="s">
        <v>1735</v>
      </c>
      <c r="C27" s="648" t="s">
        <v>250</v>
      </c>
      <c r="D27" s="650" t="n">
        <v>79.67</v>
      </c>
    </row>
    <row r="28" customFormat="false" ht="12.8" hidden="false" customHeight="false" outlineLevel="0" collapsed="false">
      <c r="A28" s="649" t="s">
        <v>1736</v>
      </c>
      <c r="B28" s="649" t="s">
        <v>1737</v>
      </c>
      <c r="C28" s="648" t="s">
        <v>250</v>
      </c>
      <c r="D28" s="650" t="n">
        <v>189.1</v>
      </c>
    </row>
    <row r="29" customFormat="false" ht="12.8" hidden="false" customHeight="false" outlineLevel="0" collapsed="false">
      <c r="A29" s="649" t="s">
        <v>1738</v>
      </c>
      <c r="B29" s="649" t="s">
        <v>1739</v>
      </c>
      <c r="C29" s="648" t="s">
        <v>250</v>
      </c>
      <c r="D29" s="650" t="n">
        <v>172.92</v>
      </c>
    </row>
    <row r="30" customFormat="false" ht="12.8" hidden="false" customHeight="false" outlineLevel="0" collapsed="false">
      <c r="A30" s="649" t="s">
        <v>1740</v>
      </c>
      <c r="B30" s="649" t="s">
        <v>1741</v>
      </c>
      <c r="C30" s="648" t="s">
        <v>250</v>
      </c>
      <c r="D30" s="650" t="n">
        <v>156.74</v>
      </c>
    </row>
    <row r="31" customFormat="false" ht="12.8" hidden="false" customHeight="false" outlineLevel="0" collapsed="false">
      <c r="A31" s="649" t="s">
        <v>1742</v>
      </c>
      <c r="B31" s="649" t="s">
        <v>1743</v>
      </c>
      <c r="C31" s="648" t="s">
        <v>250</v>
      </c>
      <c r="D31" s="650" t="n">
        <v>140.57</v>
      </c>
    </row>
    <row r="32" customFormat="false" ht="12.8" hidden="false" customHeight="false" outlineLevel="0" collapsed="false">
      <c r="A32" s="649" t="s">
        <v>1744</v>
      </c>
      <c r="B32" s="649" t="s">
        <v>1745</v>
      </c>
      <c r="C32" s="648" t="s">
        <v>250</v>
      </c>
      <c r="D32" s="650" t="n">
        <v>124.39</v>
      </c>
    </row>
    <row r="33" customFormat="false" ht="12.8" hidden="false" customHeight="false" outlineLevel="0" collapsed="false">
      <c r="A33" s="649" t="s">
        <v>1746</v>
      </c>
      <c r="B33" s="649" t="s">
        <v>1747</v>
      </c>
      <c r="C33" s="648" t="s">
        <v>250</v>
      </c>
      <c r="D33" s="650" t="n">
        <v>111.52</v>
      </c>
    </row>
    <row r="34" customFormat="false" ht="12.8" hidden="false" customHeight="false" outlineLevel="0" collapsed="false">
      <c r="A34" s="649" t="s">
        <v>1748</v>
      </c>
      <c r="B34" s="649" t="s">
        <v>1749</v>
      </c>
      <c r="C34" s="648" t="s">
        <v>250</v>
      </c>
      <c r="D34" s="650" t="n">
        <v>79.67</v>
      </c>
    </row>
    <row r="35" customFormat="false" ht="12.8" hidden="false" customHeight="false" outlineLevel="0" collapsed="false">
      <c r="A35" s="649" t="s">
        <v>1750</v>
      </c>
      <c r="B35" s="649" t="s">
        <v>1049</v>
      </c>
      <c r="C35" s="648" t="s">
        <v>250</v>
      </c>
      <c r="D35" s="650" t="n">
        <v>54.13</v>
      </c>
    </row>
    <row r="36" customFormat="false" ht="12.8" hidden="false" customHeight="false" outlineLevel="0" collapsed="false">
      <c r="A36" s="649" t="s">
        <v>1751</v>
      </c>
      <c r="B36" s="649" t="s">
        <v>1051</v>
      </c>
      <c r="C36" s="648" t="s">
        <v>250</v>
      </c>
      <c r="D36" s="650" t="n">
        <v>82.06</v>
      </c>
    </row>
    <row r="37" customFormat="false" ht="12.8" hidden="false" customHeight="false" outlineLevel="0" collapsed="false">
      <c r="A37" s="649" t="s">
        <v>1752</v>
      </c>
      <c r="B37" s="649" t="s">
        <v>1053</v>
      </c>
      <c r="C37" s="648" t="s">
        <v>250</v>
      </c>
      <c r="D37" s="650" t="n">
        <v>9.39</v>
      </c>
    </row>
    <row r="38" customFormat="false" ht="12.8" hidden="false" customHeight="false" outlineLevel="0" collapsed="false">
      <c r="A38" s="649" t="s">
        <v>1753</v>
      </c>
      <c r="B38" s="649" t="s">
        <v>1754</v>
      </c>
      <c r="C38" s="648" t="s">
        <v>250</v>
      </c>
      <c r="D38" s="650" t="n">
        <v>25.28</v>
      </c>
    </row>
    <row r="39" customFormat="false" ht="12.8" hidden="false" customHeight="false" outlineLevel="0" collapsed="false">
      <c r="A39" s="649" t="s">
        <v>1755</v>
      </c>
      <c r="B39" s="649" t="s">
        <v>1756</v>
      </c>
      <c r="C39" s="648" t="s">
        <v>250</v>
      </c>
      <c r="D39" s="650" t="n">
        <v>23.23</v>
      </c>
    </row>
    <row r="40" customFormat="false" ht="12.8" hidden="false" customHeight="false" outlineLevel="0" collapsed="false">
      <c r="A40" s="649" t="s">
        <v>1757</v>
      </c>
      <c r="B40" s="649" t="s">
        <v>1758</v>
      </c>
      <c r="C40" s="648" t="s">
        <v>250</v>
      </c>
      <c r="D40" s="650" t="n">
        <v>35.75</v>
      </c>
    </row>
    <row r="41" customFormat="false" ht="12.8" hidden="false" customHeight="false" outlineLevel="0" collapsed="false">
      <c r="A41" s="649" t="s">
        <v>1759</v>
      </c>
      <c r="B41" s="649" t="s">
        <v>1760</v>
      </c>
      <c r="C41" s="648" t="s">
        <v>250</v>
      </c>
      <c r="D41" s="650" t="n">
        <v>32.05</v>
      </c>
    </row>
    <row r="42" customFormat="false" ht="12.8" hidden="false" customHeight="false" outlineLevel="0" collapsed="false">
      <c r="A42" s="649" t="s">
        <v>1761</v>
      </c>
      <c r="B42" s="649" t="s">
        <v>1762</v>
      </c>
      <c r="C42" s="648" t="s">
        <v>250</v>
      </c>
      <c r="D42" s="650" t="n">
        <v>28.74</v>
      </c>
    </row>
    <row r="43" customFormat="false" ht="12.8" hidden="false" customHeight="false" outlineLevel="0" collapsed="false">
      <c r="A43" s="649" t="s">
        <v>1763</v>
      </c>
      <c r="B43" s="649" t="s">
        <v>1764</v>
      </c>
      <c r="C43" s="648" t="s">
        <v>250</v>
      </c>
      <c r="D43" s="650" t="n">
        <v>35.75</v>
      </c>
    </row>
    <row r="44" customFormat="false" ht="12.8" hidden="false" customHeight="false" outlineLevel="0" collapsed="false">
      <c r="A44" s="649" t="s">
        <v>1765</v>
      </c>
      <c r="B44" s="649" t="s">
        <v>1766</v>
      </c>
      <c r="C44" s="648" t="s">
        <v>250</v>
      </c>
      <c r="D44" s="650" t="n">
        <v>35.75</v>
      </c>
    </row>
    <row r="45" customFormat="false" ht="12.8" hidden="false" customHeight="false" outlineLevel="0" collapsed="false">
      <c r="A45" s="649" t="s">
        <v>1767</v>
      </c>
      <c r="B45" s="649" t="s">
        <v>1768</v>
      </c>
      <c r="C45" s="648" t="s">
        <v>250</v>
      </c>
      <c r="D45" s="650" t="n">
        <v>32.05</v>
      </c>
    </row>
    <row r="46" customFormat="false" ht="12.8" hidden="false" customHeight="false" outlineLevel="0" collapsed="false">
      <c r="A46" s="649" t="s">
        <v>1769</v>
      </c>
      <c r="B46" s="649" t="s">
        <v>1770</v>
      </c>
      <c r="C46" s="648" t="s">
        <v>250</v>
      </c>
      <c r="D46" s="650" t="n">
        <v>28.74</v>
      </c>
    </row>
    <row r="47" customFormat="false" ht="12.8" hidden="false" customHeight="false" outlineLevel="0" collapsed="false">
      <c r="A47" s="649" t="s">
        <v>1771</v>
      </c>
      <c r="B47" s="649" t="s">
        <v>1772</v>
      </c>
      <c r="C47" s="648" t="s">
        <v>250</v>
      </c>
      <c r="D47" s="650" t="n">
        <v>32.05</v>
      </c>
    </row>
    <row r="48" customFormat="false" ht="12.8" hidden="false" customHeight="false" outlineLevel="0" collapsed="false">
      <c r="A48" s="649" t="s">
        <v>1773</v>
      </c>
      <c r="B48" s="649" t="s">
        <v>1774</v>
      </c>
      <c r="C48" s="648" t="s">
        <v>250</v>
      </c>
      <c r="D48" s="650" t="n">
        <v>28.74</v>
      </c>
    </row>
    <row r="49" customFormat="false" ht="12.8" hidden="false" customHeight="false" outlineLevel="0" collapsed="false">
      <c r="A49" s="649" t="s">
        <v>1775</v>
      </c>
      <c r="B49" s="649" t="s">
        <v>1776</v>
      </c>
      <c r="C49" s="648" t="s">
        <v>250</v>
      </c>
      <c r="D49" s="650" t="n">
        <v>20.39</v>
      </c>
    </row>
    <row r="50" customFormat="false" ht="12.8" hidden="false" customHeight="false" outlineLevel="0" collapsed="false">
      <c r="A50" s="649" t="s">
        <v>1777</v>
      </c>
      <c r="B50" s="649" t="s">
        <v>1778</v>
      </c>
      <c r="C50" s="648" t="s">
        <v>250</v>
      </c>
      <c r="D50" s="650" t="n">
        <v>24.89</v>
      </c>
    </row>
    <row r="51" customFormat="false" ht="12.8" hidden="false" customHeight="false" outlineLevel="0" collapsed="false">
      <c r="A51" s="649" t="s">
        <v>1779</v>
      </c>
      <c r="B51" s="649" t="s">
        <v>1780</v>
      </c>
      <c r="C51" s="648" t="s">
        <v>250</v>
      </c>
      <c r="D51" s="650" t="n">
        <v>22.64</v>
      </c>
    </row>
    <row r="52" customFormat="false" ht="12.8" hidden="false" customHeight="false" outlineLevel="0" collapsed="false">
      <c r="A52" s="649" t="s">
        <v>1781</v>
      </c>
      <c r="B52" s="649" t="s">
        <v>1782</v>
      </c>
      <c r="C52" s="648" t="s">
        <v>250</v>
      </c>
      <c r="D52" s="650" t="n">
        <v>20.39</v>
      </c>
    </row>
    <row r="53" customFormat="false" ht="12.8" hidden="false" customHeight="false" outlineLevel="0" collapsed="false">
      <c r="A53" s="649" t="s">
        <v>1783</v>
      </c>
      <c r="B53" s="649" t="s">
        <v>1784</v>
      </c>
      <c r="C53" s="648" t="s">
        <v>250</v>
      </c>
      <c r="D53" s="650" t="n">
        <v>33.69</v>
      </c>
    </row>
    <row r="54" customFormat="false" ht="12.8" hidden="false" customHeight="false" outlineLevel="0" collapsed="false">
      <c r="A54" s="649" t="s">
        <v>1785</v>
      </c>
      <c r="B54" s="649" t="s">
        <v>1786</v>
      </c>
      <c r="C54" s="648" t="s">
        <v>250</v>
      </c>
      <c r="D54" s="650" t="n">
        <v>157.2</v>
      </c>
    </row>
    <row r="55" customFormat="false" ht="12.8" hidden="false" customHeight="false" outlineLevel="0" collapsed="false">
      <c r="A55" s="649" t="s">
        <v>1787</v>
      </c>
      <c r="B55" s="649" t="s">
        <v>1788</v>
      </c>
      <c r="C55" s="648" t="s">
        <v>250</v>
      </c>
      <c r="D55" s="650" t="n">
        <v>142.5</v>
      </c>
    </row>
    <row r="56" customFormat="false" ht="12.8" hidden="false" customHeight="false" outlineLevel="0" collapsed="false">
      <c r="A56" s="649" t="s">
        <v>1789</v>
      </c>
      <c r="B56" s="649" t="s">
        <v>1790</v>
      </c>
      <c r="C56" s="648" t="s">
        <v>250</v>
      </c>
      <c r="D56" s="650" t="n">
        <v>127.79</v>
      </c>
    </row>
    <row r="57" customFormat="false" ht="12.8" hidden="false" customHeight="false" outlineLevel="0" collapsed="false">
      <c r="A57" s="649" t="s">
        <v>1791</v>
      </c>
      <c r="B57" s="649" t="s">
        <v>1792</v>
      </c>
      <c r="C57" s="648" t="s">
        <v>250</v>
      </c>
      <c r="D57" s="650" t="n">
        <v>113.08</v>
      </c>
    </row>
    <row r="58" customFormat="false" ht="12.8" hidden="false" customHeight="false" outlineLevel="0" collapsed="false">
      <c r="A58" s="649" t="s">
        <v>1793</v>
      </c>
      <c r="B58" s="649" t="s">
        <v>1794</v>
      </c>
      <c r="C58" s="648" t="s">
        <v>250</v>
      </c>
      <c r="D58" s="650" t="n">
        <v>101.38</v>
      </c>
    </row>
    <row r="59" customFormat="false" ht="12.8" hidden="false" customHeight="false" outlineLevel="0" collapsed="false">
      <c r="A59" s="649" t="s">
        <v>1795</v>
      </c>
      <c r="B59" s="649" t="s">
        <v>1796</v>
      </c>
      <c r="C59" s="648" t="s">
        <v>250</v>
      </c>
      <c r="D59" s="650" t="n">
        <v>72.43</v>
      </c>
    </row>
    <row r="60" customFormat="false" ht="12.8" hidden="false" customHeight="false" outlineLevel="0" collapsed="false">
      <c r="A60" s="649" t="s">
        <v>1797</v>
      </c>
      <c r="B60" s="649" t="s">
        <v>1798</v>
      </c>
      <c r="C60" s="648" t="s">
        <v>250</v>
      </c>
      <c r="D60" s="650" t="n">
        <v>157.2</v>
      </c>
    </row>
    <row r="61" customFormat="false" ht="12.8" hidden="false" customHeight="false" outlineLevel="0" collapsed="false">
      <c r="A61" s="649" t="s">
        <v>1799</v>
      </c>
      <c r="B61" s="649" t="s">
        <v>1800</v>
      </c>
      <c r="C61" s="648" t="s">
        <v>250</v>
      </c>
      <c r="D61" s="650" t="n">
        <v>142.5</v>
      </c>
    </row>
    <row r="62" customFormat="false" ht="12.8" hidden="false" customHeight="false" outlineLevel="0" collapsed="false">
      <c r="A62" s="649" t="s">
        <v>1801</v>
      </c>
      <c r="B62" s="649" t="s">
        <v>1802</v>
      </c>
      <c r="C62" s="648" t="s">
        <v>250</v>
      </c>
      <c r="D62" s="650" t="n">
        <v>127.79</v>
      </c>
    </row>
    <row r="63" customFormat="false" ht="12.8" hidden="false" customHeight="false" outlineLevel="0" collapsed="false">
      <c r="A63" s="649" t="s">
        <v>1803</v>
      </c>
      <c r="B63" s="649" t="s">
        <v>1804</v>
      </c>
      <c r="C63" s="648" t="s">
        <v>250</v>
      </c>
      <c r="D63" s="650" t="n">
        <v>113.08</v>
      </c>
    </row>
    <row r="64" customFormat="false" ht="12.8" hidden="false" customHeight="false" outlineLevel="0" collapsed="false">
      <c r="A64" s="649" t="s">
        <v>1805</v>
      </c>
      <c r="B64" s="649" t="s">
        <v>1806</v>
      </c>
      <c r="C64" s="648" t="s">
        <v>250</v>
      </c>
      <c r="D64" s="650" t="n">
        <v>101.38</v>
      </c>
    </row>
    <row r="65" customFormat="false" ht="12.8" hidden="false" customHeight="false" outlineLevel="0" collapsed="false">
      <c r="A65" s="649" t="s">
        <v>1807</v>
      </c>
      <c r="B65" s="649" t="s">
        <v>1808</v>
      </c>
      <c r="C65" s="648" t="s">
        <v>250</v>
      </c>
      <c r="D65" s="650" t="n">
        <v>72.43</v>
      </c>
    </row>
    <row r="66" customFormat="false" ht="12.8" hidden="false" customHeight="false" outlineLevel="0" collapsed="false">
      <c r="A66" s="649" t="s">
        <v>1809</v>
      </c>
      <c r="B66" s="649" t="s">
        <v>1810</v>
      </c>
      <c r="C66" s="648" t="s">
        <v>250</v>
      </c>
      <c r="D66" s="650" t="n">
        <v>22.98</v>
      </c>
    </row>
    <row r="67" customFormat="false" ht="12.8" hidden="false" customHeight="false" outlineLevel="0" collapsed="false">
      <c r="A67" s="649" t="s">
        <v>1811</v>
      </c>
      <c r="B67" s="649" t="s">
        <v>1812</v>
      </c>
      <c r="C67" s="648" t="s">
        <v>250</v>
      </c>
      <c r="D67" s="650" t="n">
        <v>21.12</v>
      </c>
    </row>
    <row r="68" customFormat="false" ht="12.8" hidden="false" customHeight="false" outlineLevel="0" collapsed="false">
      <c r="A68" s="649" t="s">
        <v>1813</v>
      </c>
      <c r="B68" s="649" t="s">
        <v>1814</v>
      </c>
      <c r="C68" s="648" t="s">
        <v>250</v>
      </c>
      <c r="D68" s="650" t="n">
        <v>32.5</v>
      </c>
    </row>
    <row r="69" customFormat="false" ht="12.8" hidden="false" customHeight="false" outlineLevel="0" collapsed="false">
      <c r="A69" s="649" t="s">
        <v>1815</v>
      </c>
      <c r="B69" s="649" t="s">
        <v>1816</v>
      </c>
      <c r="C69" s="648" t="s">
        <v>250</v>
      </c>
      <c r="D69" s="650" t="n">
        <v>29.14</v>
      </c>
    </row>
    <row r="70" customFormat="false" ht="12.8" hidden="false" customHeight="false" outlineLevel="0" collapsed="false">
      <c r="A70" s="649" t="s">
        <v>1817</v>
      </c>
      <c r="B70" s="649" t="s">
        <v>1818</v>
      </c>
      <c r="C70" s="648" t="s">
        <v>250</v>
      </c>
      <c r="D70" s="650" t="n">
        <v>26.12</v>
      </c>
    </row>
    <row r="71" customFormat="false" ht="12.8" hidden="false" customHeight="false" outlineLevel="0" collapsed="false">
      <c r="A71" s="649" t="s">
        <v>1819</v>
      </c>
      <c r="B71" s="649" t="s">
        <v>1820</v>
      </c>
      <c r="C71" s="648" t="s">
        <v>250</v>
      </c>
      <c r="D71" s="650" t="n">
        <v>29.14</v>
      </c>
    </row>
    <row r="72" customFormat="false" ht="12.8" hidden="false" customHeight="false" outlineLevel="0" collapsed="false">
      <c r="A72" s="649" t="s">
        <v>1821</v>
      </c>
      <c r="B72" s="649" t="s">
        <v>1822</v>
      </c>
      <c r="C72" s="648" t="s">
        <v>250</v>
      </c>
      <c r="D72" s="650" t="n">
        <v>26.12</v>
      </c>
    </row>
    <row r="73" customFormat="false" ht="12.8" hidden="false" customHeight="false" outlineLevel="0" collapsed="false">
      <c r="A73" s="649" t="s">
        <v>1823</v>
      </c>
      <c r="B73" s="649" t="s">
        <v>1824</v>
      </c>
      <c r="C73" s="648" t="s">
        <v>250</v>
      </c>
      <c r="D73" s="650" t="n">
        <v>18.53</v>
      </c>
    </row>
    <row r="74" customFormat="false" ht="12.8" hidden="false" customHeight="false" outlineLevel="0" collapsed="false">
      <c r="A74" s="649" t="s">
        <v>1825</v>
      </c>
      <c r="B74" s="649" t="s">
        <v>1826</v>
      </c>
      <c r="C74" s="648" t="s">
        <v>250</v>
      </c>
      <c r="D74" s="650" t="n">
        <v>32.95</v>
      </c>
    </row>
    <row r="75" customFormat="false" ht="12.8" hidden="false" customHeight="false" outlineLevel="0" collapsed="false">
      <c r="A75" s="649" t="s">
        <v>1827</v>
      </c>
      <c r="B75" s="649" t="s">
        <v>1828</v>
      </c>
      <c r="C75" s="648" t="s">
        <v>250</v>
      </c>
      <c r="D75" s="650" t="n">
        <v>29.71</v>
      </c>
    </row>
    <row r="76" customFormat="false" ht="12.8" hidden="false" customHeight="false" outlineLevel="0" collapsed="false">
      <c r="A76" s="649" t="s">
        <v>1829</v>
      </c>
      <c r="B76" s="649" t="s">
        <v>1830</v>
      </c>
      <c r="C76" s="648" t="s">
        <v>250</v>
      </c>
      <c r="D76" s="650" t="n">
        <v>26.47</v>
      </c>
    </row>
    <row r="77" customFormat="false" ht="12.8" hidden="false" customHeight="false" outlineLevel="0" collapsed="false">
      <c r="A77" s="649" t="s">
        <v>1831</v>
      </c>
      <c r="B77" s="649" t="s">
        <v>1832</v>
      </c>
      <c r="C77" s="648" t="s">
        <v>250</v>
      </c>
      <c r="D77" s="650" t="n">
        <v>26.12</v>
      </c>
    </row>
    <row r="78" customFormat="false" ht="12.8" hidden="false" customHeight="false" outlineLevel="0" collapsed="false">
      <c r="A78" s="649" t="s">
        <v>1833</v>
      </c>
      <c r="B78" s="649" t="s">
        <v>1834</v>
      </c>
      <c r="C78" s="648" t="s">
        <v>250</v>
      </c>
      <c r="D78" s="650" t="n">
        <v>18.53</v>
      </c>
    </row>
    <row r="79" customFormat="false" ht="12.8" hidden="false" customHeight="false" outlineLevel="0" collapsed="false">
      <c r="A79" s="649" t="s">
        <v>1835</v>
      </c>
      <c r="B79" s="649" t="s">
        <v>1836</v>
      </c>
      <c r="C79" s="648" t="s">
        <v>250</v>
      </c>
      <c r="D79" s="650" t="n">
        <v>16.8</v>
      </c>
    </row>
    <row r="80" customFormat="false" ht="12.8" hidden="false" customHeight="false" outlineLevel="0" collapsed="false">
      <c r="A80" s="649" t="s">
        <v>1837</v>
      </c>
      <c r="B80" s="649" t="s">
        <v>1838</v>
      </c>
      <c r="C80" s="648" t="s">
        <v>250</v>
      </c>
      <c r="D80" s="650" t="n">
        <v>32.5</v>
      </c>
    </row>
    <row r="81" customFormat="false" ht="12.8" hidden="false" customHeight="false" outlineLevel="0" collapsed="false">
      <c r="A81" s="649" t="s">
        <v>1839</v>
      </c>
      <c r="B81" s="649" t="s">
        <v>1840</v>
      </c>
      <c r="C81" s="648" t="s">
        <v>250</v>
      </c>
      <c r="D81" s="650" t="n">
        <v>26.12</v>
      </c>
    </row>
    <row r="82" customFormat="false" ht="12.8" hidden="false" customHeight="false" outlineLevel="0" collapsed="false">
      <c r="A82" s="649" t="s">
        <v>1841</v>
      </c>
      <c r="B82" s="649" t="s">
        <v>1842</v>
      </c>
      <c r="C82" s="648" t="s">
        <v>250</v>
      </c>
      <c r="D82" s="650" t="n">
        <v>18.53</v>
      </c>
    </row>
    <row r="83" customFormat="false" ht="12.8" hidden="false" customHeight="false" outlineLevel="0" collapsed="false">
      <c r="A83" s="649" t="s">
        <v>1843</v>
      </c>
      <c r="B83" s="649" t="s">
        <v>1844</v>
      </c>
      <c r="C83" s="648" t="s">
        <v>250</v>
      </c>
      <c r="D83" s="650" t="n">
        <v>24.68</v>
      </c>
    </row>
    <row r="84" customFormat="false" ht="12.8" hidden="false" customHeight="false" outlineLevel="0" collapsed="false">
      <c r="A84" s="649" t="s">
        <v>1845</v>
      </c>
      <c r="B84" s="649" t="s">
        <v>1846</v>
      </c>
      <c r="C84" s="648" t="s">
        <v>250</v>
      </c>
      <c r="D84" s="650" t="n">
        <v>16.8</v>
      </c>
    </row>
    <row r="85" customFormat="false" ht="12.8" hidden="false" customHeight="false" outlineLevel="0" collapsed="false">
      <c r="A85" s="649" t="s">
        <v>1847</v>
      </c>
      <c r="B85" s="649" t="s">
        <v>1848</v>
      </c>
      <c r="C85" s="648" t="s">
        <v>250</v>
      </c>
      <c r="D85" s="650" t="n">
        <v>16.8</v>
      </c>
    </row>
    <row r="86" customFormat="false" ht="12.8" hidden="false" customHeight="false" outlineLevel="0" collapsed="false">
      <c r="A86" s="649" t="s">
        <v>1849</v>
      </c>
      <c r="B86" s="649" t="s">
        <v>1850</v>
      </c>
      <c r="C86" s="648" t="s">
        <v>304</v>
      </c>
      <c r="D86" s="650" t="n">
        <v>6.51</v>
      </c>
    </row>
    <row r="87" customFormat="false" ht="12.8" hidden="false" customHeight="false" outlineLevel="0" collapsed="false">
      <c r="A87" s="649" t="s">
        <v>1851</v>
      </c>
      <c r="B87" s="649" t="s">
        <v>1852</v>
      </c>
      <c r="C87" s="648" t="s">
        <v>259</v>
      </c>
      <c r="D87" s="650" t="n">
        <v>0.2</v>
      </c>
    </row>
    <row r="88" customFormat="false" ht="12.8" hidden="false" customHeight="false" outlineLevel="0" collapsed="false">
      <c r="A88" s="649" t="s">
        <v>1853</v>
      </c>
      <c r="B88" s="649" t="s">
        <v>1854</v>
      </c>
      <c r="C88" s="648" t="s">
        <v>304</v>
      </c>
      <c r="D88" s="650" t="n">
        <v>13.1</v>
      </c>
    </row>
    <row r="89" customFormat="false" ht="12.8" hidden="false" customHeight="false" outlineLevel="0" collapsed="false">
      <c r="A89" s="649" t="s">
        <v>1855</v>
      </c>
      <c r="B89" s="649" t="s">
        <v>1856</v>
      </c>
      <c r="C89" s="648" t="s">
        <v>304</v>
      </c>
      <c r="D89" s="650" t="n">
        <v>0.74</v>
      </c>
    </row>
    <row r="90" customFormat="false" ht="12.8" hidden="false" customHeight="false" outlineLevel="0" collapsed="false">
      <c r="A90" s="649" t="s">
        <v>1233</v>
      </c>
      <c r="B90" s="649" t="s">
        <v>1857</v>
      </c>
      <c r="C90" s="648" t="s">
        <v>304</v>
      </c>
      <c r="D90" s="650" t="n">
        <v>3.94</v>
      </c>
    </row>
    <row r="91" customFormat="false" ht="12.8" hidden="false" customHeight="false" outlineLevel="0" collapsed="false">
      <c r="A91" s="649" t="s">
        <v>1262</v>
      </c>
      <c r="B91" s="649" t="s">
        <v>1858</v>
      </c>
      <c r="C91" s="648" t="s">
        <v>304</v>
      </c>
      <c r="D91" s="650" t="n">
        <v>1.05</v>
      </c>
    </row>
    <row r="92" customFormat="false" ht="12.8" hidden="false" customHeight="false" outlineLevel="0" collapsed="false">
      <c r="A92" s="649" t="s">
        <v>1859</v>
      </c>
      <c r="B92" s="649" t="s">
        <v>1860</v>
      </c>
      <c r="C92" s="648" t="s">
        <v>304</v>
      </c>
      <c r="D92" s="650" t="n">
        <v>4.45</v>
      </c>
    </row>
    <row r="93" customFormat="false" ht="12.8" hidden="false" customHeight="false" outlineLevel="0" collapsed="false">
      <c r="A93" s="649" t="s">
        <v>1280</v>
      </c>
      <c r="B93" s="649" t="s">
        <v>1861</v>
      </c>
      <c r="C93" s="648" t="s">
        <v>304</v>
      </c>
      <c r="D93" s="650" t="n">
        <v>0.88</v>
      </c>
    </row>
    <row r="94" customFormat="false" ht="12.8" hidden="false" customHeight="false" outlineLevel="0" collapsed="false">
      <c r="A94" s="649" t="s">
        <v>1862</v>
      </c>
      <c r="B94" s="649" t="s">
        <v>1863</v>
      </c>
      <c r="C94" s="648" t="s">
        <v>253</v>
      </c>
      <c r="D94" s="650" t="n">
        <v>179.8</v>
      </c>
    </row>
    <row r="95" customFormat="false" ht="12.8" hidden="false" customHeight="false" outlineLevel="0" collapsed="false">
      <c r="A95" s="649" t="s">
        <v>1864</v>
      </c>
      <c r="B95" s="649" t="s">
        <v>1865</v>
      </c>
      <c r="C95" s="648" t="s">
        <v>253</v>
      </c>
      <c r="D95" s="650" t="n">
        <v>205.38</v>
      </c>
    </row>
    <row r="96" customFormat="false" ht="12.8" hidden="false" customHeight="false" outlineLevel="0" collapsed="false">
      <c r="A96" s="649" t="s">
        <v>1406</v>
      </c>
      <c r="B96" s="649" t="s">
        <v>1866</v>
      </c>
      <c r="C96" s="648" t="s">
        <v>259</v>
      </c>
      <c r="D96" s="650" t="n">
        <v>262.41</v>
      </c>
    </row>
    <row r="97" customFormat="false" ht="12.8" hidden="false" customHeight="false" outlineLevel="0" collapsed="false">
      <c r="A97" s="649" t="s">
        <v>1867</v>
      </c>
      <c r="B97" s="649" t="s">
        <v>1868</v>
      </c>
      <c r="C97" s="648" t="s">
        <v>1869</v>
      </c>
      <c r="D97" s="650" t="n">
        <v>15</v>
      </c>
    </row>
    <row r="98" customFormat="false" ht="12.8" hidden="false" customHeight="false" outlineLevel="0" collapsed="false">
      <c r="A98" s="649" t="s">
        <v>1870</v>
      </c>
      <c r="B98" s="649" t="s">
        <v>1871</v>
      </c>
      <c r="C98" s="648" t="s">
        <v>1869</v>
      </c>
      <c r="D98" s="650" t="n">
        <v>11</v>
      </c>
    </row>
    <row r="99" customFormat="false" ht="12.8" hidden="false" customHeight="false" outlineLevel="0" collapsed="false">
      <c r="A99" s="649" t="s">
        <v>1516</v>
      </c>
      <c r="B99" s="649" t="s">
        <v>1872</v>
      </c>
      <c r="C99" s="648" t="s">
        <v>259</v>
      </c>
      <c r="D99" s="650" t="n">
        <v>3.25</v>
      </c>
    </row>
    <row r="100" customFormat="false" ht="12.8" hidden="false" customHeight="false" outlineLevel="0" collapsed="false">
      <c r="A100" s="649" t="s">
        <v>1518</v>
      </c>
      <c r="B100" s="649" t="s">
        <v>1873</v>
      </c>
      <c r="C100" s="648" t="s">
        <v>259</v>
      </c>
      <c r="D100" s="650" t="n">
        <v>1.79</v>
      </c>
    </row>
    <row r="101" customFormat="false" ht="12.8" hidden="false" customHeight="false" outlineLevel="0" collapsed="false">
      <c r="A101" s="649" t="s">
        <v>1598</v>
      </c>
      <c r="B101" s="649" t="s">
        <v>1874</v>
      </c>
      <c r="C101" s="648" t="s">
        <v>292</v>
      </c>
      <c r="D101" s="650" t="n">
        <v>17.34</v>
      </c>
    </row>
    <row r="102" customFormat="false" ht="12.8" hidden="false" customHeight="false" outlineLevel="0" collapsed="false">
      <c r="A102" s="649" t="s">
        <v>1600</v>
      </c>
      <c r="B102" s="649" t="s">
        <v>1875</v>
      </c>
      <c r="C102" s="648" t="s">
        <v>292</v>
      </c>
      <c r="D102" s="650" t="n">
        <v>27.08</v>
      </c>
    </row>
    <row r="103" customFormat="false" ht="12.8" hidden="false" customHeight="false" outlineLevel="0" collapsed="false">
      <c r="A103" s="649" t="s">
        <v>1612</v>
      </c>
      <c r="B103" s="649" t="s">
        <v>1876</v>
      </c>
      <c r="C103" s="648" t="s">
        <v>310</v>
      </c>
      <c r="D103" s="650" t="n">
        <v>3.2</v>
      </c>
    </row>
    <row r="104" customFormat="false" ht="12.8" hidden="false" customHeight="false" outlineLevel="0" collapsed="false">
      <c r="A104" s="649" t="s">
        <v>1877</v>
      </c>
      <c r="B104" s="649" t="s">
        <v>1878</v>
      </c>
      <c r="C104" s="648" t="s">
        <v>310</v>
      </c>
      <c r="D104" s="650" t="n">
        <v>5.18</v>
      </c>
    </row>
    <row r="105" customFormat="false" ht="12.8" hidden="false" customHeight="false" outlineLevel="0" collapsed="false">
      <c r="A105" s="649" t="s">
        <v>1879</v>
      </c>
      <c r="B105" s="649" t="s">
        <v>1880</v>
      </c>
      <c r="C105" s="648" t="s">
        <v>292</v>
      </c>
      <c r="D105" s="650" t="n">
        <v>34.53</v>
      </c>
    </row>
    <row r="106" customFormat="false" ht="12.8" hidden="false" customHeight="false" outlineLevel="0" collapsed="false">
      <c r="A106" s="649" t="s">
        <v>1881</v>
      </c>
      <c r="B106" s="649" t="s">
        <v>1882</v>
      </c>
      <c r="C106" s="648" t="s">
        <v>261</v>
      </c>
      <c r="D106" s="650" t="n">
        <v>4</v>
      </c>
    </row>
    <row r="107" customFormat="false" ht="12.8" hidden="false" customHeight="false" outlineLevel="0" collapsed="false">
      <c r="A107" s="649" t="s">
        <v>1883</v>
      </c>
      <c r="B107" s="649" t="s">
        <v>1884</v>
      </c>
      <c r="C107" s="648" t="s">
        <v>304</v>
      </c>
      <c r="D107" s="650" t="n">
        <v>14.17</v>
      </c>
    </row>
    <row r="108" customFormat="false" ht="12.8" hidden="false" customHeight="false" outlineLevel="0" collapsed="false">
      <c r="A108" s="649" t="s">
        <v>1885</v>
      </c>
      <c r="B108" s="649" t="s">
        <v>1886</v>
      </c>
      <c r="C108" s="648" t="s">
        <v>259</v>
      </c>
      <c r="D108" s="650" t="n">
        <v>2.5</v>
      </c>
    </row>
    <row r="109" customFormat="false" ht="12.8" hidden="false" customHeight="false" outlineLevel="0" collapsed="false">
      <c r="A109" s="649" t="s">
        <v>1887</v>
      </c>
      <c r="B109" s="649" t="s">
        <v>1888</v>
      </c>
      <c r="C109" s="648" t="s">
        <v>259</v>
      </c>
      <c r="D109" s="650" t="n">
        <v>710.44</v>
      </c>
    </row>
    <row r="110" customFormat="false" ht="12.8" hidden="false" customHeight="false" outlineLevel="0" collapsed="false">
      <c r="A110" s="649" t="s">
        <v>1889</v>
      </c>
      <c r="B110" s="649" t="s">
        <v>1890</v>
      </c>
      <c r="C110" s="648" t="s">
        <v>259</v>
      </c>
      <c r="D110" s="650" t="n">
        <v>164.57</v>
      </c>
    </row>
    <row r="111" customFormat="false" ht="12.8" hidden="false" customHeight="false" outlineLevel="0" collapsed="false">
      <c r="A111" s="649" t="s">
        <v>1891</v>
      </c>
      <c r="B111" s="649" t="s">
        <v>1892</v>
      </c>
      <c r="C111" s="648" t="s">
        <v>259</v>
      </c>
      <c r="D111" s="650" t="n">
        <v>33.96</v>
      </c>
    </row>
    <row r="112" customFormat="false" ht="12.8" hidden="false" customHeight="false" outlineLevel="0" collapsed="false">
      <c r="A112" s="649" t="s">
        <v>1893</v>
      </c>
      <c r="B112" s="649" t="s">
        <v>1894</v>
      </c>
      <c r="C112" s="648" t="s">
        <v>259</v>
      </c>
      <c r="D112" s="650" t="n">
        <v>2399</v>
      </c>
    </row>
    <row r="113" customFormat="false" ht="12.8" hidden="false" customHeight="false" outlineLevel="0" collapsed="false">
      <c r="A113" s="649" t="s">
        <v>1895</v>
      </c>
      <c r="B113" s="649" t="s">
        <v>1896</v>
      </c>
      <c r="C113" s="648" t="s">
        <v>459</v>
      </c>
      <c r="D113" s="650" t="n">
        <v>750</v>
      </c>
    </row>
    <row r="114" customFormat="false" ht="12.8" hidden="false" customHeight="false" outlineLevel="0" collapsed="false">
      <c r="A114" s="649" t="s">
        <v>1897</v>
      </c>
      <c r="B114" s="649" t="s">
        <v>1898</v>
      </c>
      <c r="C114" s="648" t="s">
        <v>459</v>
      </c>
      <c r="D114" s="650" t="n">
        <v>800</v>
      </c>
    </row>
    <row r="115" customFormat="false" ht="12.8" hidden="false" customHeight="false" outlineLevel="0" collapsed="false">
      <c r="A115" s="649" t="s">
        <v>1899</v>
      </c>
      <c r="B115" s="649" t="s">
        <v>1900</v>
      </c>
      <c r="C115" s="648" t="s">
        <v>459</v>
      </c>
      <c r="D115" s="650" t="n">
        <v>3000</v>
      </c>
    </row>
    <row r="116" customFormat="false" ht="12.8" hidden="false" customHeight="false" outlineLevel="0" collapsed="false">
      <c r="A116" s="649" t="s">
        <v>1901</v>
      </c>
      <c r="B116" s="649" t="s">
        <v>1902</v>
      </c>
      <c r="C116" s="648" t="s">
        <v>259</v>
      </c>
      <c r="D116" s="650" t="n">
        <v>1864.97</v>
      </c>
    </row>
    <row r="117" customFormat="false" ht="12.8" hidden="false" customHeight="false" outlineLevel="0" collapsed="false">
      <c r="A117" s="649" t="s">
        <v>1903</v>
      </c>
      <c r="B117" s="649" t="s">
        <v>1904</v>
      </c>
      <c r="C117" s="648" t="s">
        <v>259</v>
      </c>
      <c r="D117" s="650" t="n">
        <v>3727.22</v>
      </c>
    </row>
    <row r="118" customFormat="false" ht="12.8" hidden="false" customHeight="false" outlineLevel="0" collapsed="false">
      <c r="A118" s="649" t="s">
        <v>1905</v>
      </c>
      <c r="B118" s="649" t="s">
        <v>1906</v>
      </c>
      <c r="C118" s="648" t="s">
        <v>1907</v>
      </c>
      <c r="D118" s="650" t="n">
        <v>149</v>
      </c>
    </row>
    <row r="119" customFormat="false" ht="12.8" hidden="false" customHeight="false" outlineLevel="0" collapsed="false">
      <c r="A119" s="649" t="s">
        <v>1908</v>
      </c>
      <c r="B119" s="649" t="s">
        <v>1909</v>
      </c>
      <c r="C119" s="648" t="s">
        <v>1907</v>
      </c>
      <c r="D119" s="650" t="n">
        <v>1800</v>
      </c>
    </row>
    <row r="120" customFormat="false" ht="12.8" hidden="false" customHeight="false" outlineLevel="0" collapsed="false">
      <c r="A120" s="649" t="s">
        <v>1910</v>
      </c>
      <c r="B120" s="649" t="s">
        <v>1911</v>
      </c>
      <c r="C120" s="648" t="s">
        <v>259</v>
      </c>
      <c r="D120" s="650" t="n">
        <v>3.51</v>
      </c>
    </row>
    <row r="121" customFormat="false" ht="12.8" hidden="false" customHeight="false" outlineLevel="0" collapsed="false">
      <c r="A121" s="649" t="s">
        <v>1912</v>
      </c>
      <c r="B121" s="649" t="s">
        <v>1913</v>
      </c>
      <c r="C121" s="648" t="s">
        <v>259</v>
      </c>
      <c r="D121" s="650" t="n">
        <v>4.01</v>
      </c>
    </row>
    <row r="122" customFormat="false" ht="12.8" hidden="false" customHeight="false" outlineLevel="0" collapsed="false">
      <c r="A122" s="649" t="s">
        <v>1914</v>
      </c>
      <c r="B122" s="649" t="s">
        <v>1915</v>
      </c>
      <c r="C122" s="648" t="s">
        <v>259</v>
      </c>
      <c r="D122" s="650" t="n">
        <v>8.01</v>
      </c>
    </row>
    <row r="123" customFormat="false" ht="12.8" hidden="false" customHeight="false" outlineLevel="0" collapsed="false">
      <c r="A123" s="649" t="s">
        <v>1916</v>
      </c>
      <c r="B123" s="649" t="s">
        <v>1917</v>
      </c>
      <c r="C123" s="648" t="s">
        <v>259</v>
      </c>
      <c r="D123" s="650" t="n">
        <v>0.25</v>
      </c>
    </row>
    <row r="124" customFormat="false" ht="12.8" hidden="false" customHeight="false" outlineLevel="0" collapsed="false">
      <c r="A124" s="649" t="s">
        <v>1918</v>
      </c>
      <c r="B124" s="649" t="s">
        <v>1919</v>
      </c>
      <c r="C124" s="648" t="s">
        <v>259</v>
      </c>
      <c r="D124" s="650" t="n">
        <v>0.45</v>
      </c>
    </row>
    <row r="125" customFormat="false" ht="12.8" hidden="false" customHeight="false" outlineLevel="0" collapsed="false">
      <c r="A125" s="649" t="s">
        <v>1920</v>
      </c>
      <c r="B125" s="649" t="s">
        <v>1921</v>
      </c>
      <c r="C125" s="648" t="s">
        <v>259</v>
      </c>
      <c r="D125" s="650" t="n">
        <v>1.4</v>
      </c>
    </row>
    <row r="126" customFormat="false" ht="12.8" hidden="false" customHeight="false" outlineLevel="0" collapsed="false">
      <c r="A126" s="649" t="s">
        <v>1922</v>
      </c>
      <c r="B126" s="649" t="s">
        <v>1923</v>
      </c>
      <c r="C126" s="648" t="s">
        <v>259</v>
      </c>
      <c r="D126" s="650" t="n">
        <v>2.5</v>
      </c>
    </row>
    <row r="127" customFormat="false" ht="12.8" hidden="false" customHeight="false" outlineLevel="0" collapsed="false">
      <c r="A127" s="649" t="s">
        <v>1924</v>
      </c>
      <c r="B127" s="649" t="s">
        <v>1925</v>
      </c>
      <c r="C127" s="648" t="s">
        <v>259</v>
      </c>
      <c r="D127" s="650" t="n">
        <v>5.51</v>
      </c>
    </row>
    <row r="128" customFormat="false" ht="12.8" hidden="false" customHeight="false" outlineLevel="0" collapsed="false">
      <c r="A128" s="649" t="s">
        <v>1926</v>
      </c>
      <c r="B128" s="649" t="s">
        <v>1927</v>
      </c>
      <c r="C128" s="648" t="s">
        <v>259</v>
      </c>
      <c r="D128" s="650" t="n">
        <v>3</v>
      </c>
    </row>
    <row r="129" customFormat="false" ht="12.8" hidden="false" customHeight="false" outlineLevel="0" collapsed="false">
      <c r="A129" s="649" t="s">
        <v>1928</v>
      </c>
      <c r="B129" s="649" t="s">
        <v>1929</v>
      </c>
      <c r="C129" s="648" t="s">
        <v>259</v>
      </c>
      <c r="D129" s="650" t="n">
        <v>5.4</v>
      </c>
    </row>
    <row r="130" customFormat="false" ht="12.8" hidden="false" customHeight="false" outlineLevel="0" collapsed="false">
      <c r="A130" s="649" t="s">
        <v>1930</v>
      </c>
      <c r="B130" s="649" t="s">
        <v>1931</v>
      </c>
      <c r="C130" s="648" t="s">
        <v>259</v>
      </c>
      <c r="D130" s="650" t="n">
        <v>7</v>
      </c>
    </row>
    <row r="131" customFormat="false" ht="12.8" hidden="false" customHeight="false" outlineLevel="0" collapsed="false">
      <c r="A131" s="649" t="s">
        <v>1932</v>
      </c>
      <c r="B131" s="649" t="s">
        <v>1933</v>
      </c>
      <c r="C131" s="648" t="s">
        <v>259</v>
      </c>
      <c r="D131" s="650" t="n">
        <v>18</v>
      </c>
    </row>
    <row r="132" customFormat="false" ht="12.8" hidden="false" customHeight="false" outlineLevel="0" collapsed="false">
      <c r="A132" s="649" t="s">
        <v>1934</v>
      </c>
      <c r="B132" s="649" t="s">
        <v>1935</v>
      </c>
      <c r="C132" s="648" t="s">
        <v>259</v>
      </c>
      <c r="D132" s="650" t="n">
        <v>11</v>
      </c>
    </row>
    <row r="133" customFormat="false" ht="12.8" hidden="false" customHeight="false" outlineLevel="0" collapsed="false">
      <c r="A133" s="649" t="s">
        <v>1936</v>
      </c>
      <c r="B133" s="649" t="s">
        <v>1937</v>
      </c>
      <c r="C133" s="648" t="s">
        <v>259</v>
      </c>
      <c r="D133" s="650" t="n">
        <v>13.5</v>
      </c>
    </row>
    <row r="134" customFormat="false" ht="12.8" hidden="false" customHeight="false" outlineLevel="0" collapsed="false">
      <c r="A134" s="649" t="s">
        <v>1938</v>
      </c>
      <c r="B134" s="649" t="s">
        <v>1939</v>
      </c>
      <c r="C134" s="648" t="s">
        <v>259</v>
      </c>
      <c r="D134" s="650" t="n">
        <v>0.9</v>
      </c>
    </row>
    <row r="135" customFormat="false" ht="12.8" hidden="false" customHeight="false" outlineLevel="0" collapsed="false">
      <c r="A135" s="649" t="s">
        <v>1940</v>
      </c>
      <c r="B135" s="649" t="s">
        <v>1941</v>
      </c>
      <c r="C135" s="648" t="s">
        <v>259</v>
      </c>
      <c r="D135" s="650" t="n">
        <v>2.5</v>
      </c>
    </row>
    <row r="136" customFormat="false" ht="12.8" hidden="false" customHeight="false" outlineLevel="0" collapsed="false">
      <c r="A136" s="649" t="s">
        <v>1942</v>
      </c>
      <c r="B136" s="649" t="s">
        <v>1943</v>
      </c>
      <c r="C136" s="648" t="s">
        <v>259</v>
      </c>
      <c r="D136" s="650" t="n">
        <v>6.5</v>
      </c>
    </row>
    <row r="137" customFormat="false" ht="12.8" hidden="false" customHeight="false" outlineLevel="0" collapsed="false">
      <c r="A137" s="649" t="s">
        <v>1944</v>
      </c>
      <c r="B137" s="649" t="s">
        <v>1945</v>
      </c>
      <c r="C137" s="648" t="s">
        <v>259</v>
      </c>
      <c r="D137" s="650" t="n">
        <v>8.7</v>
      </c>
    </row>
    <row r="138" customFormat="false" ht="12.8" hidden="false" customHeight="false" outlineLevel="0" collapsed="false">
      <c r="A138" s="649" t="s">
        <v>1946</v>
      </c>
      <c r="B138" s="649" t="s">
        <v>1947</v>
      </c>
      <c r="C138" s="648" t="s">
        <v>259</v>
      </c>
      <c r="D138" s="650" t="n">
        <v>10.8</v>
      </c>
    </row>
    <row r="139" customFormat="false" ht="12.8" hidden="false" customHeight="false" outlineLevel="0" collapsed="false">
      <c r="A139" s="649" t="s">
        <v>1948</v>
      </c>
      <c r="B139" s="649" t="s">
        <v>1949</v>
      </c>
      <c r="C139" s="648" t="s">
        <v>259</v>
      </c>
      <c r="D139" s="650" t="n">
        <v>12</v>
      </c>
    </row>
    <row r="140" customFormat="false" ht="12.8" hidden="false" customHeight="false" outlineLevel="0" collapsed="false">
      <c r="A140" s="649" t="s">
        <v>1950</v>
      </c>
      <c r="B140" s="649" t="s">
        <v>1951</v>
      </c>
      <c r="C140" s="648" t="s">
        <v>259</v>
      </c>
      <c r="D140" s="650" t="n">
        <v>16</v>
      </c>
    </row>
    <row r="141" customFormat="false" ht="12.8" hidden="false" customHeight="false" outlineLevel="0" collapsed="false">
      <c r="A141" s="649" t="s">
        <v>1952</v>
      </c>
      <c r="B141" s="649" t="s">
        <v>1444</v>
      </c>
      <c r="C141" s="648" t="s">
        <v>259</v>
      </c>
      <c r="D141" s="650" t="n">
        <v>3.5</v>
      </c>
    </row>
    <row r="142" customFormat="false" ht="12.8" hidden="false" customHeight="false" outlineLevel="0" collapsed="false">
      <c r="A142" s="649" t="s">
        <v>1953</v>
      </c>
      <c r="B142" s="649" t="s">
        <v>1446</v>
      </c>
      <c r="C142" s="648" t="s">
        <v>259</v>
      </c>
      <c r="D142" s="650" t="n">
        <v>2.2</v>
      </c>
    </row>
    <row r="143" customFormat="false" ht="12.8" hidden="false" customHeight="false" outlineLevel="0" collapsed="false">
      <c r="A143" s="649" t="s">
        <v>1954</v>
      </c>
      <c r="B143" s="649" t="s">
        <v>1448</v>
      </c>
      <c r="C143" s="648" t="s">
        <v>259</v>
      </c>
      <c r="D143" s="650" t="n">
        <v>2</v>
      </c>
    </row>
    <row r="144" customFormat="false" ht="12.8" hidden="false" customHeight="false" outlineLevel="0" collapsed="false">
      <c r="A144" s="649" t="s">
        <v>1955</v>
      </c>
      <c r="B144" s="649" t="s">
        <v>1956</v>
      </c>
      <c r="C144" s="648" t="s">
        <v>259</v>
      </c>
      <c r="D144" s="650" t="n">
        <v>0.51</v>
      </c>
    </row>
    <row r="145" customFormat="false" ht="12.8" hidden="false" customHeight="false" outlineLevel="0" collapsed="false">
      <c r="A145" s="649" t="s">
        <v>1957</v>
      </c>
      <c r="B145" s="649" t="s">
        <v>1958</v>
      </c>
      <c r="C145" s="648" t="s">
        <v>259</v>
      </c>
      <c r="D145" s="650" t="n">
        <v>1.3</v>
      </c>
    </row>
    <row r="146" customFormat="false" ht="12.8" hidden="false" customHeight="false" outlineLevel="0" collapsed="false">
      <c r="A146" s="649" t="s">
        <v>1959</v>
      </c>
      <c r="B146" s="649" t="s">
        <v>1960</v>
      </c>
      <c r="C146" s="648" t="s">
        <v>259</v>
      </c>
      <c r="D146" s="650" t="n">
        <v>37.53</v>
      </c>
    </row>
    <row r="147" customFormat="false" ht="12.8" hidden="false" customHeight="false" outlineLevel="0" collapsed="false">
      <c r="A147" s="649" t="s">
        <v>1961</v>
      </c>
      <c r="B147" s="649" t="s">
        <v>1962</v>
      </c>
      <c r="C147" s="648" t="s">
        <v>259</v>
      </c>
      <c r="D147" s="650" t="n">
        <v>58.31</v>
      </c>
    </row>
    <row r="148" customFormat="false" ht="12.8" hidden="false" customHeight="false" outlineLevel="0" collapsed="false">
      <c r="A148" s="649" t="s">
        <v>1963</v>
      </c>
      <c r="B148" s="649" t="s">
        <v>1964</v>
      </c>
      <c r="C148" s="648" t="s">
        <v>259</v>
      </c>
      <c r="D148" s="650" t="n">
        <v>1500</v>
      </c>
    </row>
    <row r="149" customFormat="false" ht="12.8" hidden="false" customHeight="false" outlineLevel="0" collapsed="false">
      <c r="A149" s="649" t="s">
        <v>1965</v>
      </c>
      <c r="B149" s="649" t="s">
        <v>1460</v>
      </c>
      <c r="C149" s="648" t="s">
        <v>261</v>
      </c>
      <c r="D149" s="650" t="n">
        <v>95</v>
      </c>
    </row>
    <row r="150" customFormat="false" ht="12.8" hidden="false" customHeight="false" outlineLevel="0" collapsed="false">
      <c r="A150" s="649" t="s">
        <v>1966</v>
      </c>
      <c r="B150" s="649" t="s">
        <v>1462</v>
      </c>
      <c r="C150" s="648" t="s">
        <v>259</v>
      </c>
      <c r="D150" s="650" t="n">
        <v>350</v>
      </c>
    </row>
    <row r="151" customFormat="false" ht="12.8" hidden="false" customHeight="false" outlineLevel="0" collapsed="false">
      <c r="A151" s="649" t="s">
        <v>1967</v>
      </c>
      <c r="B151" s="649" t="s">
        <v>1466</v>
      </c>
      <c r="C151" s="648" t="s">
        <v>259</v>
      </c>
      <c r="D151" s="650" t="n">
        <v>963</v>
      </c>
    </row>
    <row r="152" customFormat="false" ht="12.8" hidden="false" customHeight="false" outlineLevel="0" collapsed="false">
      <c r="A152" s="649" t="s">
        <v>1968</v>
      </c>
      <c r="B152" s="649" t="s">
        <v>1468</v>
      </c>
      <c r="C152" s="648" t="s">
        <v>261</v>
      </c>
      <c r="D152" s="650" t="n">
        <v>130</v>
      </c>
    </row>
    <row r="153" customFormat="false" ht="12.8" hidden="false" customHeight="false" outlineLevel="0" collapsed="false">
      <c r="A153" s="649" t="s">
        <v>1969</v>
      </c>
      <c r="B153" s="649" t="s">
        <v>1970</v>
      </c>
      <c r="C153" s="648" t="s">
        <v>253</v>
      </c>
      <c r="D153" s="650" t="n">
        <v>680</v>
      </c>
    </row>
    <row r="154" customFormat="false" ht="12.8" hidden="false" customHeight="false" outlineLevel="0" collapsed="false">
      <c r="A154" s="649" t="s">
        <v>1971</v>
      </c>
      <c r="B154" s="649" t="s">
        <v>1474</v>
      </c>
      <c r="C154" s="648" t="s">
        <v>261</v>
      </c>
      <c r="D154" s="650" t="n">
        <v>600</v>
      </c>
    </row>
    <row r="155" customFormat="false" ht="12.8" hidden="false" customHeight="false" outlineLevel="0" collapsed="false">
      <c r="A155" s="649" t="s">
        <v>1972</v>
      </c>
      <c r="B155" s="649" t="s">
        <v>1478</v>
      </c>
      <c r="C155" s="648" t="s">
        <v>259</v>
      </c>
      <c r="D155" s="650" t="n">
        <v>3000</v>
      </c>
    </row>
    <row r="156" customFormat="false" ht="12.8" hidden="false" customHeight="false" outlineLevel="0" collapsed="false">
      <c r="A156" s="649" t="s">
        <v>1973</v>
      </c>
      <c r="B156" s="649" t="s">
        <v>1480</v>
      </c>
      <c r="C156" s="648" t="s">
        <v>259</v>
      </c>
      <c r="D156" s="650" t="n">
        <v>950</v>
      </c>
    </row>
    <row r="157" customFormat="false" ht="12.8" hidden="false" customHeight="false" outlineLevel="0" collapsed="false">
      <c r="A157" s="649" t="s">
        <v>1974</v>
      </c>
      <c r="B157" s="649" t="s">
        <v>1482</v>
      </c>
      <c r="C157" s="648" t="s">
        <v>261</v>
      </c>
      <c r="D157" s="650" t="n">
        <v>350</v>
      </c>
    </row>
    <row r="158" customFormat="false" ht="12.8" hidden="false" customHeight="false" outlineLevel="0" collapsed="false">
      <c r="A158" s="649" t="s">
        <v>1975</v>
      </c>
      <c r="B158" s="649" t="s">
        <v>1976</v>
      </c>
      <c r="C158" s="648" t="s">
        <v>261</v>
      </c>
      <c r="D158" s="650" t="n">
        <v>600</v>
      </c>
    </row>
    <row r="159" customFormat="false" ht="12.8" hidden="false" customHeight="false" outlineLevel="0" collapsed="false">
      <c r="A159" s="649" t="s">
        <v>1977</v>
      </c>
      <c r="B159" s="649" t="s">
        <v>1978</v>
      </c>
      <c r="C159" s="648" t="s">
        <v>259</v>
      </c>
      <c r="D159" s="650" t="n">
        <v>3000</v>
      </c>
    </row>
    <row r="160" customFormat="false" ht="12.8" hidden="false" customHeight="false" outlineLevel="0" collapsed="false">
      <c r="A160" s="649" t="s">
        <v>1979</v>
      </c>
      <c r="B160" s="649" t="s">
        <v>1980</v>
      </c>
      <c r="C160" s="648" t="s">
        <v>259</v>
      </c>
      <c r="D160" s="650" t="n">
        <v>1500</v>
      </c>
    </row>
    <row r="161" customFormat="false" ht="12.8" hidden="false" customHeight="false" outlineLevel="0" collapsed="false">
      <c r="A161" s="649" t="s">
        <v>1981</v>
      </c>
      <c r="B161" s="649" t="s">
        <v>1982</v>
      </c>
      <c r="C161" s="648" t="s">
        <v>259</v>
      </c>
      <c r="D161" s="650" t="n">
        <v>1000</v>
      </c>
    </row>
    <row r="162" customFormat="false" ht="12.8" hidden="false" customHeight="false" outlineLevel="0" collapsed="false">
      <c r="A162" s="649" t="s">
        <v>1983</v>
      </c>
      <c r="B162" s="649" t="s">
        <v>1984</v>
      </c>
      <c r="C162" s="648" t="s">
        <v>259</v>
      </c>
      <c r="D162" s="650" t="n">
        <v>116.38</v>
      </c>
    </row>
    <row r="163" customFormat="false" ht="12.8" hidden="false" customHeight="false" outlineLevel="0" collapsed="false">
      <c r="A163" s="649" t="s">
        <v>1985</v>
      </c>
      <c r="B163" s="649" t="s">
        <v>1986</v>
      </c>
      <c r="C163" s="648" t="s">
        <v>259</v>
      </c>
      <c r="D163" s="650" t="n">
        <v>452</v>
      </c>
    </row>
    <row r="164" customFormat="false" ht="12.8" hidden="false" customHeight="false" outlineLevel="0" collapsed="false">
      <c r="A164" s="649" t="s">
        <v>1987</v>
      </c>
      <c r="B164" s="649" t="s">
        <v>1501</v>
      </c>
      <c r="C164" s="648" t="s">
        <v>259</v>
      </c>
      <c r="D164" s="650" t="n">
        <v>3037</v>
      </c>
    </row>
    <row r="165" customFormat="false" ht="12.8" hidden="false" customHeight="false" outlineLevel="0" collapsed="false">
      <c r="A165" s="649" t="s">
        <v>1988</v>
      </c>
      <c r="B165" s="649" t="s">
        <v>1503</v>
      </c>
      <c r="C165" s="648" t="s">
        <v>259</v>
      </c>
      <c r="D165" s="650" t="n">
        <v>4528.56</v>
      </c>
    </row>
    <row r="166" customFormat="false" ht="12.8" hidden="false" customHeight="false" outlineLevel="0" collapsed="false">
      <c r="A166" s="649" t="s">
        <v>1989</v>
      </c>
      <c r="B166" s="649" t="s">
        <v>1505</v>
      </c>
      <c r="C166" s="648" t="s">
        <v>259</v>
      </c>
      <c r="D166" s="650" t="n">
        <v>404.8</v>
      </c>
    </row>
    <row r="167" customFormat="false" ht="12.8" hidden="false" customHeight="false" outlineLevel="0" collapsed="false">
      <c r="A167" s="649" t="s">
        <v>1990</v>
      </c>
      <c r="B167" s="649" t="s">
        <v>1991</v>
      </c>
      <c r="C167" s="648" t="s">
        <v>259</v>
      </c>
      <c r="D167" s="650" t="n">
        <v>379.5</v>
      </c>
    </row>
    <row r="168" customFormat="false" ht="12.8" hidden="false" customHeight="false" outlineLevel="0" collapsed="false">
      <c r="A168" s="649" t="s">
        <v>1992</v>
      </c>
      <c r="B168" s="649" t="s">
        <v>1993</v>
      </c>
      <c r="C168" s="648" t="s">
        <v>259</v>
      </c>
      <c r="D168" s="650" t="n">
        <v>120</v>
      </c>
    </row>
    <row r="169" customFormat="false" ht="12.8" hidden="false" customHeight="false" outlineLevel="0" collapsed="false">
      <c r="A169" s="649" t="s">
        <v>1994</v>
      </c>
      <c r="B169" s="649" t="s">
        <v>1995</v>
      </c>
      <c r="C169" s="648" t="s">
        <v>259</v>
      </c>
      <c r="D169" s="650" t="n">
        <v>150</v>
      </c>
    </row>
    <row r="170" customFormat="false" ht="12.8" hidden="false" customHeight="false" outlineLevel="0" collapsed="false">
      <c r="A170" s="649" t="s">
        <v>1996</v>
      </c>
      <c r="B170" s="649" t="s">
        <v>1517</v>
      </c>
      <c r="C170" s="648" t="s">
        <v>259</v>
      </c>
      <c r="D170" s="650" t="n">
        <v>30</v>
      </c>
    </row>
    <row r="171" customFormat="false" ht="12.8" hidden="false" customHeight="false" outlineLevel="0" collapsed="false">
      <c r="A171" s="649" t="s">
        <v>1997</v>
      </c>
      <c r="B171" s="649" t="s">
        <v>1998</v>
      </c>
      <c r="C171" s="648" t="s">
        <v>259</v>
      </c>
      <c r="D171" s="650" t="n">
        <v>120</v>
      </c>
    </row>
    <row r="172" customFormat="false" ht="12.8" hidden="false" customHeight="false" outlineLevel="0" collapsed="false">
      <c r="A172" s="649" t="s">
        <v>1999</v>
      </c>
      <c r="B172" s="649" t="s">
        <v>1521</v>
      </c>
      <c r="C172" s="648" t="s">
        <v>259</v>
      </c>
      <c r="D172" s="650" t="n">
        <v>100</v>
      </c>
    </row>
    <row r="173" customFormat="false" ht="12.8" hidden="false" customHeight="false" outlineLevel="0" collapsed="false">
      <c r="A173" s="649" t="s">
        <v>2000</v>
      </c>
      <c r="B173" s="649" t="s">
        <v>1523</v>
      </c>
      <c r="C173" s="648" t="s">
        <v>259</v>
      </c>
      <c r="D173" s="650" t="n">
        <v>250</v>
      </c>
    </row>
    <row r="174" customFormat="false" ht="12.8" hidden="false" customHeight="false" outlineLevel="0" collapsed="false">
      <c r="A174" s="649" t="s">
        <v>2001</v>
      </c>
      <c r="B174" s="649" t="s">
        <v>1525</v>
      </c>
      <c r="C174" s="648" t="s">
        <v>259</v>
      </c>
      <c r="D174" s="650" t="n">
        <v>75</v>
      </c>
    </row>
    <row r="175" customFormat="false" ht="12.8" hidden="false" customHeight="false" outlineLevel="0" collapsed="false">
      <c r="A175" s="649" t="s">
        <v>2002</v>
      </c>
      <c r="B175" s="649" t="s">
        <v>1527</v>
      </c>
      <c r="C175" s="648" t="s">
        <v>259</v>
      </c>
      <c r="D175" s="650" t="n">
        <v>75</v>
      </c>
    </row>
    <row r="176" customFormat="false" ht="12.8" hidden="false" customHeight="false" outlineLevel="0" collapsed="false">
      <c r="A176" s="649" t="s">
        <v>2003</v>
      </c>
      <c r="B176" s="649" t="s">
        <v>1529</v>
      </c>
      <c r="C176" s="648" t="s">
        <v>259</v>
      </c>
      <c r="D176" s="650" t="n">
        <v>250</v>
      </c>
    </row>
    <row r="177" customFormat="false" ht="12.8" hidden="false" customHeight="false" outlineLevel="0" collapsed="false">
      <c r="A177" s="649" t="s">
        <v>2004</v>
      </c>
      <c r="B177" s="649" t="s">
        <v>2005</v>
      </c>
      <c r="C177" s="648" t="s">
        <v>259</v>
      </c>
      <c r="D177" s="650" t="n">
        <v>100</v>
      </c>
    </row>
    <row r="178" customFormat="false" ht="12.8" hidden="false" customHeight="false" outlineLevel="0" collapsed="false">
      <c r="A178" s="649" t="s">
        <v>2006</v>
      </c>
      <c r="B178" s="649" t="s">
        <v>2007</v>
      </c>
      <c r="C178" s="648" t="s">
        <v>259</v>
      </c>
      <c r="D178" s="650" t="n">
        <v>110</v>
      </c>
    </row>
    <row r="179" customFormat="false" ht="12.8" hidden="false" customHeight="false" outlineLevel="0" collapsed="false">
      <c r="A179" s="649" t="s">
        <v>2008</v>
      </c>
      <c r="B179" s="649" t="s">
        <v>2009</v>
      </c>
      <c r="C179" s="648" t="s">
        <v>259</v>
      </c>
      <c r="D179" s="650" t="n">
        <v>120</v>
      </c>
    </row>
    <row r="180" customFormat="false" ht="12.8" hidden="false" customHeight="false" outlineLevel="0" collapsed="false">
      <c r="A180" s="649" t="s">
        <v>2010</v>
      </c>
      <c r="B180" s="649" t="s">
        <v>2011</v>
      </c>
      <c r="C180" s="648" t="s">
        <v>259</v>
      </c>
      <c r="D180" s="650" t="n">
        <v>50</v>
      </c>
    </row>
    <row r="181" customFormat="false" ht="12.8" hidden="false" customHeight="false" outlineLevel="0" collapsed="false">
      <c r="A181" s="649" t="s">
        <v>2012</v>
      </c>
      <c r="B181" s="649" t="s">
        <v>2013</v>
      </c>
      <c r="C181" s="648" t="s">
        <v>259</v>
      </c>
      <c r="D181" s="650" t="n">
        <v>120</v>
      </c>
    </row>
    <row r="182" customFormat="false" ht="12.8" hidden="false" customHeight="false" outlineLevel="0" collapsed="false">
      <c r="A182" s="649" t="s">
        <v>2014</v>
      </c>
      <c r="B182" s="649" t="s">
        <v>2015</v>
      </c>
      <c r="C182" s="648" t="s">
        <v>259</v>
      </c>
      <c r="D182" s="650" t="n">
        <v>150</v>
      </c>
    </row>
    <row r="183" customFormat="false" ht="12.8" hidden="false" customHeight="false" outlineLevel="0" collapsed="false">
      <c r="A183" s="649" t="s">
        <v>2016</v>
      </c>
      <c r="B183" s="649" t="s">
        <v>1543</v>
      </c>
      <c r="C183" s="648" t="s">
        <v>259</v>
      </c>
      <c r="D183" s="650" t="n">
        <v>120</v>
      </c>
    </row>
    <row r="184" customFormat="false" ht="12.8" hidden="false" customHeight="false" outlineLevel="0" collapsed="false">
      <c r="A184" s="649" t="s">
        <v>2017</v>
      </c>
      <c r="B184" s="649" t="s">
        <v>1545</v>
      </c>
      <c r="C184" s="648" t="s">
        <v>259</v>
      </c>
      <c r="D184" s="650" t="n">
        <v>126</v>
      </c>
    </row>
    <row r="185" customFormat="false" ht="12.8" hidden="false" customHeight="false" outlineLevel="0" collapsed="false">
      <c r="A185" s="649" t="s">
        <v>2018</v>
      </c>
      <c r="B185" s="649" t="s">
        <v>1547</v>
      </c>
      <c r="C185" s="648" t="s">
        <v>259</v>
      </c>
      <c r="D185" s="650" t="n">
        <v>440</v>
      </c>
    </row>
    <row r="186" customFormat="false" ht="12.8" hidden="false" customHeight="false" outlineLevel="0" collapsed="false">
      <c r="A186" s="649" t="s">
        <v>2019</v>
      </c>
      <c r="B186" s="649" t="s">
        <v>2020</v>
      </c>
      <c r="C186" s="648" t="s">
        <v>259</v>
      </c>
      <c r="D186" s="650" t="n">
        <v>500</v>
      </c>
    </row>
    <row r="187" customFormat="false" ht="12.8" hidden="false" customHeight="false" outlineLevel="0" collapsed="false">
      <c r="A187" s="649" t="s">
        <v>2021</v>
      </c>
      <c r="B187" s="649" t="s">
        <v>2022</v>
      </c>
      <c r="C187" s="648" t="s">
        <v>259</v>
      </c>
      <c r="D187" s="650" t="n">
        <v>500</v>
      </c>
    </row>
    <row r="188" customFormat="false" ht="12.8" hidden="false" customHeight="false" outlineLevel="0" collapsed="false">
      <c r="A188" s="649" t="s">
        <v>2023</v>
      </c>
      <c r="B188" s="649" t="s">
        <v>2024</v>
      </c>
      <c r="C188" s="648" t="s">
        <v>259</v>
      </c>
      <c r="D188" s="650" t="n">
        <v>400</v>
      </c>
    </row>
    <row r="189" customFormat="false" ht="12.8" hidden="false" customHeight="false" outlineLevel="0" collapsed="false">
      <c r="A189" s="649" t="s">
        <v>2025</v>
      </c>
      <c r="B189" s="649" t="s">
        <v>1555</v>
      </c>
      <c r="C189" s="648" t="s">
        <v>259</v>
      </c>
      <c r="D189" s="650" t="n">
        <v>2604</v>
      </c>
    </row>
    <row r="190" customFormat="false" ht="12.8" hidden="false" customHeight="false" outlineLevel="0" collapsed="false">
      <c r="A190" s="649" t="s">
        <v>2026</v>
      </c>
      <c r="B190" s="649" t="s">
        <v>1557</v>
      </c>
      <c r="C190" s="648" t="s">
        <v>259</v>
      </c>
      <c r="D190" s="650" t="n">
        <v>1089</v>
      </c>
    </row>
    <row r="191" customFormat="false" ht="12.8" hidden="false" customHeight="false" outlineLevel="0" collapsed="false">
      <c r="A191" s="649" t="s">
        <v>2027</v>
      </c>
      <c r="B191" s="649" t="s">
        <v>1559</v>
      </c>
      <c r="C191" s="648" t="s">
        <v>259</v>
      </c>
      <c r="D191" s="650" t="n">
        <v>3000</v>
      </c>
    </row>
    <row r="192" customFormat="false" ht="12.8" hidden="false" customHeight="false" outlineLevel="0" collapsed="false">
      <c r="A192" s="649" t="s">
        <v>2028</v>
      </c>
      <c r="B192" s="649" t="s">
        <v>1561</v>
      </c>
      <c r="C192" s="648" t="s">
        <v>259</v>
      </c>
      <c r="D192" s="650" t="n">
        <v>3000</v>
      </c>
    </row>
    <row r="193" customFormat="false" ht="12.8" hidden="false" customHeight="false" outlineLevel="0" collapsed="false">
      <c r="A193" s="649" t="s">
        <v>2029</v>
      </c>
      <c r="B193" s="649" t="s">
        <v>1563</v>
      </c>
      <c r="C193" s="648" t="s">
        <v>259</v>
      </c>
      <c r="D193" s="650" t="n">
        <v>3000</v>
      </c>
    </row>
    <row r="194" customFormat="false" ht="12.8" hidden="false" customHeight="false" outlineLevel="0" collapsed="false">
      <c r="A194" s="649" t="s">
        <v>2030</v>
      </c>
      <c r="B194" s="649" t="s">
        <v>1565</v>
      </c>
      <c r="C194" s="648" t="s">
        <v>259</v>
      </c>
      <c r="D194" s="650" t="n">
        <v>3000</v>
      </c>
    </row>
    <row r="195" customFormat="false" ht="12.8" hidden="false" customHeight="false" outlineLevel="0" collapsed="false">
      <c r="A195" s="649" t="s">
        <v>2031</v>
      </c>
      <c r="B195" s="649" t="s">
        <v>1567</v>
      </c>
      <c r="C195" s="648" t="s">
        <v>259</v>
      </c>
      <c r="D195" s="650" t="n">
        <v>3000</v>
      </c>
    </row>
    <row r="196" customFormat="false" ht="12.8" hidden="false" customHeight="false" outlineLevel="0" collapsed="false">
      <c r="A196" s="649" t="s">
        <v>2032</v>
      </c>
      <c r="B196" s="649" t="s">
        <v>1569</v>
      </c>
      <c r="C196" s="648" t="s">
        <v>259</v>
      </c>
      <c r="D196" s="650" t="n">
        <v>500</v>
      </c>
    </row>
    <row r="197" customFormat="false" ht="12.8" hidden="false" customHeight="false" outlineLevel="0" collapsed="false">
      <c r="A197" s="649" t="s">
        <v>2033</v>
      </c>
      <c r="B197" s="649" t="s">
        <v>2034</v>
      </c>
      <c r="C197" s="648" t="s">
        <v>259</v>
      </c>
      <c r="D197" s="650" t="n">
        <v>500</v>
      </c>
    </row>
    <row r="198" customFormat="false" ht="12.8" hidden="false" customHeight="false" outlineLevel="0" collapsed="false">
      <c r="A198" s="649" t="s">
        <v>2035</v>
      </c>
      <c r="B198" s="649" t="s">
        <v>2036</v>
      </c>
      <c r="C198" s="648" t="s">
        <v>259</v>
      </c>
      <c r="D198" s="650" t="n">
        <v>500</v>
      </c>
    </row>
    <row r="199" customFormat="false" ht="12.8" hidden="false" customHeight="false" outlineLevel="0" collapsed="false">
      <c r="A199" s="649" t="s">
        <v>2037</v>
      </c>
      <c r="B199" s="649" t="s">
        <v>2038</v>
      </c>
      <c r="C199" s="648" t="s">
        <v>259</v>
      </c>
      <c r="D199" s="650" t="n">
        <v>500</v>
      </c>
    </row>
    <row r="200" customFormat="false" ht="12.8" hidden="false" customHeight="false" outlineLevel="0" collapsed="false">
      <c r="A200" s="649" t="s">
        <v>2039</v>
      </c>
      <c r="B200" s="649" t="s">
        <v>2040</v>
      </c>
      <c r="C200" s="648" t="s">
        <v>259</v>
      </c>
      <c r="D200" s="650" t="n">
        <v>600</v>
      </c>
    </row>
    <row r="201" customFormat="false" ht="12.8" hidden="false" customHeight="false" outlineLevel="0" collapsed="false">
      <c r="A201" s="649" t="s">
        <v>2041</v>
      </c>
      <c r="B201" s="649" t="s">
        <v>2042</v>
      </c>
      <c r="C201" s="648" t="s">
        <v>259</v>
      </c>
      <c r="D201" s="650" t="n">
        <v>600</v>
      </c>
    </row>
    <row r="202" customFormat="false" ht="12.8" hidden="false" customHeight="false" outlineLevel="0" collapsed="false">
      <c r="A202" s="649" t="s">
        <v>2043</v>
      </c>
      <c r="B202" s="649" t="s">
        <v>1583</v>
      </c>
      <c r="C202" s="648" t="s">
        <v>259</v>
      </c>
      <c r="D202" s="650" t="n">
        <v>126.5</v>
      </c>
    </row>
    <row r="203" customFormat="false" ht="12.8" hidden="false" customHeight="false" outlineLevel="0" collapsed="false">
      <c r="A203" s="649" t="s">
        <v>2044</v>
      </c>
      <c r="B203" s="649" t="s">
        <v>1585</v>
      </c>
      <c r="C203" s="648" t="s">
        <v>259</v>
      </c>
      <c r="D203" s="650" t="n">
        <v>118</v>
      </c>
    </row>
    <row r="204" customFormat="false" ht="12.8" hidden="false" customHeight="false" outlineLevel="0" collapsed="false">
      <c r="A204" s="649" t="s">
        <v>2045</v>
      </c>
      <c r="B204" s="649" t="s">
        <v>1587</v>
      </c>
      <c r="C204" s="648" t="s">
        <v>259</v>
      </c>
      <c r="D204" s="650" t="n">
        <v>118</v>
      </c>
    </row>
    <row r="205" customFormat="false" ht="12.8" hidden="false" customHeight="false" outlineLevel="0" collapsed="false">
      <c r="A205" s="649" t="s">
        <v>2046</v>
      </c>
      <c r="B205" s="649" t="s">
        <v>1589</v>
      </c>
      <c r="C205" s="648" t="s">
        <v>259</v>
      </c>
      <c r="D205" s="650" t="n">
        <v>118</v>
      </c>
    </row>
    <row r="206" customFormat="false" ht="12.8" hidden="false" customHeight="false" outlineLevel="0" collapsed="false">
      <c r="A206" s="649" t="s">
        <v>2047</v>
      </c>
      <c r="B206" s="649" t="s">
        <v>1591</v>
      </c>
      <c r="C206" s="648" t="s">
        <v>259</v>
      </c>
      <c r="D206" s="650" t="n">
        <v>107.53</v>
      </c>
    </row>
    <row r="207" customFormat="false" ht="12.8" hidden="false" customHeight="false" outlineLevel="0" collapsed="false">
      <c r="A207" s="649" t="s">
        <v>2048</v>
      </c>
      <c r="B207" s="649" t="s">
        <v>2049</v>
      </c>
      <c r="C207" s="648" t="s">
        <v>259</v>
      </c>
      <c r="D207" s="650" t="n">
        <v>152</v>
      </c>
    </row>
    <row r="208" customFormat="false" ht="12.8" hidden="false" customHeight="false" outlineLevel="0" collapsed="false">
      <c r="A208" s="649" t="s">
        <v>2050</v>
      </c>
      <c r="B208" s="649" t="s">
        <v>2051</v>
      </c>
      <c r="C208" s="648" t="s">
        <v>259</v>
      </c>
      <c r="D208" s="650" t="n">
        <v>350</v>
      </c>
    </row>
    <row r="209" customFormat="false" ht="12.8" hidden="false" customHeight="false" outlineLevel="0" collapsed="false">
      <c r="A209" s="649" t="s">
        <v>2052</v>
      </c>
      <c r="B209" s="649" t="s">
        <v>1597</v>
      </c>
      <c r="C209" s="648" t="s">
        <v>259</v>
      </c>
      <c r="D209" s="650" t="n">
        <v>316.25</v>
      </c>
    </row>
    <row r="210" customFormat="false" ht="12.8" hidden="false" customHeight="false" outlineLevel="0" collapsed="false">
      <c r="A210" s="649" t="s">
        <v>2053</v>
      </c>
      <c r="B210" s="649" t="s">
        <v>2054</v>
      </c>
      <c r="C210" s="648" t="s">
        <v>259</v>
      </c>
      <c r="D210" s="650" t="n">
        <v>287.5</v>
      </c>
    </row>
    <row r="211" customFormat="false" ht="12.8" hidden="false" customHeight="false" outlineLevel="0" collapsed="false">
      <c r="A211" s="649" t="s">
        <v>2055</v>
      </c>
      <c r="B211" s="649" t="s">
        <v>1601</v>
      </c>
      <c r="C211" s="648" t="s">
        <v>259</v>
      </c>
      <c r="D211" s="650" t="n">
        <v>150</v>
      </c>
    </row>
    <row r="212" customFormat="false" ht="12.8" hidden="false" customHeight="false" outlineLevel="0" collapsed="false">
      <c r="A212" s="649" t="s">
        <v>2056</v>
      </c>
      <c r="B212" s="649" t="s">
        <v>2057</v>
      </c>
      <c r="C212" s="648" t="s">
        <v>259</v>
      </c>
      <c r="D212" s="650" t="n">
        <v>350</v>
      </c>
    </row>
    <row r="213" customFormat="false" ht="12.8" hidden="false" customHeight="false" outlineLevel="0" collapsed="false">
      <c r="A213" s="649" t="s">
        <v>2058</v>
      </c>
      <c r="B213" s="649" t="s">
        <v>2059</v>
      </c>
      <c r="C213" s="648" t="s">
        <v>259</v>
      </c>
      <c r="D213" s="650" t="n">
        <v>350</v>
      </c>
    </row>
    <row r="214" customFormat="false" ht="12.8" hidden="false" customHeight="false" outlineLevel="0" collapsed="false">
      <c r="A214" s="649" t="s">
        <v>2060</v>
      </c>
      <c r="B214" s="649" t="s">
        <v>2061</v>
      </c>
      <c r="C214" s="648" t="s">
        <v>259</v>
      </c>
      <c r="D214" s="650" t="n">
        <v>350</v>
      </c>
    </row>
    <row r="215" customFormat="false" ht="12.8" hidden="false" customHeight="false" outlineLevel="0" collapsed="false">
      <c r="A215" s="649" t="s">
        <v>2062</v>
      </c>
      <c r="B215" s="649" t="s">
        <v>1613</v>
      </c>
      <c r="C215" s="648" t="s">
        <v>259</v>
      </c>
      <c r="D215" s="650" t="n">
        <v>350</v>
      </c>
    </row>
    <row r="216" customFormat="false" ht="12.8" hidden="false" customHeight="false" outlineLevel="0" collapsed="false">
      <c r="A216" s="649" t="s">
        <v>2063</v>
      </c>
      <c r="B216" s="649" t="s">
        <v>2064</v>
      </c>
      <c r="C216" s="648" t="s">
        <v>259</v>
      </c>
      <c r="D216" s="650" t="n">
        <v>120</v>
      </c>
    </row>
    <row r="217" customFormat="false" ht="12.8" hidden="false" customHeight="false" outlineLevel="0" collapsed="false">
      <c r="A217" s="649" t="s">
        <v>2065</v>
      </c>
      <c r="B217" s="649" t="s">
        <v>2066</v>
      </c>
      <c r="C217" s="648" t="s">
        <v>259</v>
      </c>
      <c r="D217" s="650" t="n">
        <v>500</v>
      </c>
    </row>
    <row r="218" customFormat="false" ht="12.8" hidden="false" customHeight="false" outlineLevel="0" collapsed="false">
      <c r="A218" s="649" t="s">
        <v>2067</v>
      </c>
      <c r="B218" s="649" t="s">
        <v>1619</v>
      </c>
      <c r="C218" s="648" t="s">
        <v>259</v>
      </c>
      <c r="D218" s="650" t="n">
        <v>200</v>
      </c>
    </row>
    <row r="219" customFormat="false" ht="12.8" hidden="false" customHeight="false" outlineLevel="0" collapsed="false">
      <c r="A219" s="649" t="s">
        <v>2068</v>
      </c>
      <c r="B219" s="649" t="s">
        <v>2069</v>
      </c>
      <c r="C219" s="648" t="s">
        <v>259</v>
      </c>
      <c r="D219" s="650" t="n">
        <v>350</v>
      </c>
    </row>
    <row r="220" customFormat="false" ht="12.8" hidden="false" customHeight="false" outlineLevel="0" collapsed="false">
      <c r="A220" s="649" t="s">
        <v>2070</v>
      </c>
      <c r="B220" s="649" t="s">
        <v>1625</v>
      </c>
      <c r="C220" s="648" t="s">
        <v>259</v>
      </c>
      <c r="D220" s="650" t="n">
        <v>350</v>
      </c>
    </row>
    <row r="221" customFormat="false" ht="12.8" hidden="false" customHeight="false" outlineLevel="0" collapsed="false">
      <c r="A221" s="649" t="s">
        <v>2071</v>
      </c>
      <c r="B221" s="649" t="s">
        <v>2072</v>
      </c>
      <c r="C221" s="648" t="s">
        <v>259</v>
      </c>
      <c r="D221" s="650" t="n">
        <v>500</v>
      </c>
    </row>
    <row r="222" customFormat="false" ht="12.8" hidden="false" customHeight="false" outlineLevel="0" collapsed="false">
      <c r="A222" s="649" t="s">
        <v>2073</v>
      </c>
      <c r="B222" s="649" t="s">
        <v>1629</v>
      </c>
      <c r="C222" s="648" t="s">
        <v>259</v>
      </c>
      <c r="D222" s="650" t="n">
        <v>500</v>
      </c>
    </row>
    <row r="223" customFormat="false" ht="12.8" hidden="false" customHeight="false" outlineLevel="0" collapsed="false">
      <c r="A223" s="649" t="s">
        <v>2074</v>
      </c>
      <c r="B223" s="649" t="s">
        <v>2075</v>
      </c>
      <c r="C223" s="648" t="s">
        <v>259</v>
      </c>
      <c r="D223" s="650" t="n">
        <v>120</v>
      </c>
    </row>
    <row r="224" customFormat="false" ht="12.8" hidden="false" customHeight="false" outlineLevel="0" collapsed="false">
      <c r="A224" s="649" t="s">
        <v>2076</v>
      </c>
      <c r="B224" s="649" t="s">
        <v>1635</v>
      </c>
      <c r="C224" s="648" t="s">
        <v>259</v>
      </c>
      <c r="D224" s="650" t="n">
        <v>120</v>
      </c>
    </row>
    <row r="225" customFormat="false" ht="12.8" hidden="false" customHeight="false" outlineLevel="0" collapsed="false">
      <c r="A225" s="649" t="s">
        <v>2077</v>
      </c>
      <c r="B225" s="649" t="s">
        <v>1637</v>
      </c>
      <c r="C225" s="648" t="s">
        <v>259</v>
      </c>
      <c r="D225" s="650" t="n">
        <v>300</v>
      </c>
    </row>
    <row r="226" customFormat="false" ht="12.8" hidden="false" customHeight="false" outlineLevel="0" collapsed="false">
      <c r="A226" s="649" t="s">
        <v>2078</v>
      </c>
      <c r="B226" s="649" t="s">
        <v>2079</v>
      </c>
      <c r="C226" s="648" t="s">
        <v>259</v>
      </c>
      <c r="D226" s="650" t="n">
        <v>500</v>
      </c>
    </row>
    <row r="227" customFormat="false" ht="12.8" hidden="false" customHeight="false" outlineLevel="0" collapsed="false">
      <c r="A227" s="649" t="s">
        <v>2080</v>
      </c>
      <c r="B227" s="649" t="s">
        <v>1643</v>
      </c>
      <c r="C227" s="648" t="s">
        <v>259</v>
      </c>
      <c r="D227" s="650" t="n">
        <v>1878.53</v>
      </c>
    </row>
    <row r="228" customFormat="false" ht="12.8" hidden="false" customHeight="false" outlineLevel="0" collapsed="false">
      <c r="A228" s="649" t="s">
        <v>2081</v>
      </c>
      <c r="B228" s="649" t="s">
        <v>1645</v>
      </c>
      <c r="C228" s="648" t="s">
        <v>259</v>
      </c>
      <c r="D228" s="650" t="n">
        <v>400</v>
      </c>
    </row>
    <row r="229" customFormat="false" ht="12.8" hidden="false" customHeight="false" outlineLevel="0" collapsed="false">
      <c r="A229" s="649" t="s">
        <v>2082</v>
      </c>
      <c r="B229" s="649" t="s">
        <v>2083</v>
      </c>
      <c r="C229" s="648" t="s">
        <v>259</v>
      </c>
      <c r="D229" s="650" t="n">
        <v>120</v>
      </c>
    </row>
    <row r="230" customFormat="false" ht="12.8" hidden="false" customHeight="false" outlineLevel="0" collapsed="false">
      <c r="A230" s="649" t="s">
        <v>2084</v>
      </c>
      <c r="B230" s="649" t="s">
        <v>2085</v>
      </c>
      <c r="C230" s="648" t="s">
        <v>259</v>
      </c>
      <c r="D230" s="650" t="n">
        <v>23</v>
      </c>
    </row>
    <row r="231" customFormat="false" ht="12.8" hidden="false" customHeight="false" outlineLevel="0" collapsed="false">
      <c r="A231" s="649" t="s">
        <v>2086</v>
      </c>
      <c r="B231" s="649" t="s">
        <v>2087</v>
      </c>
      <c r="C231" s="648" t="s">
        <v>259</v>
      </c>
      <c r="D231" s="650" t="n">
        <v>74.03</v>
      </c>
    </row>
    <row r="232" customFormat="false" ht="12.8" hidden="false" customHeight="false" outlineLevel="0" collapsed="false">
      <c r="A232" s="649" t="s">
        <v>2088</v>
      </c>
      <c r="B232" s="649" t="s">
        <v>2089</v>
      </c>
      <c r="C232" s="648" t="s">
        <v>259</v>
      </c>
      <c r="D232" s="650" t="n">
        <v>137.62</v>
      </c>
    </row>
    <row r="233" customFormat="false" ht="12.8" hidden="false" customHeight="false" outlineLevel="0" collapsed="false">
      <c r="A233" s="649" t="s">
        <v>2090</v>
      </c>
      <c r="B233" s="649" t="s">
        <v>1655</v>
      </c>
      <c r="C233" s="648" t="s">
        <v>259</v>
      </c>
      <c r="D233" s="650" t="n">
        <v>200</v>
      </c>
    </row>
    <row r="234" customFormat="false" ht="12.8" hidden="false" customHeight="false" outlineLevel="0" collapsed="false">
      <c r="A234" s="649" t="s">
        <v>2091</v>
      </c>
      <c r="B234" s="649" t="s">
        <v>2092</v>
      </c>
      <c r="C234" s="648" t="s">
        <v>259</v>
      </c>
      <c r="D234" s="650" t="n">
        <v>600</v>
      </c>
    </row>
    <row r="235" customFormat="false" ht="12.8" hidden="false" customHeight="false" outlineLevel="0" collapsed="false">
      <c r="A235" s="649" t="s">
        <v>2093</v>
      </c>
      <c r="B235" s="649" t="s">
        <v>2094</v>
      </c>
      <c r="C235" s="648" t="s">
        <v>259</v>
      </c>
      <c r="D235" s="650" t="n">
        <v>700</v>
      </c>
    </row>
    <row r="236" customFormat="false" ht="12.8" hidden="false" customHeight="false" outlineLevel="0" collapsed="false">
      <c r="A236" s="649" t="s">
        <v>2095</v>
      </c>
      <c r="B236" s="649" t="s">
        <v>2096</v>
      </c>
      <c r="C236" s="648" t="s">
        <v>1666</v>
      </c>
      <c r="D236" s="650" t="n">
        <v>800</v>
      </c>
    </row>
    <row r="237" customFormat="false" ht="12.8" hidden="false" customHeight="false" outlineLevel="0" collapsed="false">
      <c r="A237" s="649" t="s">
        <v>2097</v>
      </c>
      <c r="B237" s="649" t="s">
        <v>2098</v>
      </c>
      <c r="C237" s="648" t="s">
        <v>1666</v>
      </c>
      <c r="D237" s="650" t="n">
        <v>800</v>
      </c>
    </row>
    <row r="238" customFormat="false" ht="12.8" hidden="false" customHeight="false" outlineLevel="0" collapsed="false">
      <c r="A238" s="649" t="s">
        <v>2099</v>
      </c>
      <c r="B238" s="649" t="s">
        <v>2100</v>
      </c>
      <c r="C238" s="648" t="s">
        <v>1666</v>
      </c>
      <c r="D238" s="650" t="n">
        <v>800</v>
      </c>
    </row>
    <row r="239" customFormat="false" ht="12.8" hidden="false" customHeight="false" outlineLevel="0" collapsed="false">
      <c r="A239" s="649" t="s">
        <v>2101</v>
      </c>
      <c r="B239" s="649" t="s">
        <v>2102</v>
      </c>
      <c r="C239" s="648" t="s">
        <v>1666</v>
      </c>
      <c r="D239" s="650" t="n">
        <v>800</v>
      </c>
    </row>
    <row r="240" customFormat="false" ht="12.8" hidden="false" customHeight="false" outlineLevel="0" collapsed="false">
      <c r="A240" s="649" t="s">
        <v>2103</v>
      </c>
      <c r="B240" s="649" t="s">
        <v>2104</v>
      </c>
      <c r="C240" s="648" t="s">
        <v>259</v>
      </c>
      <c r="D240" s="650" t="n">
        <v>1000</v>
      </c>
    </row>
    <row r="241" customFormat="false" ht="12.8" hidden="false" customHeight="false" outlineLevel="0" collapsed="false">
      <c r="A241" s="649" t="s">
        <v>2105</v>
      </c>
      <c r="B241" s="649" t="s">
        <v>1678</v>
      </c>
      <c r="C241" s="648" t="s">
        <v>259</v>
      </c>
      <c r="D241" s="650" t="n">
        <v>150</v>
      </c>
    </row>
    <row r="242" customFormat="false" ht="12.8" hidden="false" customHeight="false" outlineLevel="0" collapsed="false">
      <c r="A242" s="649" t="s">
        <v>2106</v>
      </c>
      <c r="B242" s="649" t="s">
        <v>2107</v>
      </c>
      <c r="C242" s="648" t="s">
        <v>259</v>
      </c>
      <c r="D242" s="650" t="n">
        <v>500</v>
      </c>
    </row>
    <row r="243" customFormat="false" ht="12.8" hidden="false" customHeight="false" outlineLevel="0" collapsed="false">
      <c r="A243" s="649" t="s">
        <v>2108</v>
      </c>
      <c r="B243" s="649" t="s">
        <v>2109</v>
      </c>
      <c r="C243" s="648" t="s">
        <v>259</v>
      </c>
      <c r="D243" s="650" t="n">
        <v>500</v>
      </c>
    </row>
    <row r="244" customFormat="false" ht="12.8" hidden="false" customHeight="false" outlineLevel="0" collapsed="false">
      <c r="A244" s="649" t="s">
        <v>2110</v>
      </c>
      <c r="B244" s="649" t="s">
        <v>2111</v>
      </c>
      <c r="C244" s="648" t="s">
        <v>259</v>
      </c>
      <c r="D244" s="650" t="n">
        <v>500</v>
      </c>
    </row>
    <row r="245" customFormat="false" ht="12.8" hidden="false" customHeight="false" outlineLevel="0" collapsed="false">
      <c r="A245" s="649" t="s">
        <v>2110</v>
      </c>
      <c r="B245" s="649" t="s">
        <v>2111</v>
      </c>
      <c r="C245" s="648" t="s">
        <v>259</v>
      </c>
      <c r="D245" s="650" t="n">
        <v>500</v>
      </c>
    </row>
  </sheetData>
  <mergeCells count="1">
    <mergeCell ref="A1:I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1:O4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42" activeCellId="0" sqref="D42"/>
    </sheetView>
  </sheetViews>
  <sheetFormatPr defaultColWidth="8.796875" defaultRowHeight="12.8" zeroHeight="false" outlineLevelRow="0" outlineLevelCol="0"/>
  <cols>
    <col collapsed="false" customWidth="true" hidden="false" outlineLevel="0" max="2" min="1" style="0" width="2.42"/>
    <col collapsed="false" customWidth="true" hidden="false" outlineLevel="0" max="4" min="3" style="0" width="25"/>
    <col collapsed="false" customWidth="true" hidden="false" outlineLevel="0" max="7" min="5" style="0" width="13.29"/>
    <col collapsed="false" customWidth="true" hidden="false" outlineLevel="0" max="8" min="8" style="0" width="3.71"/>
    <col collapsed="false" customWidth="true" hidden="false" outlineLevel="0" max="10" min="10" style="0" width="12.71"/>
    <col collapsed="false" customWidth="true" hidden="false" outlineLevel="0" max="11" min="11" style="0" width="9.42"/>
    <col collapsed="false" customWidth="true" hidden="false" outlineLevel="0" max="12" min="12" style="0" width="10.85"/>
    <col collapsed="false" customWidth="true" hidden="false" outlineLevel="0" max="13" min="13" style="0" width="84.29"/>
    <col collapsed="false" customWidth="true" hidden="false" outlineLevel="0" max="14" min="14" style="0" width="8.4"/>
    <col collapsed="false" customWidth="true" hidden="false" outlineLevel="0" max="15" min="15" style="0" width="13.7"/>
  </cols>
  <sheetData>
    <row r="1" customFormat="false" ht="12.8" hidden="false" customHeight="false" outlineLevel="0" collapsed="false">
      <c r="A1" s="654"/>
      <c r="B1" s="654"/>
      <c r="C1" s="654"/>
      <c r="D1" s="12"/>
      <c r="E1" s="12"/>
      <c r="F1" s="12"/>
      <c r="G1" s="12"/>
      <c r="H1" s="12"/>
    </row>
    <row r="2" customFormat="false" ht="12.8" hidden="false" customHeight="false" outlineLevel="0" collapsed="false">
      <c r="A2" s="654"/>
      <c r="B2" s="654"/>
      <c r="C2" s="655" t="s">
        <v>2112</v>
      </c>
      <c r="D2" s="655"/>
      <c r="E2" s="655"/>
      <c r="F2" s="655"/>
      <c r="G2" s="655"/>
      <c r="H2" s="12"/>
    </row>
    <row r="3" customFormat="false" ht="12.8" hidden="false" customHeight="false" outlineLevel="0" collapsed="false">
      <c r="A3" s="654"/>
      <c r="B3" s="654"/>
      <c r="C3" s="655"/>
      <c r="D3" s="655"/>
      <c r="E3" s="655"/>
      <c r="F3" s="655"/>
      <c r="G3" s="655"/>
      <c r="H3" s="12"/>
    </row>
    <row r="4" customFormat="false" ht="12.8" hidden="false" customHeight="false" outlineLevel="0" collapsed="false">
      <c r="A4" s="654"/>
      <c r="B4" s="654"/>
      <c r="C4" s="656"/>
      <c r="D4" s="12"/>
      <c r="E4" s="12"/>
      <c r="F4" s="12"/>
      <c r="G4" s="657"/>
      <c r="H4" s="12"/>
    </row>
    <row r="5" customFormat="false" ht="13.8" hidden="false" customHeight="false" outlineLevel="0" collapsed="false">
      <c r="A5" s="654"/>
      <c r="B5" s="654"/>
      <c r="C5" s="656"/>
      <c r="D5" s="658" t="s">
        <v>2113</v>
      </c>
      <c r="E5" s="659" t="s">
        <v>176</v>
      </c>
      <c r="F5" s="12"/>
      <c r="G5" s="660" t="s">
        <v>2114</v>
      </c>
      <c r="H5" s="12"/>
    </row>
    <row r="6" customFormat="false" ht="13.8" hidden="false" customHeight="false" outlineLevel="0" collapsed="false">
      <c r="A6" s="654"/>
      <c r="B6" s="654"/>
      <c r="C6" s="656"/>
      <c r="D6" s="661" t="s">
        <v>2115</v>
      </c>
      <c r="E6" s="662" t="n">
        <f aca="false">ENC_SOCIAIS!G43</f>
        <v>0</v>
      </c>
      <c r="F6" s="12"/>
      <c r="G6" s="657"/>
      <c r="H6" s="12"/>
    </row>
    <row r="7" customFormat="false" ht="13.8" hidden="false" customHeight="false" outlineLevel="0" collapsed="false">
      <c r="A7" s="654"/>
      <c r="B7" s="654"/>
      <c r="C7" s="656"/>
      <c r="D7" s="661" t="s">
        <v>2116</v>
      </c>
      <c r="E7" s="662" t="n">
        <v>0.2</v>
      </c>
      <c r="F7" s="407"/>
      <c r="G7" s="657"/>
      <c r="H7" s="12"/>
      <c r="J7" s="663" t="s">
        <v>2117</v>
      </c>
    </row>
    <row r="8" customFormat="false" ht="13.8" hidden="false" customHeight="false" outlineLevel="0" collapsed="false">
      <c r="A8" s="654"/>
      <c r="B8" s="654"/>
      <c r="C8" s="656"/>
      <c r="D8" s="661" t="s">
        <v>2118</v>
      </c>
      <c r="E8" s="662" t="n">
        <v>0.1</v>
      </c>
      <c r="F8" s="407"/>
      <c r="G8" s="657"/>
      <c r="H8" s="12"/>
      <c r="J8" s="663" t="s">
        <v>2119</v>
      </c>
    </row>
    <row r="9" customFormat="false" ht="13.8" hidden="false" customHeight="false" outlineLevel="0" collapsed="false">
      <c r="A9" s="654"/>
      <c r="B9" s="654"/>
      <c r="C9" s="656"/>
      <c r="D9" s="661" t="s">
        <v>2120</v>
      </c>
      <c r="E9" s="664" t="n">
        <f aca="false">E19</f>
        <v>0.109877913429523</v>
      </c>
      <c r="F9" s="12"/>
      <c r="G9" s="657"/>
      <c r="H9" s="12"/>
    </row>
    <row r="10" customFormat="false" ht="13.8" hidden="false" customHeight="false" outlineLevel="0" collapsed="false">
      <c r="A10" s="654"/>
      <c r="B10" s="654"/>
      <c r="C10" s="656"/>
      <c r="D10" s="665" t="s">
        <v>2121</v>
      </c>
      <c r="E10" s="666" t="n">
        <f aca="false">(1+E6+E7)*(1+E8)*(1+E9)</f>
        <v>1.46503884572697</v>
      </c>
      <c r="F10" s="12"/>
      <c r="G10" s="657"/>
      <c r="H10" s="12"/>
    </row>
    <row r="11" customFormat="false" ht="13.8" hidden="false" customHeight="false" outlineLevel="0" collapsed="false">
      <c r="A11" s="654"/>
      <c r="B11" s="654"/>
      <c r="C11" s="656"/>
      <c r="D11" s="665" t="s">
        <v>505</v>
      </c>
      <c r="E11" s="666" t="n">
        <f aca="false">(1+E8)*(1+E9)</f>
        <v>1.22086570477248</v>
      </c>
      <c r="F11" s="12"/>
      <c r="G11" s="657"/>
      <c r="H11" s="12"/>
    </row>
    <row r="12" customFormat="false" ht="13.8" hidden="false" customHeight="false" outlineLevel="0" collapsed="false">
      <c r="A12" s="654"/>
      <c r="B12" s="654"/>
      <c r="C12" s="656"/>
      <c r="D12" s="667"/>
      <c r="E12" s="12"/>
      <c r="F12" s="12"/>
      <c r="G12" s="657"/>
      <c r="H12" s="12"/>
    </row>
    <row r="13" customFormat="false" ht="13.8" hidden="false" customHeight="false" outlineLevel="0" collapsed="false">
      <c r="A13" s="654"/>
      <c r="B13" s="654"/>
      <c r="C13" s="656"/>
      <c r="D13" s="668" t="s">
        <v>2122</v>
      </c>
      <c r="E13" s="668"/>
      <c r="F13" s="668"/>
      <c r="G13" s="657"/>
      <c r="H13" s="12"/>
    </row>
    <row r="14" customFormat="false" ht="12.8" hidden="false" customHeight="false" outlineLevel="0" collapsed="false">
      <c r="A14" s="654"/>
      <c r="B14" s="654"/>
      <c r="C14" s="656"/>
      <c r="D14" s="669"/>
      <c r="E14" s="670" t="n">
        <v>1</v>
      </c>
      <c r="F14" s="670" t="n">
        <v>0.8</v>
      </c>
      <c r="G14" s="657"/>
      <c r="H14" s="12"/>
    </row>
    <row r="15" customFormat="false" ht="13.8" hidden="false" customHeight="false" outlineLevel="0" collapsed="false">
      <c r="A15" s="654"/>
      <c r="B15" s="654"/>
      <c r="C15" s="656"/>
      <c r="D15" s="671" t="s">
        <v>152</v>
      </c>
      <c r="E15" s="672" t="n">
        <v>0.0165</v>
      </c>
      <c r="F15" s="673" t="n">
        <f aca="false">E15*F14</f>
        <v>0.0132</v>
      </c>
      <c r="G15" s="657"/>
      <c r="H15" s="12"/>
      <c r="J15" s="0" t="n">
        <f aca="false">0.8*E15</f>
        <v>0.0132</v>
      </c>
    </row>
    <row r="16" customFormat="false" ht="13.8" hidden="false" customHeight="false" outlineLevel="0" collapsed="false">
      <c r="A16" s="654"/>
      <c r="B16" s="654"/>
      <c r="C16" s="656"/>
      <c r="D16" s="671" t="s">
        <v>155</v>
      </c>
      <c r="E16" s="672" t="n">
        <v>0.076</v>
      </c>
      <c r="F16" s="673" t="n">
        <f aca="false">E16*F14</f>
        <v>0.0608</v>
      </c>
      <c r="G16" s="657"/>
      <c r="H16" s="12"/>
      <c r="J16" s="0" t="n">
        <f aca="false">0.8*E16</f>
        <v>0.0608</v>
      </c>
    </row>
    <row r="17" customFormat="false" ht="13.8" hidden="false" customHeight="false" outlineLevel="0" collapsed="false">
      <c r="A17" s="654"/>
      <c r="B17" s="654"/>
      <c r="C17" s="656"/>
      <c r="D17" s="671" t="s">
        <v>151</v>
      </c>
      <c r="E17" s="673" t="n">
        <v>0.025</v>
      </c>
      <c r="F17" s="377"/>
      <c r="G17" s="657"/>
      <c r="H17" s="12"/>
      <c r="J17" s="663" t="s">
        <v>2123</v>
      </c>
      <c r="K17" s="663"/>
      <c r="L17" s="663"/>
      <c r="M17" s="663"/>
      <c r="N17" s="663"/>
      <c r="O17" s="663"/>
    </row>
    <row r="18" customFormat="false" ht="16.75" hidden="false" customHeight="false" outlineLevel="0" collapsed="false">
      <c r="A18" s="654"/>
      <c r="B18" s="654"/>
      <c r="C18" s="656"/>
      <c r="D18" s="671"/>
      <c r="E18" s="674"/>
      <c r="F18" s="675"/>
      <c r="G18" s="657"/>
      <c r="H18" s="12"/>
      <c r="J18" s="676" t="s">
        <v>2124</v>
      </c>
      <c r="K18" s="663"/>
      <c r="L18" s="663"/>
      <c r="M18" s="663"/>
      <c r="N18" s="663"/>
      <c r="O18" s="663"/>
    </row>
    <row r="19" customFormat="false" ht="13.8" hidden="false" customHeight="false" outlineLevel="0" collapsed="false">
      <c r="A19" s="654"/>
      <c r="B19" s="654"/>
      <c r="C19" s="656"/>
      <c r="D19" s="677" t="s">
        <v>2125</v>
      </c>
      <c r="E19" s="678" t="n">
        <f aca="false">(1/(1-F15-F16-E17))-1</f>
        <v>0.109877913429523</v>
      </c>
      <c r="F19" s="679"/>
      <c r="G19" s="657"/>
      <c r="H19" s="12"/>
      <c r="J19" s="663" t="s">
        <v>447</v>
      </c>
      <c r="K19" s="663" t="s">
        <v>2126</v>
      </c>
      <c r="L19" s="663" t="s">
        <v>2127</v>
      </c>
      <c r="M19" s="663" t="s">
        <v>441</v>
      </c>
      <c r="N19" s="680"/>
      <c r="O19" s="663"/>
    </row>
    <row r="20" customFormat="false" ht="13.8" hidden="false" customHeight="false" outlineLevel="0" collapsed="false">
      <c r="A20" s="654"/>
      <c r="B20" s="654"/>
      <c r="C20" s="656"/>
      <c r="D20" s="12"/>
      <c r="E20" s="12"/>
      <c r="F20" s="12"/>
      <c r="G20" s="657"/>
      <c r="H20" s="12"/>
      <c r="J20" s="663" t="s">
        <v>2128</v>
      </c>
      <c r="K20" s="663" t="n">
        <v>2.5</v>
      </c>
      <c r="L20" s="663" t="s">
        <v>2129</v>
      </c>
      <c r="M20" s="663" t="s">
        <v>2130</v>
      </c>
      <c r="N20" s="680"/>
      <c r="O20" s="663"/>
    </row>
    <row r="21" customFormat="false" ht="24.75" hidden="false" customHeight="true" outlineLevel="0" collapsed="false">
      <c r="A21" s="654"/>
      <c r="B21" s="654"/>
      <c r="C21" s="681" t="s">
        <v>2131</v>
      </c>
      <c r="D21" s="681"/>
      <c r="E21" s="681"/>
      <c r="F21" s="681"/>
      <c r="G21" s="681"/>
      <c r="H21" s="12"/>
      <c r="J21" s="663" t="s">
        <v>2132</v>
      </c>
      <c r="K21" s="663" t="n">
        <v>2.5</v>
      </c>
      <c r="L21" s="663" t="s">
        <v>2129</v>
      </c>
      <c r="M21" s="663" t="s">
        <v>2133</v>
      </c>
      <c r="N21" s="680"/>
      <c r="O21" s="663"/>
    </row>
    <row r="22" customFormat="false" ht="13.8" hidden="false" customHeight="false" outlineLevel="0" collapsed="false">
      <c r="A22" s="654"/>
      <c r="B22" s="654"/>
      <c r="C22" s="682"/>
      <c r="D22" s="682"/>
      <c r="E22" s="682"/>
      <c r="F22" s="682"/>
      <c r="G22" s="682"/>
      <c r="H22" s="12"/>
      <c r="J22" s="683" t="s">
        <v>2134</v>
      </c>
      <c r="K22" s="683" t="n">
        <v>2.5</v>
      </c>
      <c r="L22" s="683" t="s">
        <v>2129</v>
      </c>
      <c r="M22" s="683" t="s">
        <v>2135</v>
      </c>
    </row>
    <row r="23" customFormat="false" ht="15" hidden="false" customHeight="true" outlineLevel="0" collapsed="false">
      <c r="A23" s="654"/>
      <c r="B23" s="654"/>
      <c r="C23" s="682" t="s">
        <v>2136</v>
      </c>
      <c r="D23" s="682"/>
      <c r="E23" s="682"/>
      <c r="F23" s="682"/>
      <c r="G23" s="682"/>
      <c r="H23" s="667"/>
      <c r="J23" s="663" t="s">
        <v>2137</v>
      </c>
      <c r="K23" s="663" t="n">
        <v>2.5</v>
      </c>
      <c r="L23" s="663" t="s">
        <v>2129</v>
      </c>
      <c r="M23" s="663" t="s">
        <v>2138</v>
      </c>
    </row>
    <row r="24" customFormat="false" ht="15" hidden="false" customHeight="true" outlineLevel="0" collapsed="false">
      <c r="A24" s="654"/>
      <c r="B24" s="654"/>
      <c r="C24" s="682" t="s">
        <v>2139</v>
      </c>
      <c r="D24" s="682"/>
      <c r="E24" s="682"/>
      <c r="F24" s="682"/>
      <c r="G24" s="682"/>
      <c r="H24" s="667"/>
      <c r="J24" s="663" t="s">
        <v>2140</v>
      </c>
      <c r="K24" s="663" t="n">
        <v>2.5</v>
      </c>
      <c r="L24" s="663" t="s">
        <v>2129</v>
      </c>
      <c r="M24" s="663" t="s">
        <v>2141</v>
      </c>
    </row>
    <row r="25" customFormat="false" ht="15" hidden="false" customHeight="true" outlineLevel="0" collapsed="false">
      <c r="A25" s="654"/>
      <c r="B25" s="654"/>
      <c r="C25" s="682" t="s">
        <v>2142</v>
      </c>
      <c r="D25" s="682"/>
      <c r="E25" s="682"/>
      <c r="F25" s="682"/>
      <c r="G25" s="682"/>
      <c r="H25" s="12"/>
    </row>
    <row r="26" customFormat="false" ht="15" hidden="false" customHeight="true" outlineLevel="0" collapsed="false">
      <c r="A26" s="654"/>
      <c r="B26" s="654"/>
      <c r="C26" s="682" t="s">
        <v>2143</v>
      </c>
      <c r="D26" s="682"/>
      <c r="E26" s="682"/>
      <c r="F26" s="682"/>
      <c r="G26" s="682"/>
      <c r="H26" s="12"/>
    </row>
    <row r="27" customFormat="false" ht="15" hidden="false" customHeight="true" outlineLevel="0" collapsed="false">
      <c r="A27" s="654"/>
      <c r="B27" s="654"/>
      <c r="C27" s="682" t="s">
        <v>2144</v>
      </c>
      <c r="D27" s="682"/>
      <c r="E27" s="682"/>
      <c r="F27" s="682"/>
      <c r="G27" s="682"/>
      <c r="H27" s="12"/>
    </row>
    <row r="28" customFormat="false" ht="15" hidden="false" customHeight="true" outlineLevel="0" collapsed="false">
      <c r="A28" s="654"/>
      <c r="B28" s="654"/>
      <c r="C28" s="682" t="s">
        <v>2145</v>
      </c>
      <c r="D28" s="682"/>
      <c r="E28" s="682"/>
      <c r="F28" s="682"/>
      <c r="G28" s="682"/>
      <c r="H28" s="12"/>
    </row>
    <row r="29" customFormat="false" ht="15" hidden="false" customHeight="true" outlineLevel="0" collapsed="false">
      <c r="A29" s="654"/>
      <c r="B29" s="654"/>
      <c r="C29" s="682" t="s">
        <v>2146</v>
      </c>
      <c r="D29" s="682"/>
      <c r="E29" s="682"/>
      <c r="F29" s="682"/>
      <c r="G29" s="682"/>
      <c r="H29" s="12"/>
    </row>
    <row r="30" customFormat="false" ht="15" hidden="false" customHeight="true" outlineLevel="0" collapsed="false">
      <c r="A30" s="654"/>
      <c r="B30" s="654"/>
      <c r="C30" s="682" t="s">
        <v>2147</v>
      </c>
      <c r="D30" s="682"/>
      <c r="E30" s="682"/>
      <c r="F30" s="682"/>
      <c r="G30" s="682"/>
      <c r="H30" s="12"/>
    </row>
    <row r="31" customFormat="false" ht="24" hidden="false" customHeight="true" outlineLevel="0" collapsed="false">
      <c r="A31" s="654"/>
      <c r="B31" s="654"/>
      <c r="C31" s="684" t="s">
        <v>2148</v>
      </c>
      <c r="D31" s="684"/>
      <c r="E31" s="684"/>
      <c r="F31" s="684"/>
      <c r="G31" s="684"/>
      <c r="H31" s="12"/>
    </row>
    <row r="32" customFormat="false" ht="24.75" hidden="false" customHeight="true" outlineLevel="0" collapsed="false">
      <c r="A32" s="654"/>
      <c r="B32" s="654"/>
      <c r="C32" s="685" t="s">
        <v>2149</v>
      </c>
      <c r="D32" s="685"/>
      <c r="E32" s="685"/>
      <c r="F32" s="685"/>
      <c r="G32" s="685"/>
      <c r="H32" s="12"/>
    </row>
    <row r="33" customFormat="false" ht="23.25" hidden="false" customHeight="true" outlineLevel="0" collapsed="false">
      <c r="A33" s="654"/>
      <c r="B33" s="654"/>
      <c r="C33" s="682" t="s">
        <v>2150</v>
      </c>
      <c r="D33" s="682"/>
      <c r="E33" s="682"/>
      <c r="F33" s="682"/>
      <c r="G33" s="682"/>
      <c r="H33" s="12"/>
    </row>
    <row r="34" customFormat="false" ht="24.75" hidden="false" customHeight="true" outlineLevel="0" collapsed="false">
      <c r="A34" s="654"/>
      <c r="B34" s="654"/>
      <c r="C34" s="682" t="s">
        <v>2151</v>
      </c>
      <c r="D34" s="682"/>
      <c r="E34" s="682"/>
      <c r="F34" s="682"/>
      <c r="G34" s="682"/>
      <c r="H34" s="12"/>
    </row>
    <row r="35" customFormat="false" ht="15" hidden="false" customHeight="true" outlineLevel="0" collapsed="false">
      <c r="A35" s="654"/>
      <c r="B35" s="654"/>
      <c r="C35" s="682" t="s">
        <v>2152</v>
      </c>
      <c r="D35" s="682"/>
      <c r="E35" s="682"/>
      <c r="F35" s="682"/>
      <c r="G35" s="682"/>
      <c r="H35" s="12"/>
    </row>
    <row r="36" customFormat="false" ht="15" hidden="false" customHeight="true" outlineLevel="0" collapsed="false">
      <c r="A36" s="654"/>
      <c r="B36" s="654"/>
      <c r="C36" s="686" t="s">
        <v>2153</v>
      </c>
      <c r="D36" s="686"/>
      <c r="E36" s="686"/>
      <c r="F36" s="686"/>
      <c r="G36" s="686"/>
      <c r="H36" s="12"/>
    </row>
    <row r="37" customFormat="false" ht="12.8" hidden="false" customHeight="false" outlineLevel="0" collapsed="false">
      <c r="A37" s="654"/>
      <c r="B37" s="654"/>
      <c r="C37" s="12" t="s">
        <v>2154</v>
      </c>
      <c r="D37" s="12"/>
      <c r="E37" s="12"/>
      <c r="F37" s="12"/>
      <c r="G37" s="12"/>
      <c r="H37" s="12"/>
    </row>
    <row r="38" customFormat="false" ht="24.75" hidden="false" customHeight="true" outlineLevel="0" collapsed="false">
      <c r="A38" s="654"/>
      <c r="B38" s="654"/>
      <c r="C38" s="681" t="s">
        <v>2155</v>
      </c>
      <c r="D38" s="681"/>
      <c r="E38" s="681"/>
      <c r="F38" s="681"/>
      <c r="G38" s="681"/>
      <c r="H38" s="12"/>
    </row>
    <row r="39" customFormat="false" ht="46.5" hidden="false" customHeight="true" outlineLevel="0" collapsed="false">
      <c r="A39" s="654"/>
      <c r="B39" s="654"/>
      <c r="C39" s="687" t="s">
        <v>2156</v>
      </c>
      <c r="D39" s="687"/>
      <c r="E39" s="687"/>
      <c r="F39" s="687"/>
      <c r="G39" s="687"/>
      <c r="H39" s="12"/>
    </row>
    <row r="40" customFormat="false" ht="12.8" hidden="false" customHeight="false" outlineLevel="0" collapsed="false">
      <c r="A40" s="654"/>
      <c r="B40" s="654"/>
      <c r="C40" s="654"/>
      <c r="D40" s="688"/>
      <c r="E40" s="688"/>
      <c r="F40" s="12"/>
      <c r="G40" s="12"/>
      <c r="H40" s="12"/>
    </row>
  </sheetData>
  <mergeCells count="60">
    <mergeCell ref="A1:C1"/>
    <mergeCell ref="A2:B2"/>
    <mergeCell ref="C2:G3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D13:F13"/>
    <mergeCell ref="A14:B14"/>
    <mergeCell ref="A15:B15"/>
    <mergeCell ref="A16:B16"/>
    <mergeCell ref="A17:B17"/>
    <mergeCell ref="A18:B18"/>
    <mergeCell ref="A19:B19"/>
    <mergeCell ref="A20:B20"/>
    <mergeCell ref="A21:B21"/>
    <mergeCell ref="C21:G21"/>
    <mergeCell ref="A22:B22"/>
    <mergeCell ref="C22:G22"/>
    <mergeCell ref="A23:B23"/>
    <mergeCell ref="C23:G23"/>
    <mergeCell ref="A24:B24"/>
    <mergeCell ref="C24:G24"/>
    <mergeCell ref="A25:B25"/>
    <mergeCell ref="C25:G25"/>
    <mergeCell ref="A26:B26"/>
    <mergeCell ref="C26:G26"/>
    <mergeCell ref="A27:B27"/>
    <mergeCell ref="C27:G27"/>
    <mergeCell ref="A28:B28"/>
    <mergeCell ref="C28:G28"/>
    <mergeCell ref="A29:B29"/>
    <mergeCell ref="C29:G29"/>
    <mergeCell ref="A30:B30"/>
    <mergeCell ref="C30:G30"/>
    <mergeCell ref="A31:B31"/>
    <mergeCell ref="C31:G31"/>
    <mergeCell ref="A32:B32"/>
    <mergeCell ref="C32:G32"/>
    <mergeCell ref="A33:B33"/>
    <mergeCell ref="C33:G33"/>
    <mergeCell ref="A34:B34"/>
    <mergeCell ref="C34:G34"/>
    <mergeCell ref="A35:B35"/>
    <mergeCell ref="C35:G35"/>
    <mergeCell ref="A36:B36"/>
    <mergeCell ref="C36:G36"/>
    <mergeCell ref="A37:B37"/>
    <mergeCell ref="A38:B38"/>
    <mergeCell ref="C38:G38"/>
    <mergeCell ref="A39:B39"/>
    <mergeCell ref="C39:G39"/>
    <mergeCell ref="A40:C4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8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2A6099"/>
    <pageSetUpPr fitToPage="true"/>
  </sheetPr>
  <dimension ref="A2:AMJ4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U24" activeCellId="0" sqref="U24"/>
    </sheetView>
  </sheetViews>
  <sheetFormatPr defaultColWidth="9.13671875" defaultRowHeight="15" zeroHeight="false" outlineLevelRow="0" outlineLevelCol="0"/>
  <cols>
    <col collapsed="false" customWidth="true" hidden="false" outlineLevel="0" max="1" min="1" style="66" width="5.9"/>
    <col collapsed="false" customWidth="true" hidden="false" outlineLevel="0" max="2" min="2" style="67" width="13.86"/>
    <col collapsed="false" customWidth="true" hidden="true" outlineLevel="0" max="5" min="3" style="67" width="11.57"/>
    <col collapsed="false" customWidth="true" hidden="false" outlineLevel="0" max="6" min="6" style="67" width="11.52"/>
    <col collapsed="false" customWidth="true" hidden="false" outlineLevel="0" max="7" min="7" style="67" width="54.91"/>
    <col collapsed="false" customWidth="true" hidden="false" outlineLevel="0" max="8" min="8" style="68" width="12.57"/>
    <col collapsed="false" customWidth="true" hidden="false" outlineLevel="0" max="9" min="9" style="68" width="14.86"/>
    <col collapsed="false" customWidth="true" hidden="false" outlineLevel="0" max="10" min="10" style="69" width="15.42"/>
    <col collapsed="false" customWidth="true" hidden="false" outlineLevel="0" max="11" min="11" style="68" width="13.86"/>
    <col collapsed="false" customWidth="true" hidden="false" outlineLevel="0" max="12" min="12" style="70" width="13.16"/>
    <col collapsed="false" customWidth="true" hidden="false" outlineLevel="0" max="13" min="13" style="71" width="2.99"/>
    <col collapsed="false" customWidth="true" hidden="true" outlineLevel="0" max="14" min="14" style="68" width="5.99"/>
    <col collapsed="false" customWidth="true" hidden="true" outlineLevel="0" max="15" min="15" style="68" width="14.77"/>
    <col collapsed="false" customWidth="true" hidden="true" outlineLevel="0" max="16" min="16" style="68" width="11.7"/>
    <col collapsed="false" customWidth="true" hidden="true" outlineLevel="0" max="17" min="17" style="68" width="14.16"/>
    <col collapsed="false" customWidth="false" hidden="true" outlineLevel="0" max="19" min="18" style="68" width="9.13"/>
    <col collapsed="false" customWidth="false" hidden="false" outlineLevel="0" max="1018" min="20" style="68" width="9.13"/>
    <col collapsed="false" customWidth="false" hidden="false" outlineLevel="0" max="1024" min="1019" style="72" width="9.13"/>
  </cols>
  <sheetData>
    <row r="2" customFormat="false" ht="15" hidden="false" customHeight="false" outlineLevel="0" collapsed="false">
      <c r="B2" s="73"/>
      <c r="C2" s="73"/>
      <c r="D2" s="73"/>
      <c r="E2" s="73"/>
      <c r="F2" s="73"/>
      <c r="G2" s="74"/>
      <c r="H2" s="74"/>
      <c r="I2" s="74"/>
      <c r="J2" s="74"/>
      <c r="K2" s="74"/>
      <c r="L2" s="74"/>
      <c r="M2" s="75"/>
    </row>
    <row r="3" customFormat="false" ht="15" hidden="false" customHeight="false" outlineLevel="0" collapsed="false">
      <c r="B3" s="74"/>
      <c r="C3" s="74"/>
      <c r="D3" s="74"/>
      <c r="E3" s="74"/>
      <c r="F3" s="74"/>
      <c r="G3" s="74" t="s">
        <v>0</v>
      </c>
      <c r="H3" s="74"/>
      <c r="I3" s="74"/>
      <c r="J3" s="74"/>
      <c r="K3" s="74"/>
      <c r="L3" s="74"/>
      <c r="M3" s="75"/>
    </row>
    <row r="4" customFormat="false" ht="15" hidden="false" customHeight="false" outlineLevel="0" collapsed="false">
      <c r="B4" s="74"/>
      <c r="C4" s="74"/>
      <c r="D4" s="74"/>
      <c r="E4" s="74"/>
      <c r="F4" s="74"/>
      <c r="G4" s="74" t="s">
        <v>1</v>
      </c>
      <c r="H4" s="74"/>
      <c r="I4" s="74"/>
      <c r="J4" s="74"/>
      <c r="K4" s="74"/>
      <c r="L4" s="74"/>
      <c r="M4" s="75"/>
    </row>
    <row r="5" customFormat="false" ht="15" hidden="false" customHeight="false" outlineLevel="0" collapsed="false">
      <c r="B5" s="74"/>
      <c r="C5" s="74"/>
      <c r="D5" s="74"/>
      <c r="E5" s="74"/>
      <c r="F5" s="74"/>
      <c r="G5" s="74" t="s">
        <v>2</v>
      </c>
      <c r="H5" s="74"/>
      <c r="I5" s="74"/>
      <c r="J5" s="74"/>
      <c r="K5" s="74"/>
      <c r="L5" s="74"/>
      <c r="M5" s="75"/>
    </row>
    <row r="6" customFormat="false" ht="15" hidden="false" customHeight="false" outlineLevel="0" collapsed="false">
      <c r="B6" s="74"/>
      <c r="C6" s="74"/>
      <c r="D6" s="74"/>
      <c r="E6" s="74"/>
      <c r="F6" s="74"/>
      <c r="G6" s="74" t="s">
        <v>3</v>
      </c>
      <c r="H6" s="74"/>
      <c r="I6" s="74"/>
      <c r="J6" s="74"/>
      <c r="K6" s="74"/>
      <c r="L6" s="74"/>
      <c r="M6" s="75"/>
    </row>
    <row r="7" customFormat="false" ht="15" hidden="false" customHeight="true" outlineLevel="0" collapsed="false">
      <c r="B7" s="76" t="s">
        <v>16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</row>
    <row r="8" customFormat="false" ht="15" hidden="false" customHeight="true" outlineLevel="0" collapsed="false">
      <c r="B8" s="78" t="s">
        <v>5</v>
      </c>
      <c r="C8" s="78"/>
      <c r="D8" s="78"/>
      <c r="E8" s="78"/>
      <c r="F8" s="78"/>
      <c r="G8" s="78"/>
      <c r="H8" s="78"/>
      <c r="I8" s="78"/>
      <c r="J8" s="78"/>
      <c r="K8" s="79" t="s">
        <v>13</v>
      </c>
      <c r="L8" s="80" t="n">
        <f aca="false">BDI!H25</f>
        <v>0</v>
      </c>
      <c r="M8" s="77"/>
      <c r="Q8" s="80" t="n">
        <f aca="false">BDI!J25</f>
        <v>0.0471204188481675</v>
      </c>
    </row>
    <row r="9" customFormat="false" ht="15" hidden="false" customHeight="true" outlineLevel="0" collapsed="false">
      <c r="B9" s="81" t="s">
        <v>17</v>
      </c>
      <c r="C9" s="81"/>
      <c r="D9" s="81"/>
      <c r="E9" s="81"/>
      <c r="F9" s="81" t="s">
        <v>18</v>
      </c>
      <c r="G9" s="81"/>
      <c r="H9" s="81"/>
      <c r="I9" s="81"/>
      <c r="J9" s="81"/>
      <c r="K9" s="81"/>
      <c r="L9" s="80"/>
      <c r="M9" s="77"/>
    </row>
    <row r="10" customFormat="false" ht="28.2" hidden="false" customHeight="true" outlineLevel="0" collapsed="false">
      <c r="B10" s="82" t="s">
        <v>19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3"/>
      <c r="O10" s="84" t="s">
        <v>20</v>
      </c>
      <c r="P10" s="84"/>
      <c r="Q10" s="84"/>
    </row>
    <row r="11" s="69" customFormat="true" ht="54.7" hidden="false" customHeight="false" outlineLevel="0" collapsed="false">
      <c r="A11" s="85"/>
      <c r="B11" s="86" t="s">
        <v>21</v>
      </c>
      <c r="C11" s="86" t="s">
        <v>22</v>
      </c>
      <c r="D11" s="86" t="s">
        <v>23</v>
      </c>
      <c r="E11" s="86" t="s">
        <v>24</v>
      </c>
      <c r="F11" s="87" t="s">
        <v>23</v>
      </c>
      <c r="G11" s="86" t="s">
        <v>25</v>
      </c>
      <c r="H11" s="88" t="s">
        <v>8</v>
      </c>
      <c r="I11" s="88" t="s">
        <v>9</v>
      </c>
      <c r="J11" s="88" t="s">
        <v>26</v>
      </c>
      <c r="K11" s="88" t="s">
        <v>27</v>
      </c>
      <c r="L11" s="88" t="s">
        <v>28</v>
      </c>
      <c r="M11" s="77"/>
      <c r="O11" s="88" t="s">
        <v>26</v>
      </c>
      <c r="P11" s="88" t="s">
        <v>27</v>
      </c>
      <c r="Q11" s="88" t="s">
        <v>28</v>
      </c>
      <c r="AMJ11" s="72"/>
    </row>
    <row r="12" s="93" customFormat="true" ht="35.25" hidden="false" customHeight="true" outlineLevel="0" collapsed="false">
      <c r="A12" s="85"/>
      <c r="B12" s="89" t="n">
        <v>1</v>
      </c>
      <c r="C12" s="89" t="s">
        <v>29</v>
      </c>
      <c r="D12" s="89"/>
      <c r="E12" s="89"/>
      <c r="F12" s="90" t="s">
        <v>29</v>
      </c>
      <c r="G12" s="90"/>
      <c r="H12" s="90"/>
      <c r="I12" s="90"/>
      <c r="J12" s="90"/>
      <c r="K12" s="91" t="n">
        <f aca="false">SUM(K13:K23)</f>
        <v>0</v>
      </c>
      <c r="L12" s="91" t="n">
        <f aca="false">SUM(L13:L23)</f>
        <v>0</v>
      </c>
      <c r="M12" s="92"/>
      <c r="N12" s="69"/>
      <c r="O12" s="69"/>
      <c r="P12" s="91" t="n">
        <f aca="false">SUM(P13:P23)</f>
        <v>6577.66</v>
      </c>
      <c r="Q12" s="91" t="n">
        <f aca="false">SUM(Q13:Q23)</f>
        <v>6887.60209424084</v>
      </c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MJ12" s="72"/>
    </row>
    <row r="13" customFormat="false" ht="15" hidden="false" customHeight="false" outlineLevel="0" collapsed="false">
      <c r="A13" s="72"/>
      <c r="B13" s="94" t="s">
        <v>30</v>
      </c>
      <c r="C13" s="95" t="s">
        <v>31</v>
      </c>
      <c r="D13" s="95" t="n">
        <v>93570</v>
      </c>
      <c r="E13" s="96" t="n">
        <v>45200</v>
      </c>
      <c r="F13" s="97" t="s">
        <v>32</v>
      </c>
      <c r="G13" s="98" t="s">
        <v>33</v>
      </c>
      <c r="H13" s="99" t="n">
        <f aca="false">(((2.8*2)+(2.8*1))*0.2)*1.5</f>
        <v>2.52</v>
      </c>
      <c r="I13" s="100" t="str">
        <f aca="false">IFERROR(VLOOKUP(F13,CPUs!C:E,3,0),"")</f>
        <v>M3</v>
      </c>
      <c r="J13" s="101"/>
      <c r="K13" s="102" t="n">
        <f aca="false">IFERROR(ROUND(H13*J13,2),"")</f>
        <v>0</v>
      </c>
      <c r="L13" s="103" t="n">
        <f aca="false">IFERROR(K13*(1+$L$8),"")</f>
        <v>0</v>
      </c>
      <c r="M13" s="104"/>
      <c r="O13" s="101" t="n">
        <f aca="false">IFERROR(VLOOKUP(F13,CPUs!C:N,12,0),"")</f>
        <v>242.05</v>
      </c>
      <c r="P13" s="102" t="n">
        <f aca="false">IFERROR(ROUND(H13*O13,2),"")</f>
        <v>609.97</v>
      </c>
      <c r="Q13" s="103" t="n">
        <f aca="false">IFERROR(P13*(1+$Q$8),"")</f>
        <v>638.712041884817</v>
      </c>
      <c r="R13" s="105" t="n">
        <f aca="false">L13-Q13</f>
        <v>-638.712041884817</v>
      </c>
    </row>
    <row r="14" customFormat="false" ht="25.35" hidden="false" customHeight="false" outlineLevel="0" collapsed="false">
      <c r="A14" s="72"/>
      <c r="B14" s="94" t="s">
        <v>34</v>
      </c>
      <c r="C14" s="95" t="s">
        <v>31</v>
      </c>
      <c r="D14" s="95" t="n">
        <v>93565</v>
      </c>
      <c r="E14" s="96" t="n">
        <v>45200</v>
      </c>
      <c r="F14" s="106" t="s">
        <v>35</v>
      </c>
      <c r="G14" s="98" t="s">
        <v>36</v>
      </c>
      <c r="H14" s="99" t="n">
        <f aca="false">H13</f>
        <v>2.52</v>
      </c>
      <c r="I14" s="100" t="str">
        <f aca="false">IFERROR(VLOOKUP(F14,CPUs!C:E,3,0),"")</f>
        <v>M3</v>
      </c>
      <c r="J14" s="101"/>
      <c r="K14" s="102" t="n">
        <f aca="false">IFERROR(ROUND(H14*J14,2),"")</f>
        <v>0</v>
      </c>
      <c r="L14" s="103" t="n">
        <f aca="false">IFERROR(K14*(1+$L$8),"")</f>
        <v>0</v>
      </c>
      <c r="M14" s="104"/>
      <c r="O14" s="101" t="n">
        <f aca="false">IFERROR(VLOOKUP(F14,CPUs!C:N,12,0),"")</f>
        <v>199.56</v>
      </c>
      <c r="P14" s="102" t="n">
        <f aca="false">IFERROR(ROUND(H14*O14,2),"")</f>
        <v>502.89</v>
      </c>
      <c r="Q14" s="103" t="n">
        <f aca="false">IFERROR(P14*(1+$Q$8),"")</f>
        <v>526.586387434555</v>
      </c>
      <c r="R14" s="105" t="n">
        <f aca="false">L14-Q14</f>
        <v>-526.586387434555</v>
      </c>
    </row>
    <row r="15" customFormat="false" ht="15" hidden="false" customHeight="false" outlineLevel="0" collapsed="false">
      <c r="A15" s="72"/>
      <c r="B15" s="94" t="s">
        <v>37</v>
      </c>
      <c r="C15" s="95" t="s">
        <v>31</v>
      </c>
      <c r="D15" s="95" t="n">
        <v>93567</v>
      </c>
      <c r="E15" s="96" t="n">
        <v>45200</v>
      </c>
      <c r="F15" s="106" t="s">
        <v>38</v>
      </c>
      <c r="G15" s="98" t="s">
        <v>39</v>
      </c>
      <c r="H15" s="99" t="n">
        <v>9</v>
      </c>
      <c r="I15" s="100" t="str">
        <f aca="false">IFERROR(VLOOKUP(F15,CPUs!C:E,3,0),"")</f>
        <v>M</v>
      </c>
      <c r="J15" s="101"/>
      <c r="K15" s="102" t="n">
        <f aca="false">IFERROR(ROUND(H15*J15,2),"")</f>
        <v>0</v>
      </c>
      <c r="L15" s="103" t="n">
        <f aca="false">IFERROR(K15*(1+$L$8),"")</f>
        <v>0</v>
      </c>
      <c r="M15" s="104"/>
      <c r="O15" s="101" t="n">
        <f aca="false">IFERROR(VLOOKUP(F15,CPUs!C:N,12,0),"")</f>
        <v>11.87</v>
      </c>
      <c r="P15" s="102" t="n">
        <f aca="false">IFERROR(ROUND(H15*O15,2),"")</f>
        <v>106.83</v>
      </c>
      <c r="Q15" s="103" t="n">
        <f aca="false">IFERROR(P15*(1+$Q$8),"")</f>
        <v>111.86387434555</v>
      </c>
      <c r="R15" s="105" t="n">
        <f aca="false">L15-Q15</f>
        <v>-111.86387434555</v>
      </c>
    </row>
    <row r="16" customFormat="false" ht="15" hidden="false" customHeight="false" outlineLevel="0" collapsed="false">
      <c r="A16" s="72"/>
      <c r="B16" s="94" t="s">
        <v>40</v>
      </c>
      <c r="C16" s="95" t="s">
        <v>31</v>
      </c>
      <c r="D16" s="95" t="n">
        <v>93567</v>
      </c>
      <c r="E16" s="96" t="n">
        <v>45200</v>
      </c>
      <c r="F16" s="106" t="s">
        <v>41</v>
      </c>
      <c r="G16" s="98" t="s">
        <v>42</v>
      </c>
      <c r="H16" s="99" t="n">
        <v>1</v>
      </c>
      <c r="I16" s="100" t="str">
        <f aca="false">IFERROR(VLOOKUP(F16,CPUs!C:E,3,0),"")</f>
        <v>UN</v>
      </c>
      <c r="J16" s="101"/>
      <c r="K16" s="102" t="n">
        <f aca="false">IFERROR(ROUND(H16*J16,2),"")</f>
        <v>0</v>
      </c>
      <c r="L16" s="103" t="n">
        <f aca="false">IFERROR(K16*(1+$L$8),"")</f>
        <v>0</v>
      </c>
      <c r="M16" s="104"/>
      <c r="O16" s="101" t="n">
        <f aca="false">IFERROR(VLOOKUP(F16,CPUs!C:N,12,0),"")</f>
        <v>211.6</v>
      </c>
      <c r="P16" s="102" t="n">
        <f aca="false">IFERROR(ROUND(H16*O16,2),"")</f>
        <v>211.6</v>
      </c>
      <c r="Q16" s="103" t="n">
        <f aca="false">IFERROR(P16*(1+$Q$8),"")</f>
        <v>221.570680628272</v>
      </c>
      <c r="R16" s="105" t="n">
        <f aca="false">L16-Q16</f>
        <v>-221.570680628272</v>
      </c>
    </row>
    <row r="17" s="108" customFormat="true" ht="15" hidden="false" customHeight="false" outlineLevel="0" collapsed="false">
      <c r="A17" s="72"/>
      <c r="B17" s="94" t="s">
        <v>43</v>
      </c>
      <c r="C17" s="95" t="s">
        <v>31</v>
      </c>
      <c r="D17" s="95" t="n">
        <v>93571</v>
      </c>
      <c r="E17" s="96" t="n">
        <v>45200</v>
      </c>
      <c r="F17" s="106" t="s">
        <v>44</v>
      </c>
      <c r="G17" s="98" t="s">
        <v>45</v>
      </c>
      <c r="H17" s="99" t="n">
        <v>9</v>
      </c>
      <c r="I17" s="100" t="str">
        <f aca="false">IFERROR(VLOOKUP(F17,CPUs!C:E,3,0),"")</f>
        <v>M</v>
      </c>
      <c r="J17" s="101"/>
      <c r="K17" s="102" t="n">
        <f aca="false">IFERROR(ROUND(H17*J17,2),"")</f>
        <v>0</v>
      </c>
      <c r="L17" s="103" t="n">
        <f aca="false">IFERROR(K17*(1+$L$8),"")</f>
        <v>0</v>
      </c>
      <c r="M17" s="104"/>
      <c r="N17" s="107"/>
      <c r="O17" s="101" t="n">
        <f aca="false">IFERROR(VLOOKUP(F17,CPUs!C:N,12,0),"")</f>
        <v>175.61</v>
      </c>
      <c r="P17" s="102" t="n">
        <f aca="false">IFERROR(ROUND(H17*O17,2),"")</f>
        <v>1580.49</v>
      </c>
      <c r="Q17" s="103" t="n">
        <f aca="false">IFERROR(P17*(1+$Q$8),"")</f>
        <v>1654.96335078534</v>
      </c>
      <c r="R17" s="105" t="n">
        <f aca="false">L17-Q17</f>
        <v>-1654.96335078534</v>
      </c>
      <c r="AMJ17" s="72"/>
    </row>
    <row r="18" s="108" customFormat="true" ht="15" hidden="false" customHeight="false" outlineLevel="0" collapsed="false">
      <c r="A18" s="72"/>
      <c r="B18" s="94" t="s">
        <v>46</v>
      </c>
      <c r="C18" s="95" t="s">
        <v>31</v>
      </c>
      <c r="D18" s="95" t="n">
        <v>93568</v>
      </c>
      <c r="E18" s="96" t="n">
        <v>45200</v>
      </c>
      <c r="F18" s="106" t="s">
        <v>47</v>
      </c>
      <c r="G18" s="98" t="s">
        <v>48</v>
      </c>
      <c r="H18" s="99" t="n">
        <f aca="false">((2.8*0.9)+(1*0.9))*1.5</f>
        <v>5.13</v>
      </c>
      <c r="I18" s="100" t="str">
        <f aca="false">IFERROR(VLOOKUP(F18,CPUs!C:E,3,0),"")</f>
        <v>M2</v>
      </c>
      <c r="J18" s="101"/>
      <c r="K18" s="102" t="n">
        <f aca="false">IFERROR(ROUND(H18*J18,2),"")</f>
        <v>0</v>
      </c>
      <c r="L18" s="103" t="n">
        <f aca="false">IFERROR(K18*(1+$L$8),"")</f>
        <v>0</v>
      </c>
      <c r="M18" s="104"/>
      <c r="N18" s="107"/>
      <c r="O18" s="101" t="n">
        <f aca="false">IFERROR(VLOOKUP(F18,CPUs!C:N,12,0),"")</f>
        <v>361.99</v>
      </c>
      <c r="P18" s="102" t="n">
        <f aca="false">IFERROR(ROUND(H18*O18,2),"")</f>
        <v>1857.01</v>
      </c>
      <c r="Q18" s="103" t="n">
        <f aca="false">IFERROR(P18*(1+$Q$8),"")</f>
        <v>1944.51308900524</v>
      </c>
      <c r="R18" s="105" t="n">
        <f aca="false">L18-Q18</f>
        <v>-1944.51308900524</v>
      </c>
      <c r="AMJ18" s="72"/>
    </row>
    <row r="19" s="108" customFormat="true" ht="15" hidden="false" customHeight="false" outlineLevel="0" collapsed="false">
      <c r="A19" s="72"/>
      <c r="B19" s="94" t="s">
        <v>49</v>
      </c>
      <c r="C19" s="95" t="s">
        <v>31</v>
      </c>
      <c r="D19" s="95" t="n">
        <v>93561</v>
      </c>
      <c r="E19" s="96" t="n">
        <v>45200</v>
      </c>
      <c r="F19" s="106" t="s">
        <v>50</v>
      </c>
      <c r="G19" s="98" t="s">
        <v>51</v>
      </c>
      <c r="H19" s="99" t="n">
        <f aca="false">((2.8*0.9)+(1*0.9))*1.5</f>
        <v>5.13</v>
      </c>
      <c r="I19" s="100" t="str">
        <f aca="false">IFERROR(VLOOKUP(F19,CPUs!C:E,3,0),"")</f>
        <v>M2</v>
      </c>
      <c r="J19" s="101"/>
      <c r="K19" s="102" t="n">
        <f aca="false">IFERROR(ROUND(H19*J19,2),"")</f>
        <v>0</v>
      </c>
      <c r="L19" s="103" t="n">
        <f aca="false">IFERROR(K19*(1+$L$8),"")</f>
        <v>0</v>
      </c>
      <c r="M19" s="104"/>
      <c r="N19" s="107"/>
      <c r="O19" s="101" t="n">
        <f aca="false">IFERROR(VLOOKUP(F19,CPUs!C:N,12,0),"")</f>
        <v>125.8</v>
      </c>
      <c r="P19" s="102" t="n">
        <f aca="false">IFERROR(ROUND(H19*O19,2),"")</f>
        <v>645.35</v>
      </c>
      <c r="Q19" s="103" t="n">
        <f aca="false">IFERROR(P19*(1+$Q$8),"")</f>
        <v>675.759162303665</v>
      </c>
      <c r="R19" s="105" t="n">
        <f aca="false">L19-Q19</f>
        <v>-675.759162303665</v>
      </c>
      <c r="AMJ19" s="72"/>
    </row>
    <row r="20" s="108" customFormat="true" ht="15" hidden="false" customHeight="false" outlineLevel="0" collapsed="false">
      <c r="A20" s="72"/>
      <c r="B20" s="94" t="s">
        <v>52</v>
      </c>
      <c r="C20" s="95" t="s">
        <v>31</v>
      </c>
      <c r="D20" s="95" t="n">
        <v>93565</v>
      </c>
      <c r="E20" s="96" t="n">
        <v>45200</v>
      </c>
      <c r="F20" s="106" t="s">
        <v>53</v>
      </c>
      <c r="G20" s="98" t="s">
        <v>54</v>
      </c>
      <c r="H20" s="99" t="n">
        <f aca="false">((2.8*0.9)+(1*0.9))*1.5</f>
        <v>5.13</v>
      </c>
      <c r="I20" s="100" t="str">
        <f aca="false">IFERROR(VLOOKUP(F20,CPUs!C:E,3,0),"")</f>
        <v>M2</v>
      </c>
      <c r="J20" s="101"/>
      <c r="K20" s="102" t="n">
        <f aca="false">IFERROR(ROUND(H20*J20,2),"")</f>
        <v>0</v>
      </c>
      <c r="L20" s="103" t="n">
        <f aca="false">IFERROR(K20*(1+$L$8),"")</f>
        <v>0</v>
      </c>
      <c r="M20" s="104"/>
      <c r="N20" s="107"/>
      <c r="O20" s="101" t="n">
        <f aca="false">IFERROR(VLOOKUP(F20,CPUs!C:N,12,0),"")</f>
        <v>46.83</v>
      </c>
      <c r="P20" s="102" t="n">
        <f aca="false">IFERROR(ROUND(H20*O20,2),"")</f>
        <v>240.24</v>
      </c>
      <c r="Q20" s="103" t="n">
        <f aca="false">IFERROR(P20*(1+$Q$8),"")</f>
        <v>251.560209424084</v>
      </c>
      <c r="R20" s="105" t="n">
        <f aca="false">L20-Q20</f>
        <v>-251.560209424084</v>
      </c>
      <c r="AMJ20" s="72"/>
    </row>
    <row r="21" s="108" customFormat="true" ht="25.35" hidden="false" customHeight="false" outlineLevel="0" collapsed="false">
      <c r="A21" s="72"/>
      <c r="B21" s="94" t="s">
        <v>55</v>
      </c>
      <c r="C21" s="95"/>
      <c r="D21" s="95"/>
      <c r="E21" s="96"/>
      <c r="F21" s="106" t="s">
        <v>56</v>
      </c>
      <c r="G21" s="98" t="s">
        <v>57</v>
      </c>
      <c r="H21" s="99" t="n">
        <f aca="false">2.8*10</f>
        <v>28</v>
      </c>
      <c r="I21" s="100" t="str">
        <f aca="false">IFERROR(VLOOKUP(F21,CPUs!C:E,3,0),"")</f>
        <v>M2</v>
      </c>
      <c r="J21" s="101"/>
      <c r="K21" s="102" t="n">
        <f aca="false">IFERROR(ROUND(H21*J21,2),"")</f>
        <v>0</v>
      </c>
      <c r="L21" s="103" t="n">
        <f aca="false">IFERROR(K21*(1+$L$8),"")</f>
        <v>0</v>
      </c>
      <c r="M21" s="104"/>
      <c r="N21" s="107"/>
      <c r="O21" s="101" t="n">
        <f aca="false">IFERROR(VLOOKUP(F21,CPUs!C:N,12,0),"")</f>
        <v>22.86</v>
      </c>
      <c r="P21" s="102" t="n">
        <f aca="false">IFERROR(ROUND(H21*O21,2),"")</f>
        <v>640.08</v>
      </c>
      <c r="Q21" s="103" t="n">
        <f aca="false">IFERROR(P21*(1+$Q$8),"")</f>
        <v>670.240837696335</v>
      </c>
      <c r="R21" s="105" t="n">
        <f aca="false">L21-Q21</f>
        <v>-670.240837696335</v>
      </c>
      <c r="AMJ21" s="72"/>
    </row>
    <row r="22" s="108" customFormat="true" ht="15" hidden="false" customHeight="false" outlineLevel="0" collapsed="false">
      <c r="A22" s="72"/>
      <c r="B22" s="94" t="s">
        <v>58</v>
      </c>
      <c r="C22" s="95"/>
      <c r="D22" s="95"/>
      <c r="E22" s="96"/>
      <c r="F22" s="106" t="n">
        <v>99804</v>
      </c>
      <c r="G22" s="98" t="s">
        <v>59</v>
      </c>
      <c r="H22" s="99" t="n">
        <v>40</v>
      </c>
      <c r="I22" s="100" t="str">
        <f aca="false">IFERROR(VLOOKUP(F22,CPUs!C:E,3,0),"")</f>
        <v>M2</v>
      </c>
      <c r="J22" s="101"/>
      <c r="K22" s="102" t="n">
        <f aca="false">IFERROR(ROUND(H22*J22,2),"")</f>
        <v>0</v>
      </c>
      <c r="L22" s="103" t="n">
        <f aca="false">IFERROR(K22*(1+$L$8),"")</f>
        <v>0</v>
      </c>
      <c r="M22" s="104"/>
      <c r="N22" s="107"/>
      <c r="O22" s="101" t="n">
        <f aca="false">IFERROR(VLOOKUP(F22,CPUs!C:N,12,0),"")</f>
        <v>4.58</v>
      </c>
      <c r="P22" s="102" t="n">
        <f aca="false">IFERROR(ROUND(H22*O22,2),"")</f>
        <v>183.2</v>
      </c>
      <c r="Q22" s="103" t="n">
        <f aca="false">IFERROR(P22*(1+$Q$8),"")</f>
        <v>191.832460732984</v>
      </c>
      <c r="R22" s="105" t="n">
        <f aca="false">L22-Q22</f>
        <v>-191.832460732984</v>
      </c>
      <c r="AMJ22" s="72"/>
    </row>
    <row r="23" s="108" customFormat="true" ht="15" hidden="false" customHeight="false" outlineLevel="0" collapsed="false">
      <c r="A23" s="72"/>
      <c r="B23" s="94"/>
      <c r="C23" s="95"/>
      <c r="D23" s="95"/>
      <c r="E23" s="96"/>
      <c r="F23" s="106"/>
      <c r="G23" s="98"/>
      <c r="H23" s="99"/>
      <c r="I23" s="100" t="str">
        <f aca="false">IFERROR(VLOOKUP(F23,CPUs!C:E,3,0),"")</f>
        <v/>
      </c>
      <c r="J23" s="101" t="str">
        <f aca="false">IFERROR(VLOOKUP(F23,CPUs!C:H,6,0),"")</f>
        <v/>
      </c>
      <c r="K23" s="102" t="str">
        <f aca="false">IFERROR(ROUND(H23*J23,2),"")</f>
        <v/>
      </c>
      <c r="L23" s="103" t="str">
        <f aca="false">IFERROR(K23*(1+$L$8),"")</f>
        <v/>
      </c>
      <c r="M23" s="104"/>
      <c r="N23" s="107"/>
      <c r="O23" s="101" t="str">
        <f aca="false">IFERROR(VLOOKUP(F23,CPUs!C:N,12,0),"")</f>
        <v/>
      </c>
      <c r="P23" s="102" t="str">
        <f aca="false">IFERROR(ROUND(H23*O23,2),"")</f>
        <v/>
      </c>
      <c r="Q23" s="103" t="str">
        <f aca="false">IFERROR(P23*(1+$Q$8),"")</f>
        <v/>
      </c>
      <c r="AMJ23" s="72"/>
    </row>
    <row r="24" s="93" customFormat="true" ht="43.2" hidden="false" customHeight="true" outlineLevel="0" collapsed="false">
      <c r="A24" s="85"/>
      <c r="B24" s="89" t="n">
        <v>2</v>
      </c>
      <c r="C24" s="89" t="s">
        <v>60</v>
      </c>
      <c r="D24" s="89"/>
      <c r="E24" s="89"/>
      <c r="F24" s="109" t="s">
        <v>60</v>
      </c>
      <c r="G24" s="109"/>
      <c r="H24" s="109"/>
      <c r="I24" s="109"/>
      <c r="J24" s="109"/>
      <c r="K24" s="91" t="n">
        <f aca="false">SUM(K25:K33)</f>
        <v>0</v>
      </c>
      <c r="L24" s="91" t="n">
        <f aca="false">SUM(L25:L33)</f>
        <v>0</v>
      </c>
      <c r="M24" s="92"/>
      <c r="N24" s="69"/>
      <c r="O24" s="110"/>
      <c r="P24" s="91" t="n">
        <f aca="false">SUM(P25:P33)</f>
        <v>2499.12</v>
      </c>
      <c r="Q24" s="91" t="n">
        <f aca="false">SUM(Q25:Q33)</f>
        <v>2616.87958115183</v>
      </c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MJ24" s="72"/>
    </row>
    <row r="25" customFormat="false" ht="15" hidden="false" customHeight="false" outlineLevel="0" collapsed="false">
      <c r="A25" s="72"/>
      <c r="B25" s="94" t="s">
        <v>61</v>
      </c>
      <c r="C25" s="95" t="s">
        <v>31</v>
      </c>
      <c r="D25" s="95" t="n">
        <v>93570</v>
      </c>
      <c r="E25" s="96" t="n">
        <v>45200</v>
      </c>
      <c r="F25" s="106" t="s">
        <v>62</v>
      </c>
      <c r="G25" s="98" t="s">
        <v>63</v>
      </c>
      <c r="H25" s="111" t="n">
        <v>1</v>
      </c>
      <c r="I25" s="100" t="str">
        <f aca="false">IFERROR(VLOOKUP(F25,CPUs!C:E,3,0),"")</f>
        <v>UN</v>
      </c>
      <c r="J25" s="101"/>
      <c r="K25" s="102" t="n">
        <f aca="false">IFERROR(ROUND(H25*J25,2),"")</f>
        <v>0</v>
      </c>
      <c r="L25" s="103" t="n">
        <f aca="false">IFERROR(K25*(1+$L$8),"")</f>
        <v>0</v>
      </c>
      <c r="M25" s="104"/>
      <c r="N25" s="107"/>
      <c r="O25" s="101" t="n">
        <f aca="false">IFERROR(VLOOKUP(F25,CPUs!C:N,12,0),"")</f>
        <v>24.46</v>
      </c>
      <c r="P25" s="102" t="n">
        <f aca="false">IFERROR(ROUND(H25*O25,2),"")</f>
        <v>24.46</v>
      </c>
      <c r="Q25" s="103" t="n">
        <f aca="false">IFERROR(P25*(1+$Q$8),"")</f>
        <v>25.6125654450262</v>
      </c>
    </row>
    <row r="26" s="108" customFormat="true" ht="15" hidden="false" customHeight="false" outlineLevel="0" collapsed="false">
      <c r="A26" s="72"/>
      <c r="B26" s="94" t="s">
        <v>64</v>
      </c>
      <c r="C26" s="95" t="s">
        <v>31</v>
      </c>
      <c r="D26" s="95" t="n">
        <v>93565</v>
      </c>
      <c r="E26" s="96" t="n">
        <v>45200</v>
      </c>
      <c r="F26" s="106" t="s">
        <v>65</v>
      </c>
      <c r="G26" s="98" t="s">
        <v>66</v>
      </c>
      <c r="H26" s="111" t="n">
        <v>2</v>
      </c>
      <c r="I26" s="100" t="str">
        <f aca="false">IFERROR(VLOOKUP(F26,CPUs!C:E,3,0),"")</f>
        <v>UN</v>
      </c>
      <c r="J26" s="101"/>
      <c r="K26" s="102" t="n">
        <f aca="false">IFERROR(ROUND(H26*J26,2),"")</f>
        <v>0</v>
      </c>
      <c r="L26" s="103" t="n">
        <f aca="false">IFERROR(K26*(1+$L$8),"")</f>
        <v>0</v>
      </c>
      <c r="M26" s="104"/>
      <c r="N26" s="107"/>
      <c r="O26" s="101" t="n">
        <f aca="false">IFERROR(VLOOKUP(F26,CPUs!C:N,12,0),"")</f>
        <v>19.53</v>
      </c>
      <c r="P26" s="102" t="n">
        <f aca="false">IFERROR(ROUND(H26*O26,2),"")</f>
        <v>39.06</v>
      </c>
      <c r="Q26" s="103" t="n">
        <f aca="false">IFERROR(P26*(1+$Q$8),"")</f>
        <v>40.9005235602094</v>
      </c>
      <c r="AMJ26" s="72"/>
    </row>
    <row r="27" s="108" customFormat="true" ht="15" hidden="false" customHeight="false" outlineLevel="0" collapsed="false">
      <c r="A27" s="72"/>
      <c r="B27" s="94" t="s">
        <v>67</v>
      </c>
      <c r="C27" s="95" t="s">
        <v>31</v>
      </c>
      <c r="D27" s="95" t="n">
        <v>93567</v>
      </c>
      <c r="E27" s="96" t="n">
        <v>45200</v>
      </c>
      <c r="F27" s="106" t="s">
        <v>68</v>
      </c>
      <c r="G27" s="98" t="s">
        <v>69</v>
      </c>
      <c r="H27" s="111" t="n">
        <v>1</v>
      </c>
      <c r="I27" s="100" t="str">
        <f aca="false">IFERROR(VLOOKUP(F27,CPUs!C:E,3,0),"")</f>
        <v>UN</v>
      </c>
      <c r="J27" s="101"/>
      <c r="K27" s="102" t="n">
        <f aca="false">IFERROR(ROUND(H27*J27,2),"")</f>
        <v>0</v>
      </c>
      <c r="L27" s="103" t="n">
        <f aca="false">IFERROR(K27*(1+$L$8),"")</f>
        <v>0</v>
      </c>
      <c r="M27" s="104"/>
      <c r="N27" s="107"/>
      <c r="O27" s="101" t="n">
        <f aca="false">IFERROR(VLOOKUP(F27,CPUs!C:N,12,0),"")</f>
        <v>477.71</v>
      </c>
      <c r="P27" s="102" t="n">
        <f aca="false">IFERROR(ROUND(H27*O27,2),"")</f>
        <v>477.71</v>
      </c>
      <c r="Q27" s="103" t="n">
        <f aca="false">IFERROR(P27*(1+$Q$8),"")</f>
        <v>500.219895287958</v>
      </c>
      <c r="AMJ27" s="72"/>
    </row>
    <row r="28" s="108" customFormat="true" ht="37.3" hidden="false" customHeight="false" outlineLevel="0" collapsed="false">
      <c r="A28" s="72"/>
      <c r="B28" s="94" t="s">
        <v>70</v>
      </c>
      <c r="C28" s="95"/>
      <c r="D28" s="95"/>
      <c r="E28" s="96"/>
      <c r="F28" s="106" t="s">
        <v>71</v>
      </c>
      <c r="G28" s="98" t="s">
        <v>72</v>
      </c>
      <c r="H28" s="111" t="n">
        <v>1</v>
      </c>
      <c r="I28" s="100" t="str">
        <f aca="false">IFERROR(VLOOKUP(F28,CPUs!C:E,3,0),"")</f>
        <v>UN</v>
      </c>
      <c r="J28" s="101"/>
      <c r="K28" s="102" t="n">
        <f aca="false">IFERROR(ROUND(H28*J28,2),"")</f>
        <v>0</v>
      </c>
      <c r="L28" s="103" t="n">
        <f aca="false">IFERROR(K28*(1+$L$8),"")</f>
        <v>0</v>
      </c>
      <c r="M28" s="104"/>
      <c r="N28" s="107"/>
      <c r="O28" s="101" t="n">
        <f aca="false">IFERROR(VLOOKUP(F28,CPUs!C:N,12,0),"")</f>
        <v>439.73</v>
      </c>
      <c r="P28" s="102" t="n">
        <f aca="false">IFERROR(ROUND(H28*O28,2),"")</f>
        <v>439.73</v>
      </c>
      <c r="Q28" s="103" t="n">
        <f aca="false">IFERROR(P28*(1+$Q$8),"")</f>
        <v>460.450261780105</v>
      </c>
      <c r="AMJ28" s="72"/>
    </row>
    <row r="29" s="108" customFormat="true" ht="15" hidden="false" customHeight="false" outlineLevel="0" collapsed="false">
      <c r="A29" s="72"/>
      <c r="B29" s="94" t="s">
        <v>73</v>
      </c>
      <c r="C29" s="95" t="s">
        <v>31</v>
      </c>
      <c r="D29" s="95" t="n">
        <v>93571</v>
      </c>
      <c r="E29" s="96" t="n">
        <v>45200</v>
      </c>
      <c r="F29" s="106" t="s">
        <v>74</v>
      </c>
      <c r="G29" s="98" t="s">
        <v>75</v>
      </c>
      <c r="H29" s="111" t="n">
        <v>2</v>
      </c>
      <c r="I29" s="100" t="str">
        <f aca="false">IFERROR(VLOOKUP(F29,CPUs!C:E,3,0),"")</f>
        <v>UN</v>
      </c>
      <c r="J29" s="101"/>
      <c r="K29" s="102" t="n">
        <f aca="false">IFERROR(ROUND(H29*J29,2),"")</f>
        <v>0</v>
      </c>
      <c r="L29" s="103" t="n">
        <f aca="false">IFERROR(K29*(1+$L$8),"")</f>
        <v>0</v>
      </c>
      <c r="M29" s="104"/>
      <c r="N29" s="107"/>
      <c r="O29" s="101" t="n">
        <f aca="false">IFERROR(VLOOKUP(F29,CPUs!C:N,12,0),"")</f>
        <v>393.92</v>
      </c>
      <c r="P29" s="102" t="n">
        <f aca="false">IFERROR(ROUND(H29*O29,2),"")</f>
        <v>787.84</v>
      </c>
      <c r="Q29" s="103" t="n">
        <f aca="false">IFERROR(P29*(1+$Q$8),"")</f>
        <v>824.96335078534</v>
      </c>
      <c r="AMJ29" s="72"/>
    </row>
    <row r="30" s="108" customFormat="true" ht="37.3" hidden="false" customHeight="false" outlineLevel="0" collapsed="false">
      <c r="A30" s="72"/>
      <c r="B30" s="94" t="s">
        <v>76</v>
      </c>
      <c r="C30" s="95"/>
      <c r="D30" s="95"/>
      <c r="E30" s="96"/>
      <c r="F30" s="106" t="s">
        <v>77</v>
      </c>
      <c r="G30" s="98" t="s">
        <v>78</v>
      </c>
      <c r="H30" s="111" t="n">
        <v>2</v>
      </c>
      <c r="I30" s="100" t="str">
        <f aca="false">IFERROR(VLOOKUP(F30,CPUs!C:E,3,0),"")</f>
        <v>UN</v>
      </c>
      <c r="J30" s="101"/>
      <c r="K30" s="102" t="n">
        <f aca="false">IFERROR(ROUND(H30*J30,2),"")</f>
        <v>0</v>
      </c>
      <c r="L30" s="103" t="n">
        <f aca="false">IFERROR(K30*(1+$L$8),"")</f>
        <v>0</v>
      </c>
      <c r="M30" s="104"/>
      <c r="N30" s="107"/>
      <c r="O30" s="101" t="n">
        <f aca="false">IFERROR(VLOOKUP(F30,CPUs!C:N,12,0),"")</f>
        <v>308.99</v>
      </c>
      <c r="P30" s="102" t="n">
        <f aca="false">IFERROR(ROUND(H30*O30,2),"")</f>
        <v>617.98</v>
      </c>
      <c r="Q30" s="103" t="n">
        <f aca="false">IFERROR(P30*(1+$Q$8),"")</f>
        <v>647.099476439791</v>
      </c>
      <c r="AMJ30" s="72"/>
    </row>
    <row r="31" s="108" customFormat="true" ht="15" hidden="false" customHeight="false" outlineLevel="0" collapsed="false">
      <c r="A31" s="72"/>
      <c r="B31" s="94" t="s">
        <v>79</v>
      </c>
      <c r="C31" s="95"/>
      <c r="D31" s="95"/>
      <c r="E31" s="96"/>
      <c r="F31" s="106" t="s">
        <v>65</v>
      </c>
      <c r="G31" s="98" t="s">
        <v>80</v>
      </c>
      <c r="H31" s="111" t="n">
        <v>2</v>
      </c>
      <c r="I31" s="100" t="str">
        <f aca="false">IFERROR(VLOOKUP(F31,CPUs!C:E,3,0),"")</f>
        <v>UN</v>
      </c>
      <c r="J31" s="101"/>
      <c r="K31" s="102" t="n">
        <f aca="false">IFERROR(ROUND(H31*J31,2),"")</f>
        <v>0</v>
      </c>
      <c r="L31" s="103" t="n">
        <f aca="false">IFERROR(K31*(1+$L$8),"")</f>
        <v>0</v>
      </c>
      <c r="M31" s="104"/>
      <c r="N31" s="107"/>
      <c r="O31" s="101" t="n">
        <f aca="false">IFERROR(VLOOKUP(F31,CPUs!C:N,12,0),"")</f>
        <v>19.53</v>
      </c>
      <c r="P31" s="102" t="n">
        <f aca="false">IFERROR(ROUND(H31*O31,2),"")</f>
        <v>39.06</v>
      </c>
      <c r="Q31" s="103" t="n">
        <f aca="false">IFERROR(P31*(1+$Q$8),"")</f>
        <v>40.9005235602094</v>
      </c>
      <c r="AMJ31" s="72"/>
    </row>
    <row r="32" s="108" customFormat="true" ht="15" hidden="false" customHeight="false" outlineLevel="0" collapsed="false">
      <c r="A32" s="72"/>
      <c r="B32" s="94" t="s">
        <v>81</v>
      </c>
      <c r="C32" s="95" t="s">
        <v>31</v>
      </c>
      <c r="D32" s="95" t="n">
        <v>93568</v>
      </c>
      <c r="E32" s="96" t="n">
        <v>45200</v>
      </c>
      <c r="F32" s="106" t="n">
        <v>99804</v>
      </c>
      <c r="G32" s="98" t="s">
        <v>59</v>
      </c>
      <c r="H32" s="111" t="n">
        <f aca="false">16</f>
        <v>16</v>
      </c>
      <c r="I32" s="100" t="str">
        <f aca="false">IFERROR(VLOOKUP(F32,CPUs!C:E,3,0),"")</f>
        <v>M2</v>
      </c>
      <c r="J32" s="101"/>
      <c r="K32" s="102" t="n">
        <f aca="false">IFERROR(ROUND(H32*J32,2),"")</f>
        <v>0</v>
      </c>
      <c r="L32" s="103" t="n">
        <f aca="false">IFERROR(K32*(1+$L$8),"")</f>
        <v>0</v>
      </c>
      <c r="M32" s="104"/>
      <c r="N32" s="107"/>
      <c r="O32" s="101" t="n">
        <f aca="false">IFERROR(VLOOKUP(F32,CPUs!C:N,12,0),"")</f>
        <v>4.58</v>
      </c>
      <c r="P32" s="102" t="n">
        <f aca="false">IFERROR(ROUND(H32*O32,2),"")</f>
        <v>73.28</v>
      </c>
      <c r="Q32" s="103" t="n">
        <f aca="false">IFERROR(P32*(1+$Q$8),"")</f>
        <v>76.7329842931937</v>
      </c>
      <c r="AMJ32" s="72"/>
    </row>
    <row r="33" s="108" customFormat="true" ht="15" hidden="false" customHeight="false" outlineLevel="0" collapsed="false">
      <c r="A33" s="72"/>
      <c r="B33" s="94"/>
      <c r="C33" s="95" t="s">
        <v>31</v>
      </c>
      <c r="D33" s="95" t="n">
        <v>93561</v>
      </c>
      <c r="E33" s="96" t="n">
        <v>45200</v>
      </c>
      <c r="F33" s="106"/>
      <c r="G33" s="98"/>
      <c r="H33" s="111"/>
      <c r="I33" s="100" t="str">
        <f aca="false">IFERROR(VLOOKUP(F33,CPUs!C:E,3,0),"")</f>
        <v/>
      </c>
      <c r="J33" s="101" t="str">
        <f aca="false">IFERROR(VLOOKUP(F33,CPUs!C:H,6,0),"")</f>
        <v/>
      </c>
      <c r="K33" s="102" t="str">
        <f aca="false">IFERROR(ROUND(H33*J33,2),"")</f>
        <v/>
      </c>
      <c r="L33" s="103" t="str">
        <f aca="false">IFERROR(K33*(1+$L$8),"")</f>
        <v/>
      </c>
      <c r="M33" s="104"/>
      <c r="N33" s="107"/>
      <c r="O33" s="101" t="str">
        <f aca="false">IFERROR(VLOOKUP(F33,CPUs!C:N,12,0),"")</f>
        <v/>
      </c>
      <c r="P33" s="102" t="str">
        <f aca="false">IFERROR(ROUND(H33*O33,2),"")</f>
        <v/>
      </c>
      <c r="Q33" s="103" t="str">
        <f aca="false">IFERROR(P33*(1+$Q$8),"")</f>
        <v/>
      </c>
      <c r="AMJ33" s="72"/>
    </row>
    <row r="34" s="93" customFormat="true" ht="28.2" hidden="false" customHeight="true" outlineLevel="0" collapsed="false">
      <c r="A34" s="85"/>
      <c r="B34" s="89" t="n">
        <v>3</v>
      </c>
      <c r="C34" s="89"/>
      <c r="D34" s="89"/>
      <c r="E34" s="89"/>
      <c r="F34" s="109" t="s">
        <v>82</v>
      </c>
      <c r="G34" s="109"/>
      <c r="H34" s="109"/>
      <c r="I34" s="109"/>
      <c r="J34" s="109"/>
      <c r="K34" s="91" t="n">
        <f aca="false">SUM(K35:K39)</f>
        <v>0</v>
      </c>
      <c r="L34" s="91" t="n">
        <f aca="false">SUM(L35:L39)</f>
        <v>0</v>
      </c>
      <c r="M34" s="92"/>
      <c r="N34" s="69"/>
      <c r="O34" s="69"/>
      <c r="P34" s="91" t="n">
        <f aca="false">SUM(P35:P39)</f>
        <v>2556.8</v>
      </c>
      <c r="Q34" s="91" t="n">
        <f aca="false">SUM(Q35:Q39)</f>
        <v>2677.27748691099</v>
      </c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MJ34" s="72"/>
    </row>
    <row r="35" customFormat="false" ht="15" hidden="false" customHeight="false" outlineLevel="0" collapsed="false">
      <c r="A35" s="72"/>
      <c r="B35" s="94" t="s">
        <v>83</v>
      </c>
      <c r="C35" s="95" t="s">
        <v>31</v>
      </c>
      <c r="D35" s="95" t="n">
        <v>93570</v>
      </c>
      <c r="E35" s="96" t="n">
        <v>45200</v>
      </c>
      <c r="F35" s="106" t="s">
        <v>84</v>
      </c>
      <c r="G35" s="98" t="s">
        <v>85</v>
      </c>
      <c r="H35" s="111" t="n">
        <v>10</v>
      </c>
      <c r="I35" s="100" t="str">
        <f aca="false">IFERROR(VLOOKUP(F35,CPUs!C:E,3,0),"")</f>
        <v>H</v>
      </c>
      <c r="J35" s="101"/>
      <c r="K35" s="102" t="n">
        <f aca="false">IFERROR(ROUND(H35*J35,2),"")</f>
        <v>0</v>
      </c>
      <c r="L35" s="103" t="n">
        <f aca="false">IFERROR(K35*(1+$L$8),"")</f>
        <v>0</v>
      </c>
      <c r="M35" s="104"/>
      <c r="N35" s="107"/>
      <c r="O35" s="101" t="n">
        <f aca="false">IFERROR(VLOOKUP(F35,CPUs!C:N,12,0),"")</f>
        <v>86.4</v>
      </c>
      <c r="P35" s="102" t="n">
        <f aca="false">IFERROR(ROUND(H35*O35,2),"")</f>
        <v>864</v>
      </c>
      <c r="Q35" s="103" t="n">
        <f aca="false">IFERROR(P35*(1+$Q$8),"")</f>
        <v>904.712041884817</v>
      </c>
    </row>
    <row r="36" customFormat="false" ht="15" hidden="false" customHeight="false" outlineLevel="0" collapsed="false">
      <c r="A36" s="72"/>
      <c r="B36" s="94" t="s">
        <v>86</v>
      </c>
      <c r="C36" s="95" t="s">
        <v>31</v>
      </c>
      <c r="D36" s="95" t="n">
        <v>93565</v>
      </c>
      <c r="E36" s="96" t="n">
        <v>45200</v>
      </c>
      <c r="F36" s="106" t="s">
        <v>87</v>
      </c>
      <c r="G36" s="98" t="s">
        <v>88</v>
      </c>
      <c r="H36" s="111" t="n">
        <v>11</v>
      </c>
      <c r="I36" s="100" t="str">
        <f aca="false">IFERROR(VLOOKUP(F36,CPUs!C:E,3,0),"")</f>
        <v>M2</v>
      </c>
      <c r="J36" s="101"/>
      <c r="K36" s="102" t="n">
        <f aca="false">IFERROR(ROUND(H36*J36,2),"")</f>
        <v>0</v>
      </c>
      <c r="L36" s="103" t="n">
        <f aca="false">IFERROR(K36*(1+$L$8),"")</f>
        <v>0</v>
      </c>
      <c r="M36" s="104"/>
      <c r="N36" s="107"/>
      <c r="O36" s="101" t="n">
        <f aca="false">IFERROR(VLOOKUP(F36,CPUs!C:N,12,0),"")</f>
        <v>10.22</v>
      </c>
      <c r="P36" s="102" t="n">
        <f aca="false">IFERROR(ROUND(H36*O36,2),"")</f>
        <v>112.42</v>
      </c>
      <c r="Q36" s="103" t="n">
        <f aca="false">IFERROR(P36*(1+$Q$8),"")</f>
        <v>117.717277486911</v>
      </c>
    </row>
    <row r="37" customFormat="false" ht="25.35" hidden="false" customHeight="false" outlineLevel="0" collapsed="false">
      <c r="A37" s="72"/>
      <c r="B37" s="94" t="s">
        <v>89</v>
      </c>
      <c r="C37" s="95" t="s">
        <v>31</v>
      </c>
      <c r="D37" s="95" t="n">
        <v>93567</v>
      </c>
      <c r="E37" s="96" t="n">
        <v>45200</v>
      </c>
      <c r="F37" s="106" t="s">
        <v>90</v>
      </c>
      <c r="G37" s="98" t="s">
        <v>91</v>
      </c>
      <c r="H37" s="111" t="n">
        <v>11</v>
      </c>
      <c r="I37" s="100" t="str">
        <f aca="false">IFERROR(VLOOKUP(F37,CPUs!C:E,3,0),"")</f>
        <v>M2</v>
      </c>
      <c r="J37" s="101"/>
      <c r="K37" s="102" t="n">
        <f aca="false">IFERROR(ROUND(H37*J37,2),"")</f>
        <v>0</v>
      </c>
      <c r="L37" s="103" t="n">
        <f aca="false">IFERROR(K37*(1+$L$8),"")</f>
        <v>0</v>
      </c>
      <c r="M37" s="104"/>
      <c r="N37" s="107"/>
      <c r="O37" s="101" t="n">
        <f aca="false">IFERROR(VLOOKUP(F37,CPUs!C:N,12,0),"")</f>
        <v>134.98</v>
      </c>
      <c r="P37" s="102" t="n">
        <f aca="false">IFERROR(ROUND(H37*O37,2),"")</f>
        <v>1484.78</v>
      </c>
      <c r="Q37" s="103" t="n">
        <f aca="false">IFERROR(P37*(1+$Q$8),"")</f>
        <v>1554.74345549738</v>
      </c>
    </row>
    <row r="38" customFormat="false" ht="15" hidden="false" customHeight="false" outlineLevel="0" collapsed="false">
      <c r="A38" s="72"/>
      <c r="B38" s="94" t="s">
        <v>92</v>
      </c>
      <c r="C38" s="95" t="s">
        <v>31</v>
      </c>
      <c r="D38" s="95" t="n">
        <v>93571</v>
      </c>
      <c r="E38" s="96" t="n">
        <v>45200</v>
      </c>
      <c r="F38" s="106" t="s">
        <v>93</v>
      </c>
      <c r="G38" s="98" t="s">
        <v>94</v>
      </c>
      <c r="H38" s="111" t="n">
        <v>20</v>
      </c>
      <c r="I38" s="100" t="str">
        <f aca="false">IFERROR(VLOOKUP(F38,CPUs!C:E,3,0),"")</f>
        <v>M2</v>
      </c>
      <c r="J38" s="101"/>
      <c r="K38" s="102" t="n">
        <f aca="false">IFERROR(ROUND(H38*J38,2),"")</f>
        <v>0</v>
      </c>
      <c r="L38" s="103" t="n">
        <f aca="false">IFERROR(K38*(1+$L$8),"")</f>
        <v>0</v>
      </c>
      <c r="M38" s="104"/>
      <c r="N38" s="107"/>
      <c r="O38" s="101" t="n">
        <f aca="false">IFERROR(VLOOKUP(F38,CPUs!C:N,12,0),"")</f>
        <v>4.78</v>
      </c>
      <c r="P38" s="102" t="n">
        <f aca="false">IFERROR(ROUND(H38*O38,2),"")</f>
        <v>95.6</v>
      </c>
      <c r="Q38" s="103" t="n">
        <f aca="false">IFERROR(P38*(1+$Q$8),"")</f>
        <v>100.104712041885</v>
      </c>
    </row>
    <row r="39" customFormat="false" ht="15" hidden="false" customHeight="false" outlineLevel="0" collapsed="false">
      <c r="A39" s="72"/>
      <c r="B39" s="94"/>
      <c r="C39" s="95" t="s">
        <v>31</v>
      </c>
      <c r="D39" s="95" t="n">
        <v>93568</v>
      </c>
      <c r="E39" s="96" t="n">
        <v>45200</v>
      </c>
      <c r="F39" s="106"/>
      <c r="G39" s="98"/>
      <c r="H39" s="111"/>
      <c r="I39" s="100" t="str">
        <f aca="false">IFERROR(VLOOKUP(F39,CPUs!C:E,3,0),"")</f>
        <v/>
      </c>
      <c r="J39" s="101" t="str">
        <f aca="false">IFERROR(VLOOKUP(F39,CPUs!C:H,6,0),"")</f>
        <v/>
      </c>
      <c r="K39" s="102" t="str">
        <f aca="false">IFERROR(ROUND(H39*J39,2),"")</f>
        <v/>
      </c>
      <c r="L39" s="103" t="str">
        <f aca="false">IFERROR(K39*(1+$L$8),"")</f>
        <v/>
      </c>
      <c r="M39" s="104"/>
      <c r="N39" s="107"/>
      <c r="O39" s="101" t="str">
        <f aca="false">IFERROR(VLOOKUP(F39,CPUs!C:N,12,0),"")</f>
        <v/>
      </c>
      <c r="P39" s="102" t="str">
        <f aca="false">IFERROR(ROUND(H39*O39,2),"")</f>
        <v/>
      </c>
      <c r="Q39" s="103" t="str">
        <f aca="false">IFERROR(P39*(1+$Q$8),"")</f>
        <v/>
      </c>
    </row>
    <row r="40" s="93" customFormat="true" ht="31.75" hidden="false" customHeight="true" outlineLevel="0" collapsed="false">
      <c r="A40" s="85"/>
      <c r="B40" s="89" t="n">
        <v>4</v>
      </c>
      <c r="C40" s="89" t="s">
        <v>95</v>
      </c>
      <c r="D40" s="89"/>
      <c r="E40" s="89"/>
      <c r="F40" s="109" t="s">
        <v>95</v>
      </c>
      <c r="G40" s="109"/>
      <c r="H40" s="109"/>
      <c r="I40" s="109"/>
      <c r="J40" s="109"/>
      <c r="K40" s="91" t="n">
        <f aca="false">SUM(K41:K44)</f>
        <v>0</v>
      </c>
      <c r="L40" s="91" t="n">
        <f aca="false">SUM(L41:L44)</f>
        <v>0</v>
      </c>
      <c r="M40" s="92"/>
      <c r="N40" s="69"/>
      <c r="O40" s="69"/>
      <c r="P40" s="91" t="n">
        <f aca="false">SUM(P41:P44)</f>
        <v>1402.24</v>
      </c>
      <c r="Q40" s="91" t="n">
        <f aca="false">SUM(Q41:Q44)</f>
        <v>1468.31413612565</v>
      </c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MJ40" s="72"/>
    </row>
    <row r="41" customFormat="false" ht="37.3" hidden="false" customHeight="false" outlineLevel="0" collapsed="false">
      <c r="A41" s="72"/>
      <c r="B41" s="94" t="s">
        <v>96</v>
      </c>
      <c r="C41" s="95" t="s">
        <v>31</v>
      </c>
      <c r="D41" s="95" t="n">
        <v>93570</v>
      </c>
      <c r="E41" s="96" t="n">
        <v>45200</v>
      </c>
      <c r="F41" s="106" t="s">
        <v>97</v>
      </c>
      <c r="G41" s="98" t="s">
        <v>98</v>
      </c>
      <c r="H41" s="111" t="n">
        <v>6</v>
      </c>
      <c r="I41" s="100" t="str">
        <f aca="false">IFERROR(VLOOKUP(F41,CPUs!C:E,3,0),"")</f>
        <v>UN</v>
      </c>
      <c r="J41" s="101"/>
      <c r="K41" s="102" t="n">
        <f aca="false">IFERROR(ROUND(H41*J41,2),"")</f>
        <v>0</v>
      </c>
      <c r="L41" s="103" t="n">
        <f aca="false">IFERROR(K41*(1+$L$8),"")</f>
        <v>0</v>
      </c>
      <c r="M41" s="104"/>
      <c r="N41" s="107"/>
      <c r="O41" s="101" t="n">
        <f aca="false">IFERROR(VLOOKUP(F41,CPUs!C:N,12,0),"")</f>
        <v>42.83</v>
      </c>
      <c r="P41" s="102" t="n">
        <f aca="false">IFERROR(ROUND(H41*O41,2),"")</f>
        <v>256.98</v>
      </c>
      <c r="Q41" s="103" t="n">
        <f aca="false">IFERROR(P41*(1+$Q$8),"")</f>
        <v>269.089005235602</v>
      </c>
    </row>
    <row r="42" customFormat="false" ht="25.35" hidden="false" customHeight="false" outlineLevel="0" collapsed="false">
      <c r="A42" s="72"/>
      <c r="B42" s="94" t="s">
        <v>99</v>
      </c>
      <c r="C42" s="95" t="s">
        <v>31</v>
      </c>
      <c r="D42" s="95" t="n">
        <v>93565</v>
      </c>
      <c r="E42" s="96" t="n">
        <v>45200</v>
      </c>
      <c r="F42" s="106" t="s">
        <v>44</v>
      </c>
      <c r="G42" s="98" t="s">
        <v>100</v>
      </c>
      <c r="H42" s="111" t="n">
        <v>6</v>
      </c>
      <c r="I42" s="100" t="str">
        <f aca="false">IFERROR(VLOOKUP(F42,CPUs!C:E,3,0),"")</f>
        <v>M</v>
      </c>
      <c r="J42" s="101"/>
      <c r="K42" s="102" t="n">
        <f aca="false">IFERROR(ROUND(H42*J42,2),"")</f>
        <v>0</v>
      </c>
      <c r="L42" s="103" t="n">
        <f aca="false">IFERROR(K42*(1+$L$8),"")</f>
        <v>0</v>
      </c>
      <c r="M42" s="104"/>
      <c r="N42" s="107"/>
      <c r="O42" s="101" t="n">
        <f aca="false">IFERROR(VLOOKUP(F42,CPUs!C:N,12,0),"")</f>
        <v>175.61</v>
      </c>
      <c r="P42" s="102" t="n">
        <f aca="false">IFERROR(ROUND(H42*O42,2),"")</f>
        <v>1053.66</v>
      </c>
      <c r="Q42" s="103" t="n">
        <f aca="false">IFERROR(P42*(1+$Q$8),"")</f>
        <v>1103.30890052356</v>
      </c>
    </row>
    <row r="43" customFormat="false" ht="15" hidden="false" customHeight="false" outlineLevel="0" collapsed="false">
      <c r="A43" s="72"/>
      <c r="B43" s="94" t="s">
        <v>101</v>
      </c>
      <c r="C43" s="95" t="s">
        <v>31</v>
      </c>
      <c r="D43" s="95" t="n">
        <v>93567</v>
      </c>
      <c r="E43" s="96" t="n">
        <v>45200</v>
      </c>
      <c r="F43" s="106" t="n">
        <v>99804</v>
      </c>
      <c r="G43" s="98" t="s">
        <v>94</v>
      </c>
      <c r="H43" s="111" t="n">
        <v>20</v>
      </c>
      <c r="I43" s="100" t="str">
        <f aca="false">IFERROR(VLOOKUP(F43,CPUs!C:E,3,0),"")</f>
        <v>M2</v>
      </c>
      <c r="J43" s="101"/>
      <c r="K43" s="102" t="n">
        <f aca="false">IFERROR(ROUND(H43*J43,2),"")</f>
        <v>0</v>
      </c>
      <c r="L43" s="103" t="n">
        <f aca="false">IFERROR(K43*(1+$L$8),"")</f>
        <v>0</v>
      </c>
      <c r="M43" s="104"/>
      <c r="N43" s="107"/>
      <c r="O43" s="101" t="n">
        <f aca="false">IFERROR(VLOOKUP(F43,CPUs!C:N,12,0),"")</f>
        <v>4.58</v>
      </c>
      <c r="P43" s="102" t="n">
        <f aca="false">IFERROR(ROUND(H43*O43,2),"")</f>
        <v>91.6</v>
      </c>
      <c r="Q43" s="103" t="n">
        <f aca="false">IFERROR(P43*(1+$Q$8),"")</f>
        <v>95.9162303664921</v>
      </c>
    </row>
    <row r="44" customFormat="false" ht="15" hidden="false" customHeight="false" outlineLevel="0" collapsed="false">
      <c r="A44" s="72"/>
      <c r="B44" s="94"/>
      <c r="C44" s="95" t="s">
        <v>31</v>
      </c>
      <c r="D44" s="95" t="n">
        <v>93571</v>
      </c>
      <c r="E44" s="96" t="n">
        <v>45200</v>
      </c>
      <c r="F44" s="106"/>
      <c r="G44" s="98"/>
      <c r="H44" s="111"/>
      <c r="I44" s="100" t="str">
        <f aca="false">IFERROR(VLOOKUP(F44,CPUs!C:E,3,0),"")</f>
        <v/>
      </c>
      <c r="J44" s="101" t="str">
        <f aca="false">IFERROR(VLOOKUP(F44,CPUs!C:H,6,0),"")</f>
        <v/>
      </c>
      <c r="K44" s="102" t="str">
        <f aca="false">IFERROR(ROUND(H44*J44,2),"")</f>
        <v/>
      </c>
      <c r="L44" s="103" t="str">
        <f aca="false">IFERROR(K44*(1+$L$8),"")</f>
        <v/>
      </c>
      <c r="M44" s="104"/>
      <c r="N44" s="107"/>
      <c r="O44" s="101" t="str">
        <f aca="false">IFERROR(VLOOKUP(F44,CPUs!C:N,12,0),"")</f>
        <v/>
      </c>
      <c r="P44" s="102" t="str">
        <f aca="false">IFERROR(ROUND(H44*O44,2),"")</f>
        <v/>
      </c>
      <c r="Q44" s="103" t="str">
        <f aca="false">IFERROR(P44*(1+$Q$8),"")</f>
        <v/>
      </c>
    </row>
    <row r="45" s="108" customFormat="true" ht="15" hidden="false" customHeight="true" outlineLevel="0" collapsed="false">
      <c r="B45" s="112" t="s">
        <v>102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3" t="n">
        <f aca="false">L12+L24+L34+L40</f>
        <v>0</v>
      </c>
      <c r="M45" s="104"/>
      <c r="N45" s="107"/>
      <c r="Q45" s="113" t="n">
        <f aca="false">Q12+Q24+Q34+Q40</f>
        <v>13650.0732984293</v>
      </c>
      <c r="AMJ45" s="72"/>
    </row>
    <row r="47" customFormat="false" ht="15" hidden="false" customHeight="false" outlineLevel="0" collapsed="false">
      <c r="F47" s="101"/>
      <c r="G47" s="67" t="s">
        <v>103</v>
      </c>
    </row>
  </sheetData>
  <mergeCells count="14">
    <mergeCell ref="G3:K3"/>
    <mergeCell ref="G4:K4"/>
    <mergeCell ref="G5:K5"/>
    <mergeCell ref="G6:K6"/>
    <mergeCell ref="B7:L7"/>
    <mergeCell ref="B8:J8"/>
    <mergeCell ref="F9:K9"/>
    <mergeCell ref="B10:L10"/>
    <mergeCell ref="O10:Q10"/>
    <mergeCell ref="F12:J12"/>
    <mergeCell ref="F24:J24"/>
    <mergeCell ref="F34:J34"/>
    <mergeCell ref="F40:J40"/>
    <mergeCell ref="B45:K45"/>
  </mergeCells>
  <printOptions headings="false" gridLines="false" gridLinesSet="true" horizontalCentered="true" verticalCentered="false"/>
  <pageMargins left="0.669444444444444" right="0.669444444444444" top="0.48125" bottom="0.369444444444444" header="0.511805555555555" footer="0.511805555555555"/>
  <pageSetup paperSize="9" scale="100" firstPageNumber="0" fitToWidth="1" fitToHeight="1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2A6099"/>
    <pageSetUpPr fitToPage="true"/>
  </sheetPr>
  <dimension ref="A1:V1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8" activeCellId="0" sqref="B8"/>
    </sheetView>
  </sheetViews>
  <sheetFormatPr defaultColWidth="9.13671875" defaultRowHeight="12.8" zeroHeight="false" outlineLevelRow="0" outlineLevelCol="0"/>
  <cols>
    <col collapsed="false" customWidth="true" hidden="false" outlineLevel="0" max="1" min="1" style="114" width="10.85"/>
    <col collapsed="false" customWidth="true" hidden="false" outlineLevel="0" max="2" min="2" style="114" width="35.32"/>
    <col collapsed="false" customWidth="true" hidden="false" outlineLevel="0" max="3" min="3" style="115" width="11.52"/>
    <col collapsed="false" customWidth="true" hidden="false" outlineLevel="0" max="4" min="4" style="116" width="13.36"/>
    <col collapsed="false" customWidth="true" hidden="false" outlineLevel="0" max="18" min="5" style="117" width="11.57"/>
    <col collapsed="false" customWidth="true" hidden="false" outlineLevel="0" max="22" min="19" style="114" width="11.57"/>
    <col collapsed="false" customWidth="false" hidden="false" outlineLevel="0" max="1018" min="23" style="114" width="9.13"/>
  </cols>
  <sheetData>
    <row r="1" customFormat="false" ht="18" hidden="false" customHeight="true" outlineLevel="0" collapsed="false">
      <c r="A1" s="118"/>
      <c r="B1" s="119"/>
      <c r="C1" s="120"/>
      <c r="D1" s="121" t="s">
        <v>0</v>
      </c>
      <c r="E1" s="121"/>
      <c r="F1" s="121"/>
      <c r="G1" s="121"/>
      <c r="H1" s="121"/>
      <c r="I1" s="121"/>
      <c r="J1" s="121"/>
      <c r="K1" s="121"/>
      <c r="L1" s="121"/>
      <c r="M1" s="121"/>
      <c r="N1" s="122" t="s">
        <v>104</v>
      </c>
      <c r="O1" s="122"/>
      <c r="P1" s="122"/>
      <c r="Q1" s="122"/>
      <c r="R1" s="122"/>
      <c r="S1" s="122"/>
      <c r="T1" s="122"/>
      <c r="U1" s="122"/>
      <c r="V1" s="122"/>
    </row>
    <row r="2" customFormat="false" ht="18" hidden="false" customHeight="true" outlineLevel="0" collapsed="false">
      <c r="A2" s="123"/>
      <c r="B2" s="124"/>
      <c r="C2" s="125"/>
      <c r="D2" s="126" t="s">
        <v>1</v>
      </c>
      <c r="E2" s="126"/>
      <c r="F2" s="126"/>
      <c r="G2" s="126"/>
      <c r="H2" s="126"/>
      <c r="I2" s="126"/>
      <c r="J2" s="126"/>
      <c r="K2" s="126"/>
      <c r="L2" s="126"/>
      <c r="M2" s="126"/>
      <c r="N2" s="122"/>
      <c r="O2" s="122"/>
      <c r="P2" s="122"/>
      <c r="Q2" s="122"/>
      <c r="R2" s="122"/>
      <c r="S2" s="122"/>
      <c r="T2" s="122"/>
      <c r="U2" s="122"/>
      <c r="V2" s="122"/>
    </row>
    <row r="3" customFormat="false" ht="18" hidden="false" customHeight="true" outlineLevel="0" collapsed="false">
      <c r="A3" s="123"/>
      <c r="B3" s="124"/>
      <c r="C3" s="125"/>
      <c r="D3" s="126" t="s">
        <v>2</v>
      </c>
      <c r="E3" s="126"/>
      <c r="F3" s="126"/>
      <c r="G3" s="126"/>
      <c r="H3" s="126"/>
      <c r="I3" s="126"/>
      <c r="J3" s="126"/>
      <c r="K3" s="126"/>
      <c r="L3" s="126"/>
      <c r="M3" s="126"/>
      <c r="N3" s="122"/>
      <c r="O3" s="122"/>
      <c r="P3" s="122"/>
      <c r="Q3" s="122"/>
      <c r="R3" s="122"/>
      <c r="S3" s="122"/>
      <c r="T3" s="122"/>
      <c r="U3" s="122"/>
      <c r="V3" s="122"/>
    </row>
    <row r="4" customFormat="false" ht="13.8" hidden="false" customHeight="false" outlineLevel="0" collapsed="false">
      <c r="A4" s="127"/>
      <c r="B4" s="128"/>
      <c r="C4" s="129"/>
      <c r="D4" s="130" t="s">
        <v>3</v>
      </c>
      <c r="E4" s="130"/>
      <c r="F4" s="130"/>
      <c r="G4" s="130"/>
      <c r="H4" s="130"/>
      <c r="I4" s="130"/>
      <c r="J4" s="130"/>
      <c r="K4" s="130"/>
      <c r="L4" s="130"/>
      <c r="M4" s="130"/>
      <c r="N4" s="122"/>
      <c r="O4" s="122"/>
      <c r="P4" s="122"/>
      <c r="Q4" s="122"/>
      <c r="R4" s="122"/>
      <c r="S4" s="122"/>
      <c r="T4" s="122"/>
      <c r="U4" s="122"/>
      <c r="V4" s="122"/>
    </row>
    <row r="5" customFormat="false" ht="30" hidden="false" customHeight="true" outlineLevel="0" collapsed="false">
      <c r="A5" s="131" t="s">
        <v>105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</row>
    <row r="6" customFormat="false" ht="12.8" hidden="false" customHeight="false" outlineLevel="0" collapsed="false">
      <c r="A6" s="132"/>
      <c r="B6" s="133"/>
      <c r="C6" s="133"/>
      <c r="D6" s="133"/>
      <c r="E6" s="133"/>
      <c r="F6" s="134"/>
      <c r="G6" s="134"/>
      <c r="H6" s="134"/>
      <c r="I6" s="134"/>
      <c r="J6" s="134"/>
      <c r="K6" s="134"/>
      <c r="L6" s="135"/>
      <c r="M6" s="135"/>
      <c r="N6" s="135"/>
      <c r="O6" s="135"/>
      <c r="P6" s="135"/>
      <c r="Q6" s="135"/>
      <c r="R6" s="135"/>
    </row>
    <row r="7" customFormat="false" ht="17.25" hidden="false" customHeight="true" outlineLevel="0" collapsed="false">
      <c r="A7" s="132"/>
      <c r="B7" s="133"/>
      <c r="C7" s="133"/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</row>
    <row r="8" s="146" customFormat="true" ht="34.5" hidden="false" customHeight="true" outlineLevel="0" collapsed="false">
      <c r="A8" s="138" t="s">
        <v>21</v>
      </c>
      <c r="B8" s="139" t="s">
        <v>25</v>
      </c>
      <c r="C8" s="140" t="s">
        <v>106</v>
      </c>
      <c r="D8" s="141" t="s">
        <v>107</v>
      </c>
      <c r="E8" s="142" t="s">
        <v>108</v>
      </c>
      <c r="F8" s="143" t="s">
        <v>109</v>
      </c>
      <c r="G8" s="144" t="s">
        <v>108</v>
      </c>
      <c r="H8" s="143" t="s">
        <v>109</v>
      </c>
      <c r="I8" s="144" t="s">
        <v>108</v>
      </c>
      <c r="J8" s="143" t="s">
        <v>109</v>
      </c>
      <c r="K8" s="144" t="s">
        <v>108</v>
      </c>
      <c r="L8" s="143" t="s">
        <v>109</v>
      </c>
      <c r="M8" s="144" t="s">
        <v>108</v>
      </c>
      <c r="N8" s="143" t="s">
        <v>109</v>
      </c>
      <c r="O8" s="144" t="s">
        <v>108</v>
      </c>
      <c r="P8" s="143" t="s">
        <v>109</v>
      </c>
      <c r="Q8" s="144" t="s">
        <v>108</v>
      </c>
      <c r="R8" s="145" t="s">
        <v>109</v>
      </c>
      <c r="S8" s="144" t="s">
        <v>108</v>
      </c>
      <c r="T8" s="145" t="s">
        <v>109</v>
      </c>
      <c r="U8" s="144" t="s">
        <v>108</v>
      </c>
      <c r="V8" s="145" t="s">
        <v>109</v>
      </c>
    </row>
    <row r="9" customFormat="false" ht="34.5" hidden="false" customHeight="true" outlineLevel="0" collapsed="false">
      <c r="A9" s="138" t="n">
        <f aca="false">'[1]PLAN ORÇ. ANALÍT'!B13</f>
        <v>0</v>
      </c>
      <c r="B9" s="139" t="n">
        <f aca="false">'[1]PLAN ORÇ. ANALÍT'!C13</f>
        <v>0</v>
      </c>
      <c r="C9" s="140"/>
      <c r="D9" s="141"/>
      <c r="E9" s="147" t="s">
        <v>110</v>
      </c>
      <c r="F9" s="147"/>
      <c r="G9" s="148" t="s">
        <v>111</v>
      </c>
      <c r="H9" s="148"/>
      <c r="I9" s="148" t="s">
        <v>112</v>
      </c>
      <c r="J9" s="148"/>
      <c r="K9" s="148" t="s">
        <v>113</v>
      </c>
      <c r="L9" s="148"/>
      <c r="M9" s="148" t="s">
        <v>114</v>
      </c>
      <c r="N9" s="148"/>
      <c r="O9" s="148" t="s">
        <v>115</v>
      </c>
      <c r="P9" s="148"/>
      <c r="Q9" s="149" t="s">
        <v>116</v>
      </c>
      <c r="R9" s="149"/>
      <c r="S9" s="149" t="s">
        <v>117</v>
      </c>
      <c r="T9" s="149"/>
      <c r="U9" s="149" t="s">
        <v>118</v>
      </c>
      <c r="V9" s="149"/>
    </row>
    <row r="10" customFormat="false" ht="34.5" hidden="false" customHeight="true" outlineLevel="0" collapsed="false">
      <c r="A10" s="150" t="n">
        <f aca="false">PL_ORC_ANALIT!B12</f>
        <v>1</v>
      </c>
      <c r="B10" s="151" t="str">
        <f aca="false">PL_ORC_ANALIT!C12</f>
        <v>SERVIÇO 1: REPARAÇÃO DE VAZAMENTO NA PRUMADA, EM SANITÁRIO 3º/4º ANDAR DO EDIFÍCIO AFP (SECRIM)</v>
      </c>
      <c r="C10" s="152" t="e">
        <f aca="false">D10/$D$15</f>
        <v>#DIV/0!</v>
      </c>
      <c r="D10" s="153" t="n">
        <f aca="false">PL_ORC_SINT!H14</f>
        <v>0</v>
      </c>
      <c r="E10" s="154"/>
      <c r="F10" s="155" t="n">
        <f aca="false">IF($E10&gt;0,$D10*E10,0)</f>
        <v>0</v>
      </c>
      <c r="G10" s="156" t="n">
        <v>1</v>
      </c>
      <c r="H10" s="155" t="n">
        <f aca="false">IF($G10&gt;0,$D10*G10,0)</f>
        <v>0</v>
      </c>
      <c r="I10" s="152"/>
      <c r="J10" s="155" t="n">
        <f aca="false">IF($I10&gt;0,$D10*I10,0)</f>
        <v>0</v>
      </c>
      <c r="K10" s="152"/>
      <c r="L10" s="155" t="n">
        <f aca="false">IF($K10&gt;0,$D10*K10,0)</f>
        <v>0</v>
      </c>
      <c r="M10" s="152"/>
      <c r="N10" s="155" t="n">
        <f aca="false">IF($M10&gt;0,$D10*M10,0)</f>
        <v>0</v>
      </c>
      <c r="O10" s="152"/>
      <c r="P10" s="155" t="n">
        <f aca="false">IF($O10&gt;0,$D10*O10,0)</f>
        <v>0</v>
      </c>
      <c r="Q10" s="152"/>
      <c r="R10" s="155" t="n">
        <f aca="false">IF($Q10&gt;0,$D10*Q10,0)</f>
        <v>0</v>
      </c>
      <c r="S10" s="152"/>
      <c r="T10" s="155" t="n">
        <f aca="false">IF($Q10&gt;0,$D10*S10,0)</f>
        <v>0</v>
      </c>
      <c r="U10" s="152"/>
      <c r="V10" s="155" t="n">
        <f aca="false">IF($Q10&gt;0,$D10*U10,0)</f>
        <v>0</v>
      </c>
    </row>
    <row r="11" customFormat="false" ht="34.5" hidden="false" customHeight="true" outlineLevel="0" collapsed="false">
      <c r="A11" s="150" t="n">
        <f aca="false">PL_ORC_ANALIT!B24</f>
        <v>2</v>
      </c>
      <c r="B11" s="157" t="str">
        <f aca="false">PL_ORC_ANALIT!C24</f>
        <v>SERVIÇO 2: TROCA DOS REGISTROS DA PRUMADA DA CAIXA D'ÁGUA DO EDIFÍCIO ERA - PROBLEMA DE VAZAMENTO</v>
      </c>
      <c r="C11" s="152" t="e">
        <f aca="false">D11/$D$15</f>
        <v>#DIV/0!</v>
      </c>
      <c r="D11" s="153" t="n">
        <f aca="false">PL_ORC_SINT!H15</f>
        <v>0</v>
      </c>
      <c r="E11" s="154"/>
      <c r="F11" s="155" t="n">
        <f aca="false">IF($E11&gt;0,$D11*E11,0)</f>
        <v>0</v>
      </c>
      <c r="G11" s="156"/>
      <c r="H11" s="155" t="n">
        <f aca="false">IF($G11&gt;0,$D11,0)</f>
        <v>0</v>
      </c>
      <c r="I11" s="152"/>
      <c r="J11" s="155" t="n">
        <f aca="false">IF($I11&gt;0,$D11*I11,0)</f>
        <v>0</v>
      </c>
      <c r="K11" s="152" t="n">
        <v>1</v>
      </c>
      <c r="L11" s="155" t="n">
        <f aca="false">IF($K11&gt;0,$D11*K11,0)</f>
        <v>0</v>
      </c>
      <c r="M11" s="152"/>
      <c r="N11" s="155" t="n">
        <f aca="false">IF($M11&gt;0,$D11*M11,0)</f>
        <v>0</v>
      </c>
      <c r="O11" s="152"/>
      <c r="P11" s="155" t="n">
        <f aca="false">IF($O11&gt;0,$D11*O11,0)</f>
        <v>0</v>
      </c>
      <c r="Q11" s="152"/>
      <c r="R11" s="155" t="n">
        <f aca="false">IF($Q11&gt;0,$D11*Q11,0)</f>
        <v>0</v>
      </c>
      <c r="S11" s="152"/>
      <c r="T11" s="155" t="n">
        <f aca="false">IF($Q11&gt;0,$D11*S11,0)</f>
        <v>0</v>
      </c>
      <c r="U11" s="152"/>
      <c r="V11" s="155" t="n">
        <f aca="false">IF($Q11&gt;0,$D11*U11,0)</f>
        <v>0</v>
      </c>
    </row>
    <row r="12" customFormat="false" ht="34.5" hidden="false" customHeight="true" outlineLevel="0" collapsed="false">
      <c r="A12" s="150" t="n">
        <f aca="false">PL_ORC_ANALIT!B34</f>
        <v>3</v>
      </c>
      <c r="B12" s="157" t="str">
        <f aca="false">PL_ORC_ANALIT!F24</f>
        <v>SERVIÇO 2: TROCA DOS REGISTROS DA PRUMADA DA CAIXA D'ÁGUA DO EDIFÍCIO ERA - PROBLEMA DE VAZAMENTO</v>
      </c>
      <c r="C12" s="152" t="e">
        <f aca="false">D12/$D$15</f>
        <v>#DIV/0!</v>
      </c>
      <c r="D12" s="153" t="n">
        <f aca="false">PL_ORC_SINT!H16</f>
        <v>0</v>
      </c>
      <c r="E12" s="154"/>
      <c r="F12" s="155" t="n">
        <f aca="false">IF($E12&gt;0,$D12*E12,0)</f>
        <v>0</v>
      </c>
      <c r="G12" s="156"/>
      <c r="H12" s="155" t="n">
        <f aca="false">IF($G12&gt;0,$D12,0)</f>
        <v>0</v>
      </c>
      <c r="I12" s="152" t="n">
        <v>1</v>
      </c>
      <c r="J12" s="155" t="n">
        <f aca="false">IF($I12&gt;0,$D12*I12,0)</f>
        <v>0</v>
      </c>
      <c r="K12" s="152"/>
      <c r="L12" s="155" t="n">
        <f aca="false">IF($K12&gt;0,$D12*K12,0)</f>
        <v>0</v>
      </c>
      <c r="M12" s="152"/>
      <c r="N12" s="155" t="n">
        <f aca="false">IF($M12&gt;0,$D12*M12,0)</f>
        <v>0</v>
      </c>
      <c r="O12" s="152"/>
      <c r="P12" s="155" t="n">
        <f aca="false">IF($O12&gt;0,$D12*O12,0)</f>
        <v>0</v>
      </c>
      <c r="Q12" s="152"/>
      <c r="R12" s="155" t="n">
        <f aca="false">IF($Q12&gt;0,$D12*Q12,0)</f>
        <v>0</v>
      </c>
      <c r="S12" s="152"/>
      <c r="T12" s="155" t="n">
        <f aca="false">IF($Q12&gt;0,$D12*S12,0)</f>
        <v>0</v>
      </c>
      <c r="U12" s="152"/>
      <c r="V12" s="155" t="n">
        <f aca="false">IF($Q12&gt;0,$D12*U12,0)</f>
        <v>0</v>
      </c>
    </row>
    <row r="13" customFormat="false" ht="34.5" hidden="false" customHeight="true" outlineLevel="0" collapsed="false">
      <c r="A13" s="150" t="n">
        <f aca="false">PL_ORC_ANALIT!B40</f>
        <v>4</v>
      </c>
      <c r="B13" s="157" t="str">
        <f aca="false">PL_ORC_ANALIT!C40</f>
        <v>SERVIÇO 4: TROCA DA TUBULAÇÃO DA DESCIDA DA PRUMADA DE UMA TORRE DE RESFRIAMENTO DO ED. ODC</v>
      </c>
      <c r="C13" s="152" t="e">
        <f aca="false">D13/$D$15</f>
        <v>#DIV/0!</v>
      </c>
      <c r="D13" s="153" t="n">
        <f aca="false">PL_ORC_SINT!H17</f>
        <v>0</v>
      </c>
      <c r="E13" s="154"/>
      <c r="F13" s="155" t="n">
        <f aca="false">IF($E13&gt;0,$D13*E13,0)</f>
        <v>0</v>
      </c>
      <c r="G13" s="156"/>
      <c r="H13" s="155" t="n">
        <f aca="false">IF($G13&gt;0,$D13,0)</f>
        <v>0</v>
      </c>
      <c r="I13" s="152"/>
      <c r="J13" s="155" t="n">
        <f aca="false">IF($I13&gt;0,$D13,0)</f>
        <v>0</v>
      </c>
      <c r="K13" s="152" t="n">
        <v>1</v>
      </c>
      <c r="L13" s="155" t="n">
        <f aca="false">IF($K13&gt;0,$D13*K13,0)</f>
        <v>0</v>
      </c>
      <c r="M13" s="152"/>
      <c r="N13" s="155" t="n">
        <f aca="false">IF($M13&gt;0,$D13*M13,0)</f>
        <v>0</v>
      </c>
      <c r="O13" s="152"/>
      <c r="P13" s="155" t="n">
        <f aca="false">IF($O13&gt;0,$D13*O13,0)</f>
        <v>0</v>
      </c>
      <c r="Q13" s="152"/>
      <c r="R13" s="155" t="n">
        <f aca="false">IF($Q13&gt;0,$D13*Q13,0)</f>
        <v>0</v>
      </c>
      <c r="S13" s="152"/>
      <c r="T13" s="155" t="n">
        <f aca="false">IF($S13&gt;0,$D13*S13,0)</f>
        <v>0</v>
      </c>
      <c r="U13" s="152"/>
      <c r="V13" s="155" t="n">
        <f aca="false">IF($U13&gt;0,$D13*U13,0)</f>
        <v>0</v>
      </c>
    </row>
    <row r="14" customFormat="false" ht="34.5" hidden="false" customHeight="true" outlineLevel="0" collapsed="false">
      <c r="A14" s="150"/>
      <c r="B14" s="157"/>
      <c r="C14" s="152"/>
      <c r="D14" s="153"/>
      <c r="E14" s="154"/>
      <c r="F14" s="155" t="n">
        <f aca="false">IF($E14&gt;0,$D14*E14,0)</f>
        <v>0</v>
      </c>
      <c r="G14" s="156"/>
      <c r="H14" s="155" t="n">
        <f aca="false">IF($G14&gt;0,$D14,0)</f>
        <v>0</v>
      </c>
      <c r="I14" s="152"/>
      <c r="J14" s="155" t="n">
        <f aca="false">IF($I14&gt;0,$D14,0)</f>
        <v>0</v>
      </c>
      <c r="K14" s="152"/>
      <c r="L14" s="155" t="n">
        <f aca="false">IF($K14&gt;0,$D14*K14,0)</f>
        <v>0</v>
      </c>
      <c r="M14" s="152"/>
      <c r="N14" s="155" t="n">
        <f aca="false">IF($M14&gt;0,$D14*M14,0)</f>
        <v>0</v>
      </c>
      <c r="O14" s="152"/>
      <c r="P14" s="155" t="n">
        <f aca="false">IF($O14&gt;0,$D14*O14,0)</f>
        <v>0</v>
      </c>
      <c r="Q14" s="152"/>
      <c r="R14" s="155" t="n">
        <f aca="false">IF($Q14&gt;0,$D14*Q14,0)</f>
        <v>0</v>
      </c>
      <c r="S14" s="152"/>
      <c r="T14" s="155" t="n">
        <f aca="false">IF($Q14&gt;0,$D14*S14,0)</f>
        <v>0</v>
      </c>
      <c r="U14" s="152"/>
      <c r="V14" s="155" t="n">
        <f aca="false">IF($U14&gt;0,$D14*U14,0)</f>
        <v>0</v>
      </c>
    </row>
    <row r="15" customFormat="false" ht="34.5" hidden="false" customHeight="true" outlineLevel="0" collapsed="false">
      <c r="A15" s="158" t="s">
        <v>15</v>
      </c>
      <c r="B15" s="158"/>
      <c r="C15" s="159"/>
      <c r="D15" s="160" t="n">
        <f aca="false">SUM(D10:D14)</f>
        <v>0</v>
      </c>
      <c r="E15" s="161" t="e">
        <f aca="false">F15/$D$15</f>
        <v>#DIV/0!</v>
      </c>
      <c r="F15" s="162" t="n">
        <f aca="false">ROUND((SUM(F10:F14)),3)</f>
        <v>0</v>
      </c>
      <c r="G15" s="161" t="e">
        <f aca="false">H15/$D$15</f>
        <v>#DIV/0!</v>
      </c>
      <c r="H15" s="162" t="n">
        <f aca="false">ROUND((SUM(H10:H14)),3)</f>
        <v>0</v>
      </c>
      <c r="I15" s="161" t="e">
        <f aca="false">J15/$D$15</f>
        <v>#DIV/0!</v>
      </c>
      <c r="J15" s="162" t="n">
        <f aca="false">ROUND((SUM(J10:J14)),3)</f>
        <v>0</v>
      </c>
      <c r="K15" s="161" t="e">
        <f aca="false">L15/$D$15</f>
        <v>#DIV/0!</v>
      </c>
      <c r="L15" s="162" t="n">
        <f aca="false">ROUND((SUM(L10:L14)),3)</f>
        <v>0</v>
      </c>
      <c r="M15" s="161" t="e">
        <f aca="false">N15/$D$15</f>
        <v>#DIV/0!</v>
      </c>
      <c r="N15" s="162" t="n">
        <f aca="false">ROUND((SUM(N10:N14)),3)</f>
        <v>0</v>
      </c>
      <c r="O15" s="161" t="e">
        <f aca="false">P15/$D$15</f>
        <v>#DIV/0!</v>
      </c>
      <c r="P15" s="162" t="n">
        <f aca="false">ROUND((SUM(P10:P14)),3)</f>
        <v>0</v>
      </c>
      <c r="Q15" s="161" t="e">
        <f aca="false">R15/$D$15</f>
        <v>#DIV/0!</v>
      </c>
      <c r="R15" s="162" t="n">
        <f aca="false">ROUND((SUM(R10:R14)),3)</f>
        <v>0</v>
      </c>
      <c r="S15" s="161" t="e">
        <f aca="false">T15/$D$15</f>
        <v>#DIV/0!</v>
      </c>
      <c r="T15" s="162" t="n">
        <f aca="false">ROUND((SUM(T10:T14)),3)</f>
        <v>0</v>
      </c>
      <c r="U15" s="161" t="e">
        <f aca="false">V15/$D$15</f>
        <v>#DIV/0!</v>
      </c>
      <c r="V15" s="162" t="n">
        <f aca="false">ROUND((SUM(V10:V14)),3)</f>
        <v>0</v>
      </c>
    </row>
    <row r="16" customFormat="false" ht="34.5" hidden="false" customHeight="true" outlineLevel="0" collapsed="false">
      <c r="A16" s="163" t="s">
        <v>119</v>
      </c>
      <c r="B16" s="163"/>
      <c r="C16" s="159"/>
      <c r="D16" s="164"/>
      <c r="E16" s="165" t="e">
        <f aca="false">E15</f>
        <v>#DIV/0!</v>
      </c>
      <c r="F16" s="166" t="n">
        <f aca="false">F15</f>
        <v>0</v>
      </c>
      <c r="G16" s="167" t="e">
        <f aca="false">E16+G15</f>
        <v>#DIV/0!</v>
      </c>
      <c r="H16" s="166" t="n">
        <f aca="false">F16+H15</f>
        <v>0</v>
      </c>
      <c r="I16" s="167" t="e">
        <f aca="false">G16+I15</f>
        <v>#DIV/0!</v>
      </c>
      <c r="J16" s="166" t="n">
        <f aca="false">H16+J15</f>
        <v>0</v>
      </c>
      <c r="K16" s="167" t="e">
        <f aca="false">I16+K15</f>
        <v>#DIV/0!</v>
      </c>
      <c r="L16" s="166" t="n">
        <f aca="false">J16+L15</f>
        <v>0</v>
      </c>
      <c r="M16" s="167" t="e">
        <f aca="false">K16+M15</f>
        <v>#DIV/0!</v>
      </c>
      <c r="N16" s="166" t="n">
        <f aca="false">L16+N15</f>
        <v>0</v>
      </c>
      <c r="O16" s="167" t="e">
        <f aca="false">M16+O15</f>
        <v>#DIV/0!</v>
      </c>
      <c r="P16" s="166" t="n">
        <f aca="false">N16+P15</f>
        <v>0</v>
      </c>
      <c r="Q16" s="167" t="e">
        <f aca="false">O16+Q15</f>
        <v>#DIV/0!</v>
      </c>
      <c r="R16" s="166" t="n">
        <f aca="false">P16+R15</f>
        <v>0</v>
      </c>
      <c r="S16" s="167" t="e">
        <f aca="false">Q16+S15</f>
        <v>#DIV/0!</v>
      </c>
      <c r="T16" s="166" t="n">
        <f aca="false">R16+T15</f>
        <v>0</v>
      </c>
      <c r="U16" s="167" t="e">
        <f aca="false">S16+U15</f>
        <v>#DIV/0!</v>
      </c>
      <c r="V16" s="166" t="n">
        <f aca="false">T16+V15</f>
        <v>0</v>
      </c>
    </row>
    <row r="17" customFormat="false" ht="34.5" hidden="false" customHeight="true" outlineLevel="0" collapsed="false">
      <c r="A17" s="163" t="s">
        <v>120</v>
      </c>
      <c r="B17" s="163"/>
      <c r="C17" s="159"/>
      <c r="D17" s="164"/>
      <c r="E17" s="168"/>
      <c r="F17" s="169"/>
      <c r="G17" s="169"/>
      <c r="H17" s="169"/>
      <c r="I17" s="169"/>
      <c r="J17" s="169"/>
      <c r="K17" s="169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</row>
    <row r="18" customFormat="false" ht="34.5" hidden="false" customHeight="true" outlineLevel="0" collapsed="false">
      <c r="A18" s="163" t="s">
        <v>121</v>
      </c>
      <c r="B18" s="163"/>
      <c r="C18" s="159"/>
      <c r="D18" s="164"/>
      <c r="E18" s="168"/>
      <c r="F18" s="169"/>
      <c r="G18" s="169"/>
      <c r="H18" s="169"/>
      <c r="I18" s="169"/>
      <c r="J18" s="169"/>
      <c r="K18" s="169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</row>
    <row r="19" customFormat="false" ht="34.5" hidden="false" customHeight="true" outlineLevel="0" collapsed="false">
      <c r="A19" s="171" t="s">
        <v>122</v>
      </c>
      <c r="B19" s="171"/>
      <c r="C19" s="172"/>
      <c r="D19" s="173"/>
      <c r="E19" s="174"/>
      <c r="F19" s="175"/>
      <c r="G19" s="175"/>
      <c r="H19" s="175"/>
      <c r="I19" s="175"/>
      <c r="J19" s="175"/>
      <c r="K19" s="175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</row>
  </sheetData>
  <mergeCells count="25">
    <mergeCell ref="D1:M1"/>
    <mergeCell ref="N1:V4"/>
    <mergeCell ref="D2:M2"/>
    <mergeCell ref="D3:M3"/>
    <mergeCell ref="D4:M4"/>
    <mergeCell ref="A5:V5"/>
    <mergeCell ref="E7:V7"/>
    <mergeCell ref="A8:A9"/>
    <mergeCell ref="B8:B9"/>
    <mergeCell ref="C8:C9"/>
    <mergeCell ref="D8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A15:B15"/>
    <mergeCell ref="A16:B16"/>
    <mergeCell ref="A17:B17"/>
    <mergeCell ref="A18:B18"/>
    <mergeCell ref="A19:B19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8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2A6099"/>
    <pageSetUpPr fitToPage="true"/>
  </sheetPr>
  <dimension ref="A1:T4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H18" activeCellId="0" sqref="H18"/>
    </sheetView>
  </sheetViews>
  <sheetFormatPr defaultColWidth="9.13671875" defaultRowHeight="12.8" zeroHeight="false" outlineLevelRow="0" outlineLevelCol="0"/>
  <cols>
    <col collapsed="false" customWidth="true" hidden="false" outlineLevel="0" max="1" min="1" style="177" width="44.3"/>
    <col collapsed="false" customWidth="true" hidden="false" outlineLevel="0" max="9" min="2" style="177" width="10.24"/>
    <col collapsed="false" customWidth="true" hidden="true" outlineLevel="0" max="10" min="10" style="177" width="12.29"/>
    <col collapsed="false" customWidth="true" hidden="true" outlineLevel="0" max="11" min="11" style="177" width="22.01"/>
    <col collapsed="false" customWidth="true" hidden="true" outlineLevel="0" max="12" min="12" style="177" width="17.4"/>
    <col collapsed="false" customWidth="false" hidden="true" outlineLevel="0" max="13" min="13" style="177" width="9.13"/>
    <col collapsed="false" customWidth="true" hidden="true" outlineLevel="0" max="14" min="14" style="177" width="7.29"/>
    <col collapsed="false" customWidth="true" hidden="true" outlineLevel="0" max="15" min="15" style="177" width="0.13"/>
    <col collapsed="false" customWidth="false" hidden="true" outlineLevel="0" max="16" min="16" style="177" width="9.13"/>
    <col collapsed="false" customWidth="false" hidden="false" outlineLevel="0" max="256" min="17" style="177" width="9.13"/>
    <col collapsed="false" customWidth="true" hidden="false" outlineLevel="0" max="257" min="257" style="177" width="37.42"/>
    <col collapsed="false" customWidth="true" hidden="false" outlineLevel="0" max="261" min="258" style="177" width="9.71"/>
    <col collapsed="false" customWidth="true" hidden="false" outlineLevel="0" max="262" min="262" style="177" width="27.15"/>
    <col collapsed="false" customWidth="true" hidden="false" outlineLevel="0" max="265" min="263" style="177" width="9.71"/>
    <col collapsed="false" customWidth="false" hidden="false" outlineLevel="0" max="512" min="266" style="177" width="9.13"/>
    <col collapsed="false" customWidth="true" hidden="false" outlineLevel="0" max="513" min="513" style="177" width="37.42"/>
    <col collapsed="false" customWidth="true" hidden="false" outlineLevel="0" max="517" min="514" style="177" width="9.71"/>
    <col collapsed="false" customWidth="true" hidden="false" outlineLevel="0" max="518" min="518" style="177" width="27.15"/>
    <col collapsed="false" customWidth="true" hidden="false" outlineLevel="0" max="521" min="519" style="177" width="9.71"/>
    <col collapsed="false" customWidth="false" hidden="false" outlineLevel="0" max="768" min="522" style="177" width="9.13"/>
    <col collapsed="false" customWidth="true" hidden="false" outlineLevel="0" max="769" min="769" style="177" width="37.42"/>
    <col collapsed="false" customWidth="true" hidden="false" outlineLevel="0" max="773" min="770" style="177" width="9.71"/>
    <col collapsed="false" customWidth="true" hidden="false" outlineLevel="0" max="774" min="774" style="177" width="27.15"/>
    <col collapsed="false" customWidth="true" hidden="false" outlineLevel="0" max="777" min="775" style="177" width="9.71"/>
    <col collapsed="false" customWidth="false" hidden="false" outlineLevel="0" max="1024" min="778" style="177" width="9.13"/>
  </cols>
  <sheetData>
    <row r="1" customFormat="false" ht="83.4" hidden="false" customHeight="true" outlineLevel="0" collapsed="false">
      <c r="A1" s="178"/>
      <c r="B1" s="179" t="s">
        <v>123</v>
      </c>
      <c r="C1" s="179"/>
      <c r="D1" s="179"/>
      <c r="E1" s="179"/>
      <c r="F1" s="179"/>
      <c r="G1" s="179"/>
      <c r="H1" s="179"/>
      <c r="I1" s="179"/>
      <c r="J1" s="180"/>
      <c r="K1" s="180"/>
      <c r="L1" s="180"/>
      <c r="M1" s="180"/>
    </row>
    <row r="2" customFormat="false" ht="19.7" hidden="false" customHeight="false" outlineLevel="0" collapsed="false">
      <c r="A2" s="181" t="s">
        <v>124</v>
      </c>
      <c r="B2" s="181"/>
      <c r="C2" s="181"/>
      <c r="D2" s="181"/>
      <c r="E2" s="181"/>
      <c r="F2" s="181"/>
      <c r="G2" s="181"/>
      <c r="H2" s="181"/>
      <c r="I2" s="181"/>
      <c r="J2" s="180"/>
      <c r="K2" s="180"/>
      <c r="L2" s="180"/>
      <c r="M2" s="180"/>
    </row>
    <row r="3" customFormat="false" ht="12.8" hidden="false" customHeight="false" outlineLevel="0" collapsed="false">
      <c r="A3" s="182"/>
      <c r="B3" s="182"/>
      <c r="C3" s="182"/>
      <c r="D3" s="182"/>
      <c r="E3" s="182"/>
      <c r="F3" s="182"/>
      <c r="G3" s="182"/>
      <c r="H3" s="182"/>
      <c r="I3" s="182"/>
      <c r="J3" s="180"/>
      <c r="K3" s="180"/>
      <c r="L3" s="180"/>
      <c r="M3" s="180"/>
    </row>
    <row r="4" customFormat="false" ht="13.1" hidden="false" customHeight="true" outlineLevel="0" collapsed="false">
      <c r="A4" s="183" t="s">
        <v>125</v>
      </c>
      <c r="B4" s="184" t="s">
        <v>125</v>
      </c>
      <c r="C4" s="184"/>
      <c r="D4" s="184"/>
      <c r="E4" s="184"/>
      <c r="F4" s="185" t="s">
        <v>126</v>
      </c>
      <c r="G4" s="185"/>
      <c r="H4" s="185"/>
      <c r="I4" s="185"/>
      <c r="J4" s="180"/>
      <c r="K4" s="186"/>
      <c r="L4" s="180"/>
      <c r="M4" s="180"/>
    </row>
    <row r="5" s="189" customFormat="true" ht="24.35" hidden="false" customHeight="true" outlineLevel="0" collapsed="false">
      <c r="A5" s="185" t="s">
        <v>127</v>
      </c>
      <c r="B5" s="187" t="s">
        <v>128</v>
      </c>
      <c r="C5" s="187"/>
      <c r="D5" s="187"/>
      <c r="E5" s="187"/>
      <c r="F5" s="185" t="s">
        <v>129</v>
      </c>
      <c r="G5" s="185"/>
      <c r="H5" s="185"/>
      <c r="I5" s="185"/>
      <c r="J5" s="188"/>
      <c r="K5" s="188"/>
      <c r="L5" s="188"/>
      <c r="M5" s="188"/>
    </row>
    <row r="6" customFormat="false" ht="13.1" hidden="false" customHeight="true" outlineLevel="0" collapsed="false">
      <c r="A6" s="185" t="s">
        <v>130</v>
      </c>
      <c r="B6" s="187" t="s">
        <v>131</v>
      </c>
      <c r="C6" s="187"/>
      <c r="D6" s="187"/>
      <c r="E6" s="187"/>
      <c r="F6" s="185" t="s">
        <v>132</v>
      </c>
      <c r="G6" s="185"/>
      <c r="H6" s="185"/>
      <c r="I6" s="185"/>
      <c r="J6" s="180"/>
      <c r="K6" s="180"/>
      <c r="L6" s="180"/>
      <c r="M6" s="180"/>
    </row>
    <row r="7" customFormat="false" ht="24.35" hidden="false" customHeight="true" outlineLevel="0" collapsed="false">
      <c r="A7" s="185" t="s">
        <v>133</v>
      </c>
      <c r="B7" s="187" t="s">
        <v>134</v>
      </c>
      <c r="C7" s="187"/>
      <c r="D7" s="187"/>
      <c r="E7" s="187"/>
      <c r="F7" s="185" t="s">
        <v>135</v>
      </c>
      <c r="G7" s="185"/>
      <c r="H7" s="185"/>
      <c r="I7" s="185"/>
      <c r="J7" s="180"/>
      <c r="K7" s="180"/>
      <c r="L7" s="180"/>
      <c r="M7" s="180"/>
    </row>
    <row r="8" s="193" customFormat="true" ht="28.1" hidden="false" customHeight="true" outlineLevel="0" collapsed="false">
      <c r="A8" s="190" t="s">
        <v>136</v>
      </c>
      <c r="B8" s="190"/>
      <c r="C8" s="190"/>
      <c r="D8" s="190"/>
      <c r="E8" s="190"/>
      <c r="F8" s="190"/>
      <c r="G8" s="190"/>
      <c r="H8" s="190"/>
      <c r="I8" s="190"/>
      <c r="J8" s="191"/>
      <c r="K8" s="192"/>
      <c r="L8" s="191"/>
      <c r="M8" s="191"/>
    </row>
    <row r="9" s="195" customFormat="true" ht="12.8" hidden="false" customHeight="false" outlineLevel="0" collapsed="false">
      <c r="A9" s="194"/>
      <c r="B9" s="194"/>
      <c r="C9" s="194"/>
      <c r="D9" s="194"/>
      <c r="E9" s="194"/>
      <c r="F9" s="194"/>
      <c r="G9" s="194"/>
      <c r="H9" s="194"/>
      <c r="I9" s="194"/>
      <c r="J9" s="180"/>
      <c r="K9" s="180"/>
      <c r="L9" s="180"/>
      <c r="M9" s="180"/>
      <c r="N9" s="177"/>
      <c r="O9" s="177"/>
      <c r="P9" s="177"/>
      <c r="Q9" s="177"/>
      <c r="R9" s="177"/>
      <c r="S9" s="177"/>
      <c r="T9" s="177"/>
    </row>
    <row r="10" customFormat="false" ht="12.8" hidden="false" customHeight="false" outlineLevel="0" collapsed="false">
      <c r="A10" s="196" t="s">
        <v>137</v>
      </c>
      <c r="B10" s="196"/>
      <c r="C10" s="196"/>
      <c r="D10" s="196"/>
      <c r="E10" s="196"/>
      <c r="F10" s="196"/>
      <c r="G10" s="196"/>
      <c r="H10" s="196"/>
      <c r="I10" s="196"/>
      <c r="J10" s="180"/>
      <c r="K10" s="180"/>
      <c r="L10" s="180"/>
      <c r="M10" s="180"/>
    </row>
    <row r="11" customFormat="false" ht="12.8" hidden="false" customHeight="false" outlineLevel="0" collapsed="false">
      <c r="A11" s="196"/>
      <c r="B11" s="196"/>
      <c r="C11" s="196"/>
      <c r="D11" s="196"/>
      <c r="E11" s="196"/>
      <c r="F11" s="196"/>
      <c r="G11" s="196"/>
      <c r="H11" s="196"/>
      <c r="I11" s="196"/>
      <c r="J11" s="180"/>
      <c r="K11" s="180"/>
      <c r="L11" s="180"/>
      <c r="M11" s="180"/>
    </row>
    <row r="12" s="195" customFormat="true" ht="15" hidden="false" customHeight="false" outlineLevel="0" collapsed="false">
      <c r="A12" s="197"/>
      <c r="B12" s="197"/>
      <c r="C12" s="197"/>
      <c r="D12" s="197"/>
      <c r="E12" s="197"/>
      <c r="F12" s="197"/>
      <c r="G12" s="197"/>
      <c r="H12" s="197"/>
      <c r="I12" s="197"/>
      <c r="J12" s="180"/>
      <c r="K12" s="180"/>
      <c r="L12" s="180"/>
      <c r="M12" s="180"/>
      <c r="N12" s="177"/>
      <c r="O12" s="177"/>
      <c r="P12" s="177"/>
      <c r="Q12" s="177"/>
      <c r="R12" s="177"/>
      <c r="S12" s="177"/>
      <c r="T12" s="177"/>
    </row>
    <row r="13" s="199" customFormat="true" ht="15" hidden="false" customHeight="false" outlineLevel="0" collapsed="false">
      <c r="A13" s="196" t="s">
        <v>25</v>
      </c>
      <c r="B13" s="196" t="s">
        <v>138</v>
      </c>
      <c r="C13" s="196"/>
      <c r="D13" s="196" t="s">
        <v>139</v>
      </c>
      <c r="E13" s="196"/>
      <c r="F13" s="196" t="s">
        <v>140</v>
      </c>
      <c r="G13" s="196"/>
      <c r="H13" s="196" t="s">
        <v>141</v>
      </c>
      <c r="I13" s="196"/>
      <c r="J13" s="198"/>
      <c r="K13" s="198"/>
      <c r="L13" s="198"/>
      <c r="M13" s="198"/>
    </row>
    <row r="14" customFormat="false" ht="13.8" hidden="false" customHeight="false" outlineLevel="0" collapsed="false">
      <c r="A14" s="200" t="s">
        <v>142</v>
      </c>
      <c r="B14" s="201" t="s">
        <v>143</v>
      </c>
      <c r="C14" s="201" t="s">
        <v>144</v>
      </c>
      <c r="D14" s="201" t="s">
        <v>143</v>
      </c>
      <c r="E14" s="201" t="s">
        <v>144</v>
      </c>
      <c r="F14" s="201" t="s">
        <v>143</v>
      </c>
      <c r="G14" s="201" t="s">
        <v>144</v>
      </c>
      <c r="H14" s="201" t="s">
        <v>143</v>
      </c>
      <c r="I14" s="201" t="s">
        <v>144</v>
      </c>
      <c r="J14" s="180"/>
      <c r="K14" s="180"/>
      <c r="L14" s="180"/>
      <c r="M14" s="180"/>
    </row>
    <row r="15" customFormat="false" ht="24.35" hidden="false" customHeight="false" outlineLevel="0" collapsed="false">
      <c r="A15" s="202" t="s">
        <v>145</v>
      </c>
      <c r="B15" s="203" t="n">
        <v>0.03</v>
      </c>
      <c r="C15" s="203" t="n">
        <v>0.0616</v>
      </c>
      <c r="D15" s="203" t="n">
        <v>0.055</v>
      </c>
      <c r="E15" s="203" t="n">
        <v>0.0896</v>
      </c>
      <c r="F15" s="203" t="n">
        <v>0.04</v>
      </c>
      <c r="G15" s="203" t="n">
        <v>0.074</v>
      </c>
      <c r="H15" s="204"/>
      <c r="I15" s="204"/>
      <c r="J15" s="180"/>
      <c r="K15" s="180"/>
      <c r="L15" s="180"/>
      <c r="M15" s="180"/>
    </row>
    <row r="16" customFormat="false" ht="13.8" hidden="false" customHeight="false" outlineLevel="0" collapsed="false">
      <c r="A16" s="200" t="s">
        <v>146</v>
      </c>
      <c r="B16" s="203" t="n">
        <v>0.0059</v>
      </c>
      <c r="C16" s="203"/>
      <c r="D16" s="203" t="n">
        <v>0.0139</v>
      </c>
      <c r="E16" s="203"/>
      <c r="F16" s="203" t="n">
        <v>0.0123</v>
      </c>
      <c r="G16" s="203"/>
      <c r="H16" s="205"/>
      <c r="I16" s="205"/>
      <c r="J16" s="180"/>
      <c r="K16" s="180"/>
      <c r="L16" s="180"/>
      <c r="M16" s="180"/>
    </row>
    <row r="17" customFormat="false" ht="13.8" hidden="false" customHeight="false" outlineLevel="0" collapsed="false">
      <c r="A17" s="200" t="s">
        <v>147</v>
      </c>
      <c r="B17" s="203" t="n">
        <v>0.008</v>
      </c>
      <c r="C17" s="203"/>
      <c r="D17" s="203" t="n">
        <v>0.01</v>
      </c>
      <c r="E17" s="203"/>
      <c r="F17" s="203" t="n">
        <v>0.008</v>
      </c>
      <c r="G17" s="203"/>
      <c r="H17" s="205"/>
      <c r="I17" s="205"/>
      <c r="J17" s="180"/>
      <c r="K17" s="180"/>
      <c r="L17" s="180"/>
      <c r="M17" s="180"/>
    </row>
    <row r="18" customFormat="false" ht="12.8" hidden="false" customHeight="true" outlineLevel="0" collapsed="false">
      <c r="A18" s="206" t="s">
        <v>148</v>
      </c>
      <c r="B18" s="203" t="n">
        <v>0.0097</v>
      </c>
      <c r="C18" s="203"/>
      <c r="D18" s="203" t="n">
        <v>0.0127</v>
      </c>
      <c r="E18" s="203"/>
      <c r="F18" s="203" t="n">
        <v>0.0127</v>
      </c>
      <c r="G18" s="203"/>
      <c r="H18" s="205"/>
      <c r="I18" s="205"/>
      <c r="J18" s="180"/>
      <c r="K18" s="180"/>
      <c r="L18" s="207" t="s">
        <v>149</v>
      </c>
      <c r="M18" s="207"/>
    </row>
    <row r="19" customFormat="false" ht="13.8" hidden="false" customHeight="false" outlineLevel="0" collapsed="false">
      <c r="A19" s="200" t="s">
        <v>150</v>
      </c>
      <c r="B19" s="203" t="n">
        <v>0.0465</v>
      </c>
      <c r="C19" s="203"/>
      <c r="D19" s="203" t="n">
        <v>0.0865</v>
      </c>
      <c r="E19" s="203"/>
      <c r="F19" s="203" t="n">
        <v>0.054</v>
      </c>
      <c r="G19" s="203"/>
      <c r="H19" s="205"/>
      <c r="I19" s="205"/>
      <c r="J19" s="180"/>
      <c r="K19" s="180"/>
      <c r="L19" s="207"/>
      <c r="M19" s="207"/>
    </row>
    <row r="20" customFormat="false" ht="12.8" hidden="false" customHeight="false" outlineLevel="0" collapsed="false">
      <c r="A20" s="208" t="s">
        <v>151</v>
      </c>
      <c r="B20" s="203" t="n">
        <v>0.02</v>
      </c>
      <c r="C20" s="203"/>
      <c r="D20" s="203" t="n">
        <v>0.05</v>
      </c>
      <c r="E20" s="203"/>
      <c r="F20" s="203" t="n">
        <v>0.035</v>
      </c>
      <c r="G20" s="203"/>
      <c r="H20" s="205"/>
      <c r="I20" s="205"/>
      <c r="J20" s="180"/>
      <c r="K20" s="180"/>
      <c r="L20" s="207"/>
      <c r="M20" s="207"/>
    </row>
    <row r="21" customFormat="false" ht="12.8" hidden="false" customHeight="false" outlineLevel="0" collapsed="false">
      <c r="A21" s="208" t="s">
        <v>152</v>
      </c>
      <c r="B21" s="203" t="s">
        <v>153</v>
      </c>
      <c r="C21" s="203"/>
      <c r="D21" s="203" t="s">
        <v>153</v>
      </c>
      <c r="E21" s="203"/>
      <c r="F21" s="203" t="s">
        <v>153</v>
      </c>
      <c r="G21" s="203"/>
      <c r="H21" s="205"/>
      <c r="I21" s="205"/>
      <c r="J21" s="180"/>
      <c r="K21" s="180"/>
      <c r="L21" s="209" t="s">
        <v>154</v>
      </c>
      <c r="M21" s="209"/>
    </row>
    <row r="22" customFormat="false" ht="12.8" hidden="false" customHeight="false" outlineLevel="0" collapsed="false">
      <c r="A22" s="208" t="s">
        <v>155</v>
      </c>
      <c r="B22" s="203" t="s">
        <v>153</v>
      </c>
      <c r="C22" s="203"/>
      <c r="D22" s="203" t="s">
        <v>153</v>
      </c>
      <c r="E22" s="203"/>
      <c r="F22" s="203" t="s">
        <v>153</v>
      </c>
      <c r="G22" s="203"/>
      <c r="H22" s="205"/>
      <c r="I22" s="205"/>
      <c r="J22" s="180"/>
      <c r="K22" s="180"/>
      <c r="L22" s="210" t="s">
        <v>156</v>
      </c>
      <c r="M22" s="210"/>
      <c r="O22" s="211" t="n">
        <f aca="false">H25</f>
        <v>0</v>
      </c>
    </row>
    <row r="23" customFormat="false" ht="12.8" hidden="false" customHeight="false" outlineLevel="0" collapsed="false">
      <c r="A23" s="208" t="s">
        <v>157</v>
      </c>
      <c r="B23" s="203" t="s">
        <v>153</v>
      </c>
      <c r="C23" s="203"/>
      <c r="D23" s="203" t="s">
        <v>153</v>
      </c>
      <c r="E23" s="203"/>
      <c r="F23" s="203" t="s">
        <v>153</v>
      </c>
      <c r="G23" s="203"/>
      <c r="H23" s="205"/>
      <c r="I23" s="205"/>
      <c r="J23" s="180"/>
      <c r="K23" s="180"/>
      <c r="L23" s="0"/>
      <c r="M23" s="0"/>
      <c r="O23" s="211"/>
    </row>
    <row r="24" customFormat="false" ht="13.8" hidden="false" customHeight="false" outlineLevel="0" collapsed="false">
      <c r="A24" s="212"/>
      <c r="B24" s="213"/>
      <c r="C24" s="213"/>
      <c r="D24" s="213"/>
      <c r="E24" s="213"/>
      <c r="F24" s="213"/>
      <c r="G24" s="213"/>
      <c r="H24" s="214"/>
      <c r="I24" s="214"/>
      <c r="J24" s="180"/>
      <c r="K24" s="180"/>
      <c r="L24" s="180"/>
      <c r="M24" s="180"/>
    </row>
    <row r="25" customFormat="false" ht="24.6" hidden="false" customHeight="true" outlineLevel="0" collapsed="false">
      <c r="A25" s="215" t="s">
        <v>158</v>
      </c>
      <c r="B25" s="215"/>
      <c r="C25" s="215"/>
      <c r="D25" s="215"/>
      <c r="E25" s="215"/>
      <c r="F25" s="215"/>
      <c r="G25" s="215"/>
      <c r="H25" s="216" t="n">
        <f aca="false">(((1+H29+H30+H31)*(1+H32)*(1+H33))/(1-H34))-1</f>
        <v>0</v>
      </c>
      <c r="I25" s="216"/>
      <c r="J25" s="217" t="n">
        <f aca="false">(((1+H29+H30+H31)*(1+H32)*(1+H33))/(1-(H34+4.5%)))-1</f>
        <v>0.0471204188481675</v>
      </c>
      <c r="K25" s="218" t="s">
        <v>159</v>
      </c>
      <c r="L25" s="180"/>
      <c r="M25" s="180"/>
    </row>
    <row r="26" customFormat="false" ht="12.8" hidden="false" customHeight="false" outlineLevel="0" collapsed="false">
      <c r="A26" s="219"/>
      <c r="B26" s="219"/>
      <c r="C26" s="219"/>
      <c r="D26" s="219"/>
      <c r="E26" s="219"/>
      <c r="F26" s="219"/>
      <c r="G26" s="219"/>
      <c r="H26" s="219"/>
      <c r="I26" s="219"/>
      <c r="J26" s="180"/>
      <c r="K26" s="180"/>
      <c r="L26" s="180"/>
      <c r="M26" s="180"/>
    </row>
    <row r="27" customFormat="false" ht="15" hidden="false" customHeight="false" outlineLevel="0" collapsed="false">
      <c r="A27" s="196" t="s">
        <v>160</v>
      </c>
      <c r="B27" s="196"/>
      <c r="C27" s="196"/>
      <c r="D27" s="196"/>
      <c r="E27" s="196"/>
      <c r="F27" s="196"/>
      <c r="G27" s="196"/>
      <c r="H27" s="196"/>
      <c r="I27" s="196"/>
      <c r="J27" s="180"/>
      <c r="K27" s="180"/>
      <c r="L27" s="180"/>
      <c r="M27" s="180"/>
    </row>
    <row r="28" customFormat="false" ht="12.8" hidden="false" customHeight="false" outlineLevel="0" collapsed="false">
      <c r="A28" s="220" t="s">
        <v>161</v>
      </c>
      <c r="B28" s="220"/>
      <c r="C28" s="220"/>
      <c r="D28" s="220"/>
      <c r="E28" s="220"/>
      <c r="F28" s="220"/>
      <c r="G28" s="220"/>
      <c r="H28" s="221" t="s">
        <v>141</v>
      </c>
      <c r="I28" s="221"/>
      <c r="J28" s="180"/>
      <c r="K28" s="180"/>
      <c r="L28" s="180"/>
      <c r="M28" s="180"/>
    </row>
    <row r="29" customFormat="false" ht="12.8" hidden="false" customHeight="true" outlineLevel="0" collapsed="false">
      <c r="A29" s="222" t="s">
        <v>128</v>
      </c>
      <c r="B29" s="222"/>
      <c r="C29" s="222"/>
      <c r="D29" s="222"/>
      <c r="E29" s="222"/>
      <c r="F29" s="222"/>
      <c r="G29" s="222"/>
      <c r="H29" s="203" t="n">
        <f aca="false">H15</f>
        <v>0</v>
      </c>
      <c r="I29" s="203"/>
      <c r="J29" s="180"/>
      <c r="K29" s="180"/>
      <c r="L29" s="180"/>
      <c r="M29" s="180"/>
    </row>
    <row r="30" customFormat="false" ht="12.8" hidden="false" customHeight="false" outlineLevel="0" collapsed="false">
      <c r="A30" s="223" t="s">
        <v>162</v>
      </c>
      <c r="B30" s="223"/>
      <c r="C30" s="223"/>
      <c r="D30" s="223"/>
      <c r="E30" s="223"/>
      <c r="F30" s="223"/>
      <c r="G30" s="223"/>
      <c r="H30" s="203" t="n">
        <f aca="false">H17</f>
        <v>0</v>
      </c>
      <c r="I30" s="203"/>
      <c r="J30" s="180"/>
      <c r="K30" s="180"/>
      <c r="L30" s="180"/>
      <c r="M30" s="180"/>
    </row>
    <row r="31" customFormat="false" ht="12.8" hidden="false" customHeight="false" outlineLevel="0" collapsed="false">
      <c r="A31" s="223" t="s">
        <v>134</v>
      </c>
      <c r="B31" s="223"/>
      <c r="C31" s="223"/>
      <c r="D31" s="223"/>
      <c r="E31" s="223"/>
      <c r="F31" s="223"/>
      <c r="G31" s="223"/>
      <c r="H31" s="203" t="n">
        <f aca="false">H18</f>
        <v>0</v>
      </c>
      <c r="I31" s="203"/>
      <c r="J31" s="180"/>
      <c r="K31" s="180"/>
      <c r="L31" s="180"/>
      <c r="M31" s="180"/>
    </row>
    <row r="32" customFormat="false" ht="12.8" hidden="false" customHeight="true" outlineLevel="0" collapsed="false">
      <c r="A32" s="222" t="s">
        <v>129</v>
      </c>
      <c r="B32" s="222"/>
      <c r="C32" s="222"/>
      <c r="D32" s="222"/>
      <c r="E32" s="222"/>
      <c r="F32" s="222"/>
      <c r="G32" s="222"/>
      <c r="H32" s="203" t="n">
        <f aca="false">H16</f>
        <v>0</v>
      </c>
      <c r="I32" s="203"/>
      <c r="J32" s="180"/>
      <c r="K32" s="180"/>
      <c r="L32" s="180"/>
      <c r="M32" s="180"/>
    </row>
    <row r="33" customFormat="false" ht="12.8" hidden="false" customHeight="false" outlineLevel="0" collapsed="false">
      <c r="A33" s="223" t="s">
        <v>132</v>
      </c>
      <c r="B33" s="223"/>
      <c r="C33" s="223"/>
      <c r="D33" s="223"/>
      <c r="E33" s="223"/>
      <c r="F33" s="223"/>
      <c r="G33" s="223"/>
      <c r="H33" s="203" t="n">
        <f aca="false">I15</f>
        <v>0</v>
      </c>
      <c r="I33" s="203"/>
      <c r="J33" s="180"/>
      <c r="K33" s="180"/>
      <c r="L33" s="180"/>
      <c r="M33" s="180"/>
    </row>
    <row r="34" customFormat="false" ht="12.8" hidden="false" customHeight="true" outlineLevel="0" collapsed="false">
      <c r="A34" s="222" t="s">
        <v>135</v>
      </c>
      <c r="B34" s="222"/>
      <c r="C34" s="222"/>
      <c r="D34" s="222"/>
      <c r="E34" s="222"/>
      <c r="F34" s="222"/>
      <c r="G34" s="222"/>
      <c r="H34" s="203" t="n">
        <f aca="false">H19</f>
        <v>0</v>
      </c>
      <c r="I34" s="203"/>
      <c r="J34" s="180"/>
      <c r="K34" s="180"/>
      <c r="L34" s="180"/>
      <c r="M34" s="180"/>
    </row>
    <row r="35" customFormat="false" ht="12.8" hidden="false" customHeight="false" outlineLevel="0" collapsed="false">
      <c r="A35" s="224"/>
      <c r="B35" s="224"/>
      <c r="C35" s="224"/>
      <c r="D35" s="224"/>
      <c r="E35" s="224"/>
      <c r="F35" s="224"/>
      <c r="G35" s="224"/>
      <c r="H35" s="224"/>
      <c r="I35" s="224"/>
      <c r="J35" s="180"/>
      <c r="K35" s="180"/>
      <c r="L35" s="180"/>
      <c r="M35" s="180"/>
    </row>
    <row r="36" customFormat="false" ht="24.35" hidden="false" customHeight="true" outlineLevel="0" collapsed="false">
      <c r="A36" s="225" t="s">
        <v>163</v>
      </c>
      <c r="B36" s="225"/>
      <c r="C36" s="225"/>
      <c r="D36" s="225"/>
      <c r="E36" s="225"/>
      <c r="F36" s="225"/>
      <c r="G36" s="225"/>
      <c r="H36" s="225"/>
      <c r="I36" s="225"/>
      <c r="J36" s="180"/>
      <c r="K36" s="180"/>
      <c r="L36" s="180"/>
      <c r="M36" s="180"/>
    </row>
    <row r="37" customFormat="false" ht="15" hidden="false" customHeight="false" outlineLevel="0" collapsed="false">
      <c r="A37" s="226"/>
      <c r="B37" s="226"/>
      <c r="C37" s="226"/>
      <c r="D37" s="226"/>
      <c r="E37" s="226"/>
      <c r="F37" s="226"/>
      <c r="G37" s="226"/>
      <c r="H37" s="226"/>
      <c r="I37" s="226"/>
      <c r="J37" s="180"/>
      <c r="K37" s="180"/>
      <c r="L37" s="180"/>
      <c r="M37" s="180"/>
    </row>
    <row r="38" customFormat="false" ht="15" hidden="false" customHeight="false" outlineLevel="0" collapsed="false">
      <c r="A38" s="227" t="s">
        <v>164</v>
      </c>
      <c r="B38" s="226"/>
      <c r="C38" s="226"/>
      <c r="D38" s="226"/>
      <c r="E38" s="226"/>
      <c r="F38" s="226"/>
      <c r="G38" s="226"/>
      <c r="H38" s="226"/>
      <c r="I38" s="226"/>
      <c r="J38" s="180"/>
      <c r="K38" s="180"/>
      <c r="L38" s="180"/>
      <c r="M38" s="180"/>
    </row>
    <row r="39" customFormat="false" ht="46.85" hidden="false" customHeight="true" outlineLevel="0" collapsed="false">
      <c r="A39" s="228" t="s">
        <v>165</v>
      </c>
      <c r="B39" s="228"/>
      <c r="C39" s="228"/>
      <c r="D39" s="228"/>
      <c r="E39" s="228"/>
      <c r="F39" s="228"/>
      <c r="G39" s="228"/>
      <c r="H39" s="228"/>
      <c r="I39" s="228"/>
      <c r="J39" s="228"/>
      <c r="K39" s="180"/>
      <c r="L39" s="180"/>
      <c r="M39" s="180"/>
    </row>
    <row r="40" customFormat="false" ht="24.35" hidden="false" customHeight="true" outlineLevel="0" collapsed="false">
      <c r="A40" s="228" t="s">
        <v>166</v>
      </c>
      <c r="B40" s="228"/>
      <c r="C40" s="228"/>
      <c r="D40" s="228"/>
      <c r="E40" s="228"/>
      <c r="F40" s="228"/>
      <c r="G40" s="228"/>
      <c r="H40" s="228"/>
      <c r="I40" s="228"/>
      <c r="J40" s="229"/>
      <c r="K40" s="180"/>
      <c r="L40" s="188"/>
      <c r="M40" s="188"/>
    </row>
    <row r="41" s="189" customFormat="true" ht="12.8" hidden="false" customHeight="false" outlineLevel="0" collapsed="false">
      <c r="A41" s="230" t="s">
        <v>167</v>
      </c>
      <c r="B41" s="230"/>
      <c r="C41" s="230"/>
      <c r="D41" s="230"/>
      <c r="E41" s="230"/>
      <c r="F41" s="231"/>
      <c r="G41" s="232"/>
      <c r="H41" s="232"/>
      <c r="I41" s="0"/>
      <c r="J41" s="232"/>
      <c r="K41" s="188"/>
      <c r="L41" s="180"/>
      <c r="M41" s="180"/>
    </row>
    <row r="42" customFormat="false" ht="12.8" hidden="false" customHeight="false" outlineLevel="0" collapsed="false">
      <c r="J42" s="229"/>
      <c r="K42" s="180"/>
      <c r="L42" s="180"/>
      <c r="M42" s="180"/>
    </row>
    <row r="43" customFormat="false" ht="12.8" hidden="false" customHeight="false" outlineLevel="0" collapsed="false">
      <c r="J43" s="229"/>
      <c r="K43" s="180"/>
      <c r="L43" s="180"/>
      <c r="M43" s="180"/>
    </row>
    <row r="44" customFormat="false" ht="13.8" hidden="false" customHeight="false" outlineLevel="0" collapsed="false">
      <c r="A44" s="233"/>
      <c r="B44" s="233"/>
      <c r="C44" s="233"/>
      <c r="D44" s="233"/>
      <c r="E44" s="233"/>
      <c r="F44" s="233"/>
      <c r="G44" s="233"/>
      <c r="H44" s="233"/>
      <c r="I44" s="233"/>
      <c r="J44" s="229"/>
      <c r="K44" s="180"/>
      <c r="L44" s="180"/>
      <c r="M44" s="180"/>
    </row>
    <row r="45" customFormat="false" ht="13.8" hidden="false" customHeight="false" outlineLevel="0" collapsed="false">
      <c r="A45" s="233"/>
      <c r="B45" s="233"/>
      <c r="C45" s="233"/>
      <c r="D45" s="233"/>
      <c r="E45" s="233"/>
      <c r="F45" s="233"/>
      <c r="G45" s="233"/>
      <c r="H45" s="233"/>
      <c r="I45" s="233"/>
      <c r="J45" s="229"/>
      <c r="K45" s="180"/>
    </row>
    <row r="46" customFormat="false" ht="12.8" hidden="false" customHeight="false" outlineLevel="0" collapsed="false">
      <c r="A46" s="234"/>
      <c r="B46" s="234"/>
      <c r="C46" s="234"/>
      <c r="D46" s="234"/>
      <c r="E46" s="234"/>
      <c r="F46" s="234"/>
      <c r="G46" s="234"/>
      <c r="H46" s="234"/>
      <c r="I46" s="234"/>
    </row>
  </sheetData>
  <mergeCells count="80">
    <mergeCell ref="B1:I1"/>
    <mergeCell ref="A2:I2"/>
    <mergeCell ref="A3:I3"/>
    <mergeCell ref="B4:E4"/>
    <mergeCell ref="F4:I4"/>
    <mergeCell ref="B5:E5"/>
    <mergeCell ref="F5:I5"/>
    <mergeCell ref="B6:E6"/>
    <mergeCell ref="F6:I6"/>
    <mergeCell ref="B7:E7"/>
    <mergeCell ref="F7:I7"/>
    <mergeCell ref="A8:I8"/>
    <mergeCell ref="A9:I9"/>
    <mergeCell ref="A10:I11"/>
    <mergeCell ref="A12:I12"/>
    <mergeCell ref="B13:C13"/>
    <mergeCell ref="D13:E13"/>
    <mergeCell ref="F13:G13"/>
    <mergeCell ref="H13:I13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L18:M20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L21:M21"/>
    <mergeCell ref="B22:C22"/>
    <mergeCell ref="D22:E22"/>
    <mergeCell ref="F22:G22"/>
    <mergeCell ref="H22:I22"/>
    <mergeCell ref="L22:M22"/>
    <mergeCell ref="B23:C23"/>
    <mergeCell ref="D23:E23"/>
    <mergeCell ref="F23:G23"/>
    <mergeCell ref="H23:I23"/>
    <mergeCell ref="A25:G25"/>
    <mergeCell ref="H25:I25"/>
    <mergeCell ref="A26:I26"/>
    <mergeCell ref="A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I35"/>
    <mergeCell ref="A36:I36"/>
    <mergeCell ref="A39:I39"/>
    <mergeCell ref="A40:I40"/>
    <mergeCell ref="A41:E41"/>
    <mergeCell ref="A44:I44"/>
    <mergeCell ref="A45:I45"/>
    <mergeCell ref="A46:I4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2A6099"/>
    <pageSetUpPr fitToPage="true"/>
  </sheetPr>
  <dimension ref="B1:G4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C30" activeCellId="0" sqref="C30"/>
    </sheetView>
  </sheetViews>
  <sheetFormatPr defaultColWidth="11.70703125" defaultRowHeight="12.8" zeroHeight="false" outlineLevelRow="0" outlineLevelCol="0"/>
  <cols>
    <col collapsed="false" customWidth="true" hidden="false" outlineLevel="0" max="1" min="1" style="235" width="3.64"/>
    <col collapsed="false" customWidth="true" hidden="false" outlineLevel="0" max="2" min="2" style="235" width="9.55"/>
    <col collapsed="false" customWidth="true" hidden="false" outlineLevel="0" max="3" min="3" style="235" width="31.96"/>
    <col collapsed="false" customWidth="true" hidden="false" outlineLevel="0" max="7" min="4" style="236" width="12.86"/>
    <col collapsed="false" customWidth="true" hidden="false" outlineLevel="0" max="8" min="8" style="235" width="4.17"/>
    <col collapsed="false" customWidth="false" hidden="false" outlineLevel="0" max="1024" min="9" style="235" width="11.69"/>
  </cols>
  <sheetData>
    <row r="1" customFormat="false" ht="12.8" hidden="false" customHeight="false" outlineLevel="0" collapsed="false">
      <c r="B1" s="237"/>
      <c r="C1" s="237"/>
      <c r="D1" s="237"/>
      <c r="E1" s="237"/>
      <c r="F1" s="237"/>
      <c r="G1" s="237"/>
    </row>
    <row r="2" customFormat="false" ht="12.8" hidden="false" customHeight="false" outlineLevel="0" collapsed="false">
      <c r="B2" s="237" t="s">
        <v>168</v>
      </c>
      <c r="C2" s="237"/>
      <c r="D2" s="237"/>
      <c r="E2" s="237"/>
      <c r="F2" s="237"/>
      <c r="G2" s="237"/>
    </row>
    <row r="3" customFormat="false" ht="15" hidden="false" customHeight="false" outlineLevel="0" collapsed="false">
      <c r="B3" s="238"/>
      <c r="C3" s="238"/>
      <c r="D3" s="238"/>
      <c r="E3" s="238"/>
      <c r="F3" s="238"/>
      <c r="G3" s="238"/>
    </row>
    <row r="4" customFormat="false" ht="15" hidden="false" customHeight="true" outlineLevel="0" collapsed="false">
      <c r="B4" s="239" t="s">
        <v>169</v>
      </c>
      <c r="C4" s="240" t="s">
        <v>170</v>
      </c>
      <c r="D4" s="240"/>
      <c r="E4" s="240"/>
      <c r="F4" s="240"/>
      <c r="G4" s="240"/>
    </row>
    <row r="5" customFormat="false" ht="15" hidden="false" customHeight="false" outlineLevel="0" collapsed="false">
      <c r="B5" s="241" t="s">
        <v>171</v>
      </c>
      <c r="C5" s="241"/>
      <c r="D5" s="241"/>
      <c r="E5" s="242"/>
      <c r="F5" s="242"/>
      <c r="G5" s="243"/>
    </row>
    <row r="6" customFormat="false" ht="12.8" hidden="false" customHeight="false" outlineLevel="0" collapsed="false">
      <c r="B6" s="244" t="s">
        <v>23</v>
      </c>
      <c r="C6" s="244" t="s">
        <v>25</v>
      </c>
      <c r="D6" s="245" t="s">
        <v>172</v>
      </c>
      <c r="E6" s="245"/>
      <c r="F6" s="245" t="s">
        <v>173</v>
      </c>
      <c r="G6" s="245"/>
    </row>
    <row r="7" customFormat="false" ht="12.8" hidden="false" customHeight="false" outlineLevel="0" collapsed="false">
      <c r="B7" s="244"/>
      <c r="C7" s="244"/>
      <c r="D7" s="245" t="s">
        <v>174</v>
      </c>
      <c r="E7" s="245" t="s">
        <v>175</v>
      </c>
      <c r="F7" s="245" t="s">
        <v>174</v>
      </c>
      <c r="G7" s="245" t="s">
        <v>175</v>
      </c>
    </row>
    <row r="8" customFormat="false" ht="12.8" hidden="false" customHeight="false" outlineLevel="0" collapsed="false">
      <c r="B8" s="246"/>
      <c r="C8" s="246"/>
      <c r="D8" s="247" t="s">
        <v>176</v>
      </c>
      <c r="E8" s="247" t="s">
        <v>176</v>
      </c>
      <c r="F8" s="247" t="s">
        <v>176</v>
      </c>
      <c r="G8" s="247" t="s">
        <v>176</v>
      </c>
    </row>
    <row r="9" customFormat="false" ht="15" hidden="false" customHeight="false" outlineLevel="0" collapsed="false">
      <c r="B9" s="248" t="s">
        <v>177</v>
      </c>
      <c r="C9" s="249"/>
      <c r="D9" s="250"/>
      <c r="E9" s="250"/>
      <c r="F9" s="250"/>
      <c r="G9" s="251"/>
    </row>
    <row r="10" customFormat="false" ht="12.8" hidden="false" customHeight="false" outlineLevel="0" collapsed="false">
      <c r="B10" s="252" t="s">
        <v>178</v>
      </c>
      <c r="C10" s="252" t="s">
        <v>179</v>
      </c>
      <c r="D10" s="253"/>
      <c r="E10" s="253"/>
      <c r="F10" s="253"/>
      <c r="G10" s="253"/>
    </row>
    <row r="11" customFormat="false" ht="12.8" hidden="false" customHeight="false" outlineLevel="0" collapsed="false">
      <c r="B11" s="252" t="s">
        <v>180</v>
      </c>
      <c r="C11" s="252" t="s">
        <v>181</v>
      </c>
      <c r="D11" s="253"/>
      <c r="E11" s="253"/>
      <c r="F11" s="253"/>
      <c r="G11" s="253"/>
    </row>
    <row r="12" customFormat="false" ht="12.8" hidden="false" customHeight="false" outlineLevel="0" collapsed="false">
      <c r="B12" s="252" t="s">
        <v>182</v>
      </c>
      <c r="C12" s="252" t="s">
        <v>183</v>
      </c>
      <c r="D12" s="253"/>
      <c r="E12" s="253"/>
      <c r="F12" s="253"/>
      <c r="G12" s="253"/>
    </row>
    <row r="13" customFormat="false" ht="12.8" hidden="false" customHeight="false" outlineLevel="0" collapsed="false">
      <c r="B13" s="252" t="s">
        <v>184</v>
      </c>
      <c r="C13" s="252" t="s">
        <v>185</v>
      </c>
      <c r="D13" s="253"/>
      <c r="E13" s="253"/>
      <c r="F13" s="253"/>
      <c r="G13" s="253"/>
    </row>
    <row r="14" customFormat="false" ht="12.8" hidden="false" customHeight="false" outlineLevel="0" collapsed="false">
      <c r="B14" s="252" t="s">
        <v>186</v>
      </c>
      <c r="C14" s="252" t="s">
        <v>187</v>
      </c>
      <c r="D14" s="253"/>
      <c r="E14" s="253"/>
      <c r="F14" s="253"/>
      <c r="G14" s="253"/>
    </row>
    <row r="15" customFormat="false" ht="12.8" hidden="false" customHeight="false" outlineLevel="0" collapsed="false">
      <c r="B15" s="252" t="s">
        <v>188</v>
      </c>
      <c r="C15" s="252" t="s">
        <v>189</v>
      </c>
      <c r="D15" s="253"/>
      <c r="E15" s="253"/>
      <c r="F15" s="253"/>
      <c r="G15" s="253"/>
    </row>
    <row r="16" customFormat="false" ht="12.8" hidden="false" customHeight="false" outlineLevel="0" collapsed="false">
      <c r="B16" s="252" t="s">
        <v>190</v>
      </c>
      <c r="C16" s="252" t="s">
        <v>191</v>
      </c>
      <c r="D16" s="253"/>
      <c r="E16" s="253"/>
      <c r="F16" s="253"/>
      <c r="G16" s="253"/>
    </row>
    <row r="17" customFormat="false" ht="12.8" hidden="false" customHeight="false" outlineLevel="0" collapsed="false">
      <c r="B17" s="252" t="s">
        <v>192</v>
      </c>
      <c r="C17" s="252" t="s">
        <v>193</v>
      </c>
      <c r="D17" s="253"/>
      <c r="E17" s="253"/>
      <c r="F17" s="253"/>
      <c r="G17" s="253"/>
    </row>
    <row r="18" customFormat="false" ht="12.8" hidden="false" customHeight="false" outlineLevel="0" collapsed="false">
      <c r="B18" s="252" t="s">
        <v>194</v>
      </c>
      <c r="C18" s="252" t="s">
        <v>195</v>
      </c>
      <c r="D18" s="253"/>
      <c r="E18" s="253"/>
      <c r="F18" s="253"/>
      <c r="G18" s="253"/>
    </row>
    <row r="19" customFormat="false" ht="13.8" hidden="false" customHeight="false" outlineLevel="0" collapsed="false">
      <c r="B19" s="254" t="s">
        <v>196</v>
      </c>
      <c r="C19" s="255" t="s">
        <v>197</v>
      </c>
      <c r="D19" s="256" t="n">
        <f aca="false">SUM(D10:D18)</f>
        <v>0</v>
      </c>
      <c r="E19" s="256" t="n">
        <f aca="false">SUM(E10:E18)</f>
        <v>0</v>
      </c>
      <c r="F19" s="256" t="n">
        <f aca="false">SUM(F10:F18)</f>
        <v>0</v>
      </c>
      <c r="G19" s="256" t="n">
        <f aca="false">SUM(G10:G18)</f>
        <v>0</v>
      </c>
    </row>
    <row r="20" customFormat="false" ht="15" hidden="false" customHeight="false" outlineLevel="0" collapsed="false">
      <c r="B20" s="248" t="s">
        <v>198</v>
      </c>
      <c r="C20" s="249"/>
      <c r="D20" s="250"/>
      <c r="E20" s="250"/>
      <c r="F20" s="250"/>
      <c r="G20" s="251"/>
    </row>
    <row r="21" customFormat="false" ht="12.8" hidden="false" customHeight="false" outlineLevel="0" collapsed="false">
      <c r="B21" s="252" t="s">
        <v>199</v>
      </c>
      <c r="C21" s="252" t="s">
        <v>200</v>
      </c>
      <c r="D21" s="253"/>
      <c r="E21" s="257"/>
      <c r="F21" s="253"/>
      <c r="G21" s="257"/>
    </row>
    <row r="22" customFormat="false" ht="12.8" hidden="false" customHeight="false" outlineLevel="0" collapsed="false">
      <c r="B22" s="252" t="s">
        <v>201</v>
      </c>
      <c r="C22" s="252" t="s">
        <v>202</v>
      </c>
      <c r="D22" s="253"/>
      <c r="E22" s="257"/>
      <c r="F22" s="253"/>
      <c r="G22" s="257"/>
    </row>
    <row r="23" customFormat="false" ht="12.8" hidden="false" customHeight="false" outlineLevel="0" collapsed="false">
      <c r="B23" s="252" t="s">
        <v>203</v>
      </c>
      <c r="C23" s="252" t="s">
        <v>204</v>
      </c>
      <c r="D23" s="253"/>
      <c r="E23" s="253"/>
      <c r="F23" s="253"/>
      <c r="G23" s="253"/>
    </row>
    <row r="24" customFormat="false" ht="12.8" hidden="false" customHeight="false" outlineLevel="0" collapsed="false">
      <c r="B24" s="252" t="s">
        <v>205</v>
      </c>
      <c r="C24" s="252" t="s">
        <v>206</v>
      </c>
      <c r="D24" s="253"/>
      <c r="E24" s="253"/>
      <c r="F24" s="253"/>
      <c r="G24" s="253"/>
    </row>
    <row r="25" customFormat="false" ht="12.8" hidden="false" customHeight="false" outlineLevel="0" collapsed="false">
      <c r="B25" s="252" t="s">
        <v>207</v>
      </c>
      <c r="C25" s="252" t="s">
        <v>208</v>
      </c>
      <c r="D25" s="253"/>
      <c r="E25" s="253"/>
      <c r="F25" s="253"/>
      <c r="G25" s="253"/>
    </row>
    <row r="26" customFormat="false" ht="12.8" hidden="false" customHeight="false" outlineLevel="0" collapsed="false">
      <c r="B26" s="252" t="s">
        <v>209</v>
      </c>
      <c r="C26" s="252" t="s">
        <v>210</v>
      </c>
      <c r="D26" s="253"/>
      <c r="E26" s="253"/>
      <c r="F26" s="253"/>
      <c r="G26" s="253"/>
    </row>
    <row r="27" customFormat="false" ht="12.8" hidden="false" customHeight="false" outlineLevel="0" collapsed="false">
      <c r="B27" s="252" t="s">
        <v>211</v>
      </c>
      <c r="C27" s="252" t="s">
        <v>212</v>
      </c>
      <c r="D27" s="253"/>
      <c r="E27" s="257"/>
      <c r="F27" s="253"/>
      <c r="G27" s="257"/>
    </row>
    <row r="28" customFormat="false" ht="12.8" hidden="false" customHeight="false" outlineLevel="0" collapsed="false">
      <c r="B28" s="252" t="s">
        <v>213</v>
      </c>
      <c r="C28" s="252" t="s">
        <v>214</v>
      </c>
      <c r="D28" s="253"/>
      <c r="E28" s="253"/>
      <c r="F28" s="253"/>
      <c r="G28" s="253"/>
    </row>
    <row r="29" customFormat="false" ht="12.8" hidden="false" customHeight="false" outlineLevel="0" collapsed="false">
      <c r="B29" s="252" t="s">
        <v>215</v>
      </c>
      <c r="C29" s="252" t="s">
        <v>216</v>
      </c>
      <c r="D29" s="253"/>
      <c r="E29" s="253"/>
      <c r="F29" s="253"/>
      <c r="G29" s="253"/>
    </row>
    <row r="30" customFormat="false" ht="12.8" hidden="false" customHeight="false" outlineLevel="0" collapsed="false">
      <c r="B30" s="252" t="s">
        <v>217</v>
      </c>
      <c r="C30" s="252" t="s">
        <v>218</v>
      </c>
      <c r="D30" s="253"/>
      <c r="E30" s="253"/>
      <c r="F30" s="253"/>
      <c r="G30" s="253"/>
    </row>
    <row r="31" customFormat="false" ht="13.8" hidden="false" customHeight="false" outlineLevel="0" collapsed="false">
      <c r="B31" s="258" t="s">
        <v>219</v>
      </c>
      <c r="C31" s="259" t="s">
        <v>197</v>
      </c>
      <c r="D31" s="260" t="n">
        <f aca="false">SUM(D21:D30)</f>
        <v>0</v>
      </c>
      <c r="E31" s="260" t="n">
        <f aca="false">SUM(E21:E30)</f>
        <v>0</v>
      </c>
      <c r="F31" s="260" t="n">
        <f aca="false">SUM(F21:F30)</f>
        <v>0</v>
      </c>
      <c r="G31" s="260" t="n">
        <f aca="false">SUM(G21:G30)</f>
        <v>0</v>
      </c>
    </row>
    <row r="32" customFormat="false" ht="15" hidden="false" customHeight="false" outlineLevel="0" collapsed="false">
      <c r="B32" s="248" t="s">
        <v>220</v>
      </c>
      <c r="C32" s="249"/>
      <c r="D32" s="250"/>
      <c r="E32" s="250"/>
      <c r="F32" s="250"/>
      <c r="G32" s="251"/>
    </row>
    <row r="33" customFormat="false" ht="12.8" hidden="false" customHeight="false" outlineLevel="0" collapsed="false">
      <c r="B33" s="252" t="s">
        <v>221</v>
      </c>
      <c r="C33" s="252" t="s">
        <v>222</v>
      </c>
      <c r="D33" s="253"/>
      <c r="E33" s="253"/>
      <c r="F33" s="253"/>
      <c r="G33" s="253"/>
    </row>
    <row r="34" customFormat="false" ht="12.8" hidden="false" customHeight="false" outlineLevel="0" collapsed="false">
      <c r="B34" s="252" t="s">
        <v>223</v>
      </c>
      <c r="C34" s="252" t="s">
        <v>224</v>
      </c>
      <c r="D34" s="253"/>
      <c r="E34" s="253"/>
      <c r="F34" s="253"/>
      <c r="G34" s="253"/>
    </row>
    <row r="35" customFormat="false" ht="12.8" hidden="false" customHeight="false" outlineLevel="0" collapsed="false">
      <c r="B35" s="252" t="s">
        <v>225</v>
      </c>
      <c r="C35" s="252" t="s">
        <v>226</v>
      </c>
      <c r="D35" s="253"/>
      <c r="E35" s="253"/>
      <c r="F35" s="253"/>
      <c r="G35" s="253"/>
    </row>
    <row r="36" customFormat="false" ht="12.8" hidden="false" customHeight="false" outlineLevel="0" collapsed="false">
      <c r="B36" s="252" t="s">
        <v>227</v>
      </c>
      <c r="C36" s="252" t="s">
        <v>228</v>
      </c>
      <c r="D36" s="253"/>
      <c r="E36" s="253"/>
      <c r="F36" s="253"/>
      <c r="G36" s="253"/>
    </row>
    <row r="37" customFormat="false" ht="12.8" hidden="false" customHeight="false" outlineLevel="0" collapsed="false">
      <c r="B37" s="252" t="s">
        <v>229</v>
      </c>
      <c r="C37" s="252" t="s">
        <v>230</v>
      </c>
      <c r="D37" s="253"/>
      <c r="E37" s="253"/>
      <c r="F37" s="253"/>
      <c r="G37" s="253"/>
    </row>
    <row r="38" customFormat="false" ht="13.8" hidden="false" customHeight="false" outlineLevel="0" collapsed="false">
      <c r="B38" s="254" t="s">
        <v>231</v>
      </c>
      <c r="C38" s="255" t="s">
        <v>197</v>
      </c>
      <c r="D38" s="256" t="n">
        <f aca="false">SUM(D33:D37)</f>
        <v>0</v>
      </c>
      <c r="E38" s="256" t="n">
        <f aca="false">SUM(E33:E37)</f>
        <v>0</v>
      </c>
      <c r="F38" s="256" t="n">
        <f aca="false">SUM(F33:F37)</f>
        <v>0</v>
      </c>
      <c r="G38" s="256" t="n">
        <f aca="false">SUM(G33:G37)</f>
        <v>0</v>
      </c>
    </row>
    <row r="39" customFormat="false" ht="15" hidden="false" customHeight="false" outlineLevel="0" collapsed="false">
      <c r="B39" s="248" t="s">
        <v>232</v>
      </c>
      <c r="C39" s="249"/>
      <c r="D39" s="250"/>
      <c r="E39" s="250"/>
      <c r="F39" s="250"/>
      <c r="G39" s="251"/>
    </row>
    <row r="40" customFormat="false" ht="12.8" hidden="false" customHeight="false" outlineLevel="0" collapsed="false">
      <c r="B40" s="261" t="s">
        <v>233</v>
      </c>
      <c r="C40" s="261" t="s">
        <v>234</v>
      </c>
      <c r="D40" s="253"/>
      <c r="E40" s="253"/>
      <c r="F40" s="253"/>
      <c r="G40" s="253"/>
    </row>
    <row r="41" customFormat="false" ht="40.25" hidden="false" customHeight="false" outlineLevel="0" collapsed="false">
      <c r="B41" s="262" t="s">
        <v>235</v>
      </c>
      <c r="C41" s="263" t="s">
        <v>236</v>
      </c>
      <c r="D41" s="264"/>
      <c r="E41" s="264"/>
      <c r="F41" s="264"/>
      <c r="G41" s="264"/>
    </row>
    <row r="42" customFormat="false" ht="13.8" hidden="false" customHeight="false" outlineLevel="0" collapsed="false">
      <c r="B42" s="258" t="s">
        <v>237</v>
      </c>
      <c r="C42" s="259" t="s">
        <v>197</v>
      </c>
      <c r="D42" s="260" t="n">
        <f aca="false">SUM(D40:D41)</f>
        <v>0</v>
      </c>
      <c r="E42" s="260" t="n">
        <f aca="false">SUM(E40:E41)</f>
        <v>0</v>
      </c>
      <c r="F42" s="260" t="n">
        <f aca="false">SUM(F40:F41)</f>
        <v>0</v>
      </c>
      <c r="G42" s="260" t="n">
        <f aca="false">SUM(G40:G41)</f>
        <v>0</v>
      </c>
    </row>
    <row r="43" customFormat="false" ht="15" hidden="false" customHeight="false" outlineLevel="0" collapsed="false">
      <c r="B43" s="265"/>
      <c r="C43" s="266" t="s">
        <v>238</v>
      </c>
      <c r="D43" s="267" t="n">
        <f aca="false">D19+D31+D38+D42</f>
        <v>0</v>
      </c>
      <c r="E43" s="267" t="n">
        <f aca="false">E19+E31+E38+E42</f>
        <v>0</v>
      </c>
      <c r="F43" s="267" t="n">
        <f aca="false">F19+F31+F38+F42</f>
        <v>0</v>
      </c>
      <c r="G43" s="267" t="n">
        <f aca="false">G19+G31+G38+G42</f>
        <v>0</v>
      </c>
    </row>
    <row r="44" customFormat="false" ht="12.8" hidden="false" customHeight="false" outlineLevel="0" collapsed="false">
      <c r="B44" s="268" t="s">
        <v>239</v>
      </c>
      <c r="C44" s="268"/>
      <c r="D44" s="268"/>
      <c r="E44" s="268"/>
      <c r="F44" s="268"/>
      <c r="G44" s="268"/>
    </row>
    <row r="46" customFormat="false" ht="12.8" hidden="false" customHeight="false" outlineLevel="0" collapsed="false">
      <c r="B46" s="253"/>
      <c r="C46" s="235" t="s">
        <v>240</v>
      </c>
    </row>
  </sheetData>
  <mergeCells count="9">
    <mergeCell ref="B2:G2"/>
    <mergeCell ref="B3:G3"/>
    <mergeCell ref="C4:G4"/>
    <mergeCell ref="B5:D5"/>
    <mergeCell ref="B6:B7"/>
    <mergeCell ref="C6:C7"/>
    <mergeCell ref="D6:E6"/>
    <mergeCell ref="F6:G6"/>
    <mergeCell ref="B44:G44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8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E8F2A1"/>
    <pageSetUpPr fitToPage="true"/>
  </sheetPr>
  <dimension ref="A1:R30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42" activeCellId="0" sqref="D42"/>
    </sheetView>
  </sheetViews>
  <sheetFormatPr defaultColWidth="11.55078125" defaultRowHeight="12.8" zeroHeight="false" outlineLevelRow="0" outlineLevelCol="0"/>
  <cols>
    <col collapsed="false" customWidth="true" hidden="false" outlineLevel="0" max="1" min="1" style="189" width="7.15"/>
    <col collapsed="false" customWidth="true" hidden="false" outlineLevel="0" max="2" min="2" style="189" width="20.14"/>
    <col collapsed="false" customWidth="true" hidden="false" outlineLevel="0" max="3" min="3" style="269" width="16.08"/>
    <col collapsed="false" customWidth="true" hidden="false" outlineLevel="0" max="4" min="4" style="189" width="62.01"/>
    <col collapsed="false" customWidth="true" hidden="false" outlineLevel="0" max="5" min="5" style="269" width="9.03"/>
    <col collapsed="false" customWidth="true" hidden="false" outlineLevel="0" max="6" min="6" style="270" width="8.89"/>
    <col collapsed="false" customWidth="true" hidden="false" outlineLevel="0" max="7" min="7" style="271" width="8.06"/>
    <col collapsed="false" customWidth="true" hidden="false" outlineLevel="0" max="8" min="8" style="271" width="7.8"/>
    <col collapsed="false" customWidth="true" hidden="true" outlineLevel="0" max="9" min="9" style="189" width="7.36"/>
    <col collapsed="false" customWidth="true" hidden="true" outlineLevel="0" max="10" min="10" style="272" width="8.04"/>
    <col collapsed="false" customWidth="true" hidden="true" outlineLevel="0" max="11" min="11" style="269" width="7.36"/>
    <col collapsed="false" customWidth="true" hidden="true" outlineLevel="0" max="12" min="12" style="189" width="1.66"/>
    <col collapsed="false" customWidth="true" hidden="true" outlineLevel="0" max="13" min="13" style="189" width="8.06"/>
    <col collapsed="false" customWidth="true" hidden="true" outlineLevel="0" max="14" min="14" style="189" width="7.8"/>
    <col collapsed="false" customWidth="true" hidden="true" outlineLevel="0" max="15" min="15" style="189" width="7.36"/>
    <col collapsed="false" customWidth="true" hidden="true" outlineLevel="0" max="16" min="16" style="189" width="8.04"/>
    <col collapsed="false" customWidth="true" hidden="true" outlineLevel="0" max="17" min="17" style="189" width="7.36"/>
    <col collapsed="false" customWidth="false" hidden="true" outlineLevel="0" max="18" min="18" style="189" width="11.54"/>
    <col collapsed="false" customWidth="false" hidden="false" outlineLevel="0" max="1023" min="19" style="189" width="11.54"/>
  </cols>
  <sheetData>
    <row r="1" customFormat="false" ht="13.8" hidden="false" customHeight="false" outlineLevel="0" collapsed="false">
      <c r="A1" s="273" t="s">
        <v>241</v>
      </c>
    </row>
    <row r="2" customFormat="false" ht="13.8" hidden="false" customHeight="false" outlineLevel="0" collapsed="false">
      <c r="A2" s="273" t="s">
        <v>242</v>
      </c>
    </row>
    <row r="6" customFormat="false" ht="15" hidden="false" customHeight="false" outlineLevel="0" collapsed="false">
      <c r="A6" s="89" t="n">
        <v>1</v>
      </c>
      <c r="B6" s="274" t="s">
        <v>29</v>
      </c>
      <c r="C6" s="89"/>
      <c r="D6" s="89"/>
      <c r="E6" s="90"/>
      <c r="F6" s="89"/>
      <c r="G6" s="89"/>
      <c r="H6" s="275"/>
      <c r="I6" s="89"/>
    </row>
    <row r="7" customFormat="false" ht="24.35" hidden="false" customHeight="false" outlineLevel="0" collapsed="false">
      <c r="A7" s="0"/>
      <c r="B7" s="276" t="s">
        <v>243</v>
      </c>
      <c r="C7" s="276" t="s">
        <v>244</v>
      </c>
      <c r="D7" s="277" t="s">
        <v>25</v>
      </c>
      <c r="E7" s="276" t="s">
        <v>9</v>
      </c>
      <c r="F7" s="278" t="s">
        <v>245</v>
      </c>
      <c r="G7" s="279" t="s">
        <v>246</v>
      </c>
      <c r="H7" s="279" t="s">
        <v>247</v>
      </c>
      <c r="I7" s="280" t="s">
        <v>248</v>
      </c>
      <c r="J7" s="280" t="s">
        <v>249</v>
      </c>
      <c r="K7" s="280" t="s">
        <v>250</v>
      </c>
      <c r="M7" s="279" t="s">
        <v>246</v>
      </c>
      <c r="N7" s="279" t="s">
        <v>247</v>
      </c>
      <c r="O7" s="280" t="s">
        <v>248</v>
      </c>
      <c r="P7" s="280" t="s">
        <v>249</v>
      </c>
      <c r="Q7" s="280" t="s">
        <v>250</v>
      </c>
    </row>
    <row r="8" customFormat="false" ht="24.35" hidden="false" customHeight="false" outlineLevel="0" collapsed="false">
      <c r="A8" s="94" t="s">
        <v>30</v>
      </c>
      <c r="B8" s="281" t="s">
        <v>251</v>
      </c>
      <c r="C8" s="282" t="s">
        <v>32</v>
      </c>
      <c r="D8" s="281" t="s">
        <v>252</v>
      </c>
      <c r="E8" s="282" t="s">
        <v>253</v>
      </c>
      <c r="F8" s="283"/>
      <c r="G8" s="284"/>
      <c r="H8" s="284" t="n">
        <f aca="false">SUM(H9:H10)</f>
        <v>266.89</v>
      </c>
      <c r="I8" s="272" t="n">
        <f aca="false">PL_ORC_ANALIT!H13</f>
        <v>2.52</v>
      </c>
      <c r="J8" s="272" t="n">
        <f aca="false">H8*I8</f>
        <v>672.5628</v>
      </c>
      <c r="N8" s="284" t="n">
        <f aca="false">SUM(N9:N10)</f>
        <v>242.05</v>
      </c>
      <c r="O8" s="272" t="n">
        <f aca="false">I8</f>
        <v>2.52</v>
      </c>
      <c r="P8" s="272" t="n">
        <f aca="false">N8*O8</f>
        <v>609.966</v>
      </c>
      <c r="Q8" s="269" t="n">
        <f aca="false">SUM(Q9:Q10)</f>
        <v>32.12748</v>
      </c>
    </row>
    <row r="9" customFormat="false" ht="12.8" hidden="false" customHeight="false" outlineLevel="0" collapsed="false">
      <c r="A9" s="189" t="s">
        <v>31</v>
      </c>
      <c r="B9" s="189" t="s">
        <v>254</v>
      </c>
      <c r="C9" s="269" t="n">
        <v>88309</v>
      </c>
      <c r="D9" s="189" t="s">
        <v>255</v>
      </c>
      <c r="E9" s="269" t="s">
        <v>250</v>
      </c>
      <c r="F9" s="270" t="n">
        <f aca="false">0.3541*5</f>
        <v>1.7705</v>
      </c>
      <c r="G9" s="271" t="n">
        <v>27.1</v>
      </c>
      <c r="H9" s="271" t="n">
        <f aca="false">TRUNC(F9*G9,2)</f>
        <v>47.98</v>
      </c>
      <c r="I9" s="272" t="n">
        <f aca="false">I8</f>
        <v>2.52</v>
      </c>
      <c r="K9" s="271" t="n">
        <f aca="false">F9*I9</f>
        <v>4.46166</v>
      </c>
      <c r="M9" s="189" t="n">
        <v>24.36</v>
      </c>
      <c r="N9" s="271" t="n">
        <f aca="false">TRUNC(F9*M9,2)</f>
        <v>43.12</v>
      </c>
      <c r="O9" s="272" t="n">
        <f aca="false">O8</f>
        <v>2.52</v>
      </c>
      <c r="Q9" s="271" t="n">
        <f aca="false">F9*O9</f>
        <v>4.46166</v>
      </c>
    </row>
    <row r="10" customFormat="false" ht="12.8" hidden="false" customHeight="false" outlineLevel="0" collapsed="false">
      <c r="A10" s="189" t="s">
        <v>31</v>
      </c>
      <c r="B10" s="189" t="s">
        <v>254</v>
      </c>
      <c r="C10" s="269" t="n">
        <v>88316</v>
      </c>
      <c r="D10" s="189" t="s">
        <v>256</v>
      </c>
      <c r="E10" s="269" t="s">
        <v>250</v>
      </c>
      <c r="F10" s="270" t="n">
        <f aca="false">2.1957*5</f>
        <v>10.9785</v>
      </c>
      <c r="G10" s="271" t="n">
        <v>19.94</v>
      </c>
      <c r="H10" s="271" t="n">
        <f aca="false">TRUNC(F10*G10,2)</f>
        <v>218.91</v>
      </c>
      <c r="I10" s="272" t="n">
        <f aca="false">I8</f>
        <v>2.52</v>
      </c>
      <c r="K10" s="271" t="n">
        <f aca="false">F10*I10</f>
        <v>27.66582</v>
      </c>
      <c r="M10" s="189" t="n">
        <v>18.12</v>
      </c>
      <c r="N10" s="271" t="n">
        <f aca="false">TRUNC(F10*M10,2)</f>
        <v>198.93</v>
      </c>
      <c r="O10" s="272" t="n">
        <f aca="false">O8</f>
        <v>2.52</v>
      </c>
      <c r="Q10" s="271" t="n">
        <f aca="false">F10*O10</f>
        <v>27.66582</v>
      </c>
    </row>
    <row r="14" customFormat="false" ht="24.35" hidden="false" customHeight="false" outlineLevel="0" collapsed="false">
      <c r="A14" s="0"/>
      <c r="B14" s="276" t="s">
        <v>243</v>
      </c>
      <c r="C14" s="276" t="s">
        <v>244</v>
      </c>
      <c r="D14" s="277" t="s">
        <v>25</v>
      </c>
      <c r="E14" s="276" t="s">
        <v>9</v>
      </c>
      <c r="F14" s="278" t="s">
        <v>245</v>
      </c>
      <c r="G14" s="279" t="s">
        <v>246</v>
      </c>
      <c r="H14" s="279" t="s">
        <v>247</v>
      </c>
      <c r="I14" s="280" t="s">
        <v>248</v>
      </c>
      <c r="J14" s="280" t="s">
        <v>249</v>
      </c>
      <c r="K14" s="280" t="s">
        <v>250</v>
      </c>
      <c r="M14" s="279" t="s">
        <v>246</v>
      </c>
      <c r="N14" s="279" t="s">
        <v>247</v>
      </c>
      <c r="O14" s="280" t="s">
        <v>248</v>
      </c>
      <c r="P14" s="280" t="s">
        <v>249</v>
      </c>
      <c r="Q14" s="280" t="s">
        <v>250</v>
      </c>
    </row>
    <row r="15" customFormat="false" ht="15" hidden="false" customHeight="false" outlineLevel="0" collapsed="false">
      <c r="A15" s="94" t="s">
        <v>34</v>
      </c>
      <c r="B15" s="285"/>
      <c r="C15" s="282" t="s">
        <v>35</v>
      </c>
      <c r="D15" s="281" t="s">
        <v>257</v>
      </c>
      <c r="E15" s="282" t="s">
        <v>253</v>
      </c>
      <c r="F15" s="283"/>
      <c r="G15" s="284"/>
      <c r="H15" s="284" t="n">
        <f aca="false">SUM(H16:H17)</f>
        <v>201.38</v>
      </c>
      <c r="I15" s="272" t="n">
        <f aca="false">PL_ORC_ANALIT!H14</f>
        <v>2.52</v>
      </c>
      <c r="J15" s="272" t="n">
        <f aca="false">H15*I15</f>
        <v>507.4776</v>
      </c>
      <c r="K15" s="269" t="n">
        <f aca="false">SUM(K16:K17)</f>
        <v>2.52</v>
      </c>
      <c r="N15" s="284" t="n">
        <f aca="false">SUM(N16:N17)</f>
        <v>199.56</v>
      </c>
      <c r="O15" s="272" t="n">
        <f aca="false">I15</f>
        <v>2.52</v>
      </c>
      <c r="P15" s="272" t="n">
        <f aca="false">N15*O15</f>
        <v>502.8912</v>
      </c>
      <c r="Q15" s="269" t="n">
        <f aca="false">SUM(Q16:Q17)</f>
        <v>2.52</v>
      </c>
    </row>
    <row r="16" customFormat="false" ht="13.1" hidden="false" customHeight="false" outlineLevel="0" collapsed="false">
      <c r="A16" s="189" t="s">
        <v>31</v>
      </c>
      <c r="C16" s="269" t="n">
        <v>88316</v>
      </c>
      <c r="D16" s="286" t="s">
        <v>256</v>
      </c>
      <c r="E16" s="269" t="s">
        <v>250</v>
      </c>
      <c r="F16" s="270" t="n">
        <v>1</v>
      </c>
      <c r="G16" s="271" t="n">
        <v>19.94</v>
      </c>
      <c r="H16" s="271" t="n">
        <f aca="false">TRUNC(F16*G16,2)</f>
        <v>19.94</v>
      </c>
      <c r="I16" s="272" t="n">
        <f aca="false">I15</f>
        <v>2.52</v>
      </c>
      <c r="K16" s="271" t="n">
        <f aca="false">F16*I16</f>
        <v>2.52</v>
      </c>
      <c r="M16" s="189" t="n">
        <v>18.12</v>
      </c>
      <c r="N16" s="271" t="n">
        <f aca="false">TRUNC(F16*M16,2)</f>
        <v>18.12</v>
      </c>
      <c r="O16" s="272" t="n">
        <f aca="false">O15</f>
        <v>2.52</v>
      </c>
      <c r="Q16" s="271" t="n">
        <f aca="false">F16*O16</f>
        <v>2.52</v>
      </c>
    </row>
    <row r="17" customFormat="false" ht="24.35" hidden="false" customHeight="false" outlineLevel="0" collapsed="false">
      <c r="C17" s="269" t="n">
        <v>37526</v>
      </c>
      <c r="D17" s="286" t="s">
        <v>258</v>
      </c>
      <c r="E17" s="269" t="s">
        <v>259</v>
      </c>
      <c r="F17" s="270" t="n">
        <f aca="false">ROUNDUP(PL_ORC_ANALIT!H13/(0.6*0.9*0.15*0.5),0)</f>
        <v>63</v>
      </c>
      <c r="G17" s="271" t="n">
        <v>2.88</v>
      </c>
      <c r="H17" s="271" t="n">
        <f aca="false">TRUNC(F17*G17,2)</f>
        <v>181.44</v>
      </c>
      <c r="I17" s="272"/>
      <c r="M17" s="271" t="n">
        <v>2.88</v>
      </c>
      <c r="N17" s="271" t="n">
        <f aca="false">TRUNC(F17*M17,2)</f>
        <v>181.44</v>
      </c>
      <c r="O17" s="272" t="n">
        <f aca="false">O16</f>
        <v>2.52</v>
      </c>
    </row>
    <row r="18" customFormat="false" ht="13.1" hidden="false" customHeight="true" outlineLevel="0" collapsed="false">
      <c r="B18" s="287" t="s">
        <v>260</v>
      </c>
      <c r="C18" s="287"/>
      <c r="D18" s="287"/>
      <c r="E18" s="287"/>
      <c r="F18" s="287"/>
      <c r="G18" s="287"/>
      <c r="H18" s="287"/>
      <c r="I18" s="287"/>
      <c r="J18" s="287"/>
      <c r="K18" s="287"/>
    </row>
    <row r="22" customFormat="false" ht="24.35" hidden="false" customHeight="false" outlineLevel="0" collapsed="false">
      <c r="A22" s="0"/>
      <c r="B22" s="276" t="s">
        <v>243</v>
      </c>
      <c r="C22" s="276" t="s">
        <v>244</v>
      </c>
      <c r="D22" s="277" t="s">
        <v>25</v>
      </c>
      <c r="E22" s="276" t="s">
        <v>9</v>
      </c>
      <c r="F22" s="278" t="s">
        <v>245</v>
      </c>
      <c r="G22" s="279" t="s">
        <v>246</v>
      </c>
      <c r="H22" s="279" t="s">
        <v>247</v>
      </c>
      <c r="I22" s="280" t="s">
        <v>248</v>
      </c>
      <c r="J22" s="280" t="s">
        <v>249</v>
      </c>
      <c r="K22" s="280" t="s">
        <v>250</v>
      </c>
      <c r="M22" s="279" t="s">
        <v>246</v>
      </c>
      <c r="N22" s="279" t="s">
        <v>247</v>
      </c>
      <c r="O22" s="280" t="s">
        <v>248</v>
      </c>
      <c r="P22" s="280" t="s">
        <v>249</v>
      </c>
      <c r="Q22" s="280" t="s">
        <v>250</v>
      </c>
    </row>
    <row r="23" customFormat="false" ht="15" hidden="false" customHeight="false" outlineLevel="0" collapsed="false">
      <c r="A23" s="94" t="s">
        <v>37</v>
      </c>
      <c r="B23" s="288"/>
      <c r="C23" s="289" t="s">
        <v>38</v>
      </c>
      <c r="D23" s="290" t="s">
        <v>39</v>
      </c>
      <c r="E23" s="289" t="s">
        <v>261</v>
      </c>
      <c r="F23" s="291"/>
      <c r="G23" s="292"/>
      <c r="H23" s="292" t="n">
        <f aca="false">H24+H28+H32</f>
        <v>13.2</v>
      </c>
      <c r="I23" s="272" t="n">
        <f aca="false">PL_ORC_ANALIT!H15</f>
        <v>9</v>
      </c>
      <c r="K23" s="269" t="n">
        <f aca="false">SUM(K24:K35)</f>
        <v>4.98285</v>
      </c>
      <c r="N23" s="292" t="n">
        <f aca="false">N24+N28+N32</f>
        <v>11.87</v>
      </c>
      <c r="O23" s="272" t="n">
        <f aca="false">I23</f>
        <v>9</v>
      </c>
      <c r="P23" s="272"/>
      <c r="Q23" s="269" t="n">
        <f aca="false">SUM(Q24:Q35)</f>
        <v>7.474275</v>
      </c>
    </row>
    <row r="24" customFormat="false" ht="35.6" hidden="false" customHeight="false" outlineLevel="0" collapsed="false">
      <c r="A24" s="94"/>
      <c r="B24" s="285" t="s">
        <v>262</v>
      </c>
      <c r="C24" s="282" t="n">
        <v>92335</v>
      </c>
      <c r="D24" s="281" t="s">
        <v>263</v>
      </c>
      <c r="E24" s="282" t="s">
        <v>261</v>
      </c>
      <c r="F24" s="283" t="n">
        <v>0.25</v>
      </c>
      <c r="G24" s="284"/>
      <c r="H24" s="284" t="n">
        <f aca="false">SUM(H25:H27)</f>
        <v>3.16</v>
      </c>
      <c r="I24" s="272" t="n">
        <f aca="false">I23</f>
        <v>9</v>
      </c>
      <c r="J24" s="272" t="n">
        <f aca="false">H24*I24</f>
        <v>28.44</v>
      </c>
      <c r="N24" s="284" t="n">
        <f aca="false">SUM(N25:N27)</f>
        <v>2.84</v>
      </c>
      <c r="O24" s="272" t="n">
        <f aca="false">I24</f>
        <v>9</v>
      </c>
      <c r="P24" s="272" t="n">
        <f aca="false">N24*O24</f>
        <v>25.56</v>
      </c>
      <c r="Q24" s="269" t="n">
        <f aca="false">SUM(Q25:Q26)</f>
        <v>0.596925</v>
      </c>
    </row>
    <row r="25" customFormat="false" ht="12.8" hidden="false" customHeight="false" outlineLevel="0" collapsed="false">
      <c r="B25" s="189" t="s">
        <v>264</v>
      </c>
      <c r="C25" s="269" t="n">
        <v>7696</v>
      </c>
      <c r="D25" s="189" t="s">
        <v>265</v>
      </c>
      <c r="E25" s="269" t="s">
        <v>261</v>
      </c>
      <c r="F25" s="270" t="n">
        <f aca="false">1.0391*F24</f>
        <v>0.259775</v>
      </c>
      <c r="H25" s="271" t="n">
        <f aca="false">TRUNC(F25*G25,2)</f>
        <v>0</v>
      </c>
      <c r="I25" s="272" t="n">
        <f aca="false">I24</f>
        <v>9</v>
      </c>
      <c r="K25" s="271"/>
      <c r="N25" s="271" t="n">
        <f aca="false">TRUNC(F25*M25,2)</f>
        <v>0</v>
      </c>
      <c r="O25" s="272" t="n">
        <f aca="false">O24</f>
        <v>9</v>
      </c>
      <c r="Q25" s="271"/>
    </row>
    <row r="26" customFormat="false" ht="12.8" hidden="false" customHeight="false" outlineLevel="0" collapsed="false">
      <c r="B26" s="189" t="s">
        <v>254</v>
      </c>
      <c r="C26" s="269" t="n">
        <v>88248</v>
      </c>
      <c r="D26" s="189" t="s">
        <v>266</v>
      </c>
      <c r="E26" s="269" t="s">
        <v>250</v>
      </c>
      <c r="F26" s="270" t="n">
        <f aca="false">0.2653*F24</f>
        <v>0.066325</v>
      </c>
      <c r="G26" s="271" t="n">
        <v>21.45</v>
      </c>
      <c r="H26" s="271" t="n">
        <f aca="false">TRUNC(F26*G26,2)</f>
        <v>1.42</v>
      </c>
      <c r="I26" s="272" t="n">
        <f aca="false">I24</f>
        <v>9</v>
      </c>
      <c r="K26" s="271" t="n">
        <f aca="false">F26*I26</f>
        <v>0.596925</v>
      </c>
      <c r="M26" s="189" t="n">
        <v>19.36</v>
      </c>
      <c r="N26" s="271" t="n">
        <f aca="false">TRUNC(F26*M26,2)</f>
        <v>1.28</v>
      </c>
      <c r="O26" s="272" t="n">
        <f aca="false">O25</f>
        <v>9</v>
      </c>
      <c r="Q26" s="271" t="n">
        <f aca="false">F26*O26</f>
        <v>0.596925</v>
      </c>
    </row>
    <row r="27" customFormat="false" ht="12.8" hidden="false" customHeight="false" outlineLevel="0" collapsed="false">
      <c r="B27" s="189" t="s">
        <v>254</v>
      </c>
      <c r="C27" s="269" t="n">
        <v>88267</v>
      </c>
      <c r="D27" s="189" t="s">
        <v>267</v>
      </c>
      <c r="E27" s="269" t="s">
        <v>250</v>
      </c>
      <c r="F27" s="270" t="n">
        <f aca="false">0.2653*F24</f>
        <v>0.066325</v>
      </c>
      <c r="G27" s="271" t="n">
        <v>26.33</v>
      </c>
      <c r="H27" s="271" t="n">
        <f aca="false">TRUNC(F27*G27,2)</f>
        <v>1.74</v>
      </c>
      <c r="I27" s="272" t="n">
        <f aca="false">I25</f>
        <v>9</v>
      </c>
      <c r="K27" s="271" t="n">
        <f aca="false">F27*I27</f>
        <v>0.596925</v>
      </c>
      <c r="M27" s="189" t="n">
        <v>23.61</v>
      </c>
      <c r="N27" s="271" t="n">
        <f aca="false">TRUNC(F27*M27,2)</f>
        <v>1.56</v>
      </c>
      <c r="O27" s="272" t="n">
        <f aca="false">O26</f>
        <v>9</v>
      </c>
      <c r="Q27" s="271" t="n">
        <f aca="false">F27*O27</f>
        <v>0.596925</v>
      </c>
    </row>
    <row r="28" customFormat="false" ht="46.85" hidden="false" customHeight="false" outlineLevel="0" collapsed="false">
      <c r="A28" s="94"/>
      <c r="B28" s="285" t="s">
        <v>268</v>
      </c>
      <c r="C28" s="282" t="n">
        <v>92652</v>
      </c>
      <c r="D28" s="281" t="s">
        <v>269</v>
      </c>
      <c r="E28" s="282" t="s">
        <v>261</v>
      </c>
      <c r="F28" s="283" t="n">
        <v>0.5</v>
      </c>
      <c r="G28" s="284"/>
      <c r="H28" s="284" t="n">
        <f aca="false">SUM(H29:H31)</f>
        <v>6.56</v>
      </c>
      <c r="I28" s="272" t="n">
        <f aca="false">I23</f>
        <v>9</v>
      </c>
      <c r="J28" s="272" t="n">
        <f aca="false">H28*I28</f>
        <v>59.04</v>
      </c>
      <c r="N28" s="284" t="n">
        <f aca="false">SUM(N29:N31)</f>
        <v>5.9</v>
      </c>
      <c r="O28" s="272" t="n">
        <f aca="false">I28</f>
        <v>9</v>
      </c>
      <c r="P28" s="272" t="n">
        <f aca="false">N28*O28</f>
        <v>53.1</v>
      </c>
      <c r="Q28" s="269" t="n">
        <f aca="false">SUM(Q29:Q30)</f>
        <v>1.2375</v>
      </c>
    </row>
    <row r="29" customFormat="false" ht="12.8" hidden="false" customHeight="false" outlineLevel="0" collapsed="false">
      <c r="B29" s="189" t="s">
        <v>264</v>
      </c>
      <c r="C29" s="269" t="n">
        <v>7698</v>
      </c>
      <c r="D29" s="189" t="s">
        <v>270</v>
      </c>
      <c r="E29" s="269" t="s">
        <v>261</v>
      </c>
      <c r="F29" s="270" t="n">
        <f aca="false">1.039*F28</f>
        <v>0.5195</v>
      </c>
      <c r="H29" s="271" t="n">
        <f aca="false">TRUNC(F29*G29,2)</f>
        <v>0</v>
      </c>
      <c r="I29" s="272" t="n">
        <f aca="false">I28</f>
        <v>9</v>
      </c>
      <c r="K29" s="271"/>
      <c r="N29" s="271" t="n">
        <f aca="false">TRUNC(F29*M29,2)</f>
        <v>0</v>
      </c>
      <c r="O29" s="272" t="n">
        <f aca="false">O28</f>
        <v>9</v>
      </c>
      <c r="Q29" s="271"/>
    </row>
    <row r="30" customFormat="false" ht="12.8" hidden="false" customHeight="false" outlineLevel="0" collapsed="false">
      <c r="B30" s="189" t="s">
        <v>254</v>
      </c>
      <c r="C30" s="269" t="n">
        <v>88248</v>
      </c>
      <c r="D30" s="189" t="s">
        <v>266</v>
      </c>
      <c r="E30" s="269" t="s">
        <v>250</v>
      </c>
      <c r="F30" s="270" t="n">
        <f aca="false">0.275*F28</f>
        <v>0.1375</v>
      </c>
      <c r="G30" s="271" t="n">
        <v>21.45</v>
      </c>
      <c r="H30" s="271" t="n">
        <f aca="false">TRUNC(F30*G30,2)</f>
        <v>2.94</v>
      </c>
      <c r="I30" s="272" t="n">
        <f aca="false">I28</f>
        <v>9</v>
      </c>
      <c r="K30" s="271" t="n">
        <f aca="false">F30*I30</f>
        <v>1.2375</v>
      </c>
      <c r="M30" s="189" t="n">
        <v>19.36</v>
      </c>
      <c r="N30" s="271" t="n">
        <f aca="false">TRUNC(F30*M30,2)</f>
        <v>2.66</v>
      </c>
      <c r="O30" s="272" t="n">
        <f aca="false">O29</f>
        <v>9</v>
      </c>
      <c r="Q30" s="271" t="n">
        <f aca="false">F30*O30</f>
        <v>1.2375</v>
      </c>
    </row>
    <row r="31" customFormat="false" ht="12.8" hidden="false" customHeight="false" outlineLevel="0" collapsed="false">
      <c r="B31" s="189" t="s">
        <v>254</v>
      </c>
      <c r="C31" s="269" t="n">
        <v>88267</v>
      </c>
      <c r="D31" s="189" t="s">
        <v>267</v>
      </c>
      <c r="E31" s="269" t="s">
        <v>250</v>
      </c>
      <c r="F31" s="270" t="n">
        <f aca="false">0.275*F28</f>
        <v>0.1375</v>
      </c>
      <c r="G31" s="271" t="n">
        <v>26.33</v>
      </c>
      <c r="H31" s="271" t="n">
        <f aca="false">TRUNC(F31*G31,2)</f>
        <v>3.62</v>
      </c>
      <c r="I31" s="272" t="n">
        <f aca="false">I29</f>
        <v>9</v>
      </c>
      <c r="K31" s="271" t="n">
        <f aca="false">F31*I31</f>
        <v>1.2375</v>
      </c>
      <c r="M31" s="189" t="n">
        <v>23.61</v>
      </c>
      <c r="N31" s="271" t="n">
        <f aca="false">TRUNC(F31*M31,2)</f>
        <v>3.24</v>
      </c>
      <c r="O31" s="272" t="n">
        <f aca="false">O30</f>
        <v>9</v>
      </c>
      <c r="Q31" s="271" t="n">
        <f aca="false">F31*O31</f>
        <v>1.2375</v>
      </c>
    </row>
    <row r="32" customFormat="false" ht="46.85" hidden="false" customHeight="false" outlineLevel="0" collapsed="false">
      <c r="A32" s="94"/>
      <c r="B32" s="285" t="s">
        <v>271</v>
      </c>
      <c r="C32" s="282" t="n">
        <v>92653</v>
      </c>
      <c r="D32" s="281" t="s">
        <v>272</v>
      </c>
      <c r="E32" s="282" t="s">
        <v>261</v>
      </c>
      <c r="F32" s="283" t="n">
        <v>0.25</v>
      </c>
      <c r="G32" s="284"/>
      <c r="H32" s="284" t="n">
        <f aca="false">SUM(H33:H35)</f>
        <v>3.48</v>
      </c>
      <c r="I32" s="272" t="n">
        <f aca="false">I23</f>
        <v>9</v>
      </c>
      <c r="J32" s="272" t="n">
        <f aca="false">H32*I32</f>
        <v>31.32</v>
      </c>
      <c r="N32" s="284" t="n">
        <f aca="false">SUM(N33:N35)</f>
        <v>3.13</v>
      </c>
      <c r="O32" s="272" t="n">
        <f aca="false">I32</f>
        <v>9</v>
      </c>
      <c r="P32" s="272" t="n">
        <f aca="false">N32*O32</f>
        <v>28.17</v>
      </c>
      <c r="Q32" s="269" t="n">
        <f aca="false">SUM(Q33:Q34)</f>
        <v>0.657</v>
      </c>
    </row>
    <row r="33" customFormat="false" ht="12.8" hidden="false" customHeight="false" outlineLevel="0" collapsed="false">
      <c r="B33" s="189" t="s">
        <v>264</v>
      </c>
      <c r="C33" s="269" t="n">
        <v>7697</v>
      </c>
      <c r="D33" s="189" t="s">
        <v>273</v>
      </c>
      <c r="E33" s="269" t="s">
        <v>261</v>
      </c>
      <c r="F33" s="270" t="n">
        <f aca="false">1.039*F32</f>
        <v>0.25975</v>
      </c>
      <c r="H33" s="271" t="n">
        <f aca="false">TRUNC(F33*G33,2)</f>
        <v>0</v>
      </c>
      <c r="I33" s="272" t="n">
        <f aca="false">I32</f>
        <v>9</v>
      </c>
      <c r="K33" s="271"/>
      <c r="N33" s="271" t="n">
        <f aca="false">TRUNC(F33*M33,2)</f>
        <v>0</v>
      </c>
      <c r="O33" s="272" t="n">
        <f aca="false">O32</f>
        <v>9</v>
      </c>
      <c r="Q33" s="271"/>
    </row>
    <row r="34" customFormat="false" ht="12.8" hidden="false" customHeight="false" outlineLevel="0" collapsed="false">
      <c r="B34" s="189" t="s">
        <v>254</v>
      </c>
      <c r="C34" s="269" t="n">
        <v>88248</v>
      </c>
      <c r="D34" s="189" t="s">
        <v>266</v>
      </c>
      <c r="E34" s="269" t="s">
        <v>250</v>
      </c>
      <c r="F34" s="270" t="n">
        <f aca="false">0.292*F32</f>
        <v>0.073</v>
      </c>
      <c r="G34" s="271" t="n">
        <v>21.45</v>
      </c>
      <c r="H34" s="271" t="n">
        <f aca="false">TRUNC(F34*G34,2)</f>
        <v>1.56</v>
      </c>
      <c r="I34" s="272" t="n">
        <f aca="false">I32</f>
        <v>9</v>
      </c>
      <c r="K34" s="271" t="n">
        <f aca="false">F34*I34</f>
        <v>0.657</v>
      </c>
      <c r="M34" s="189" t="n">
        <v>19.36</v>
      </c>
      <c r="N34" s="271" t="n">
        <f aca="false">TRUNC(F34*M34,2)</f>
        <v>1.41</v>
      </c>
      <c r="O34" s="272" t="n">
        <f aca="false">O33</f>
        <v>9</v>
      </c>
      <c r="Q34" s="271" t="n">
        <f aca="false">F34*O34</f>
        <v>0.657</v>
      </c>
    </row>
    <row r="35" customFormat="false" ht="12.8" hidden="false" customHeight="false" outlineLevel="0" collapsed="false">
      <c r="B35" s="189" t="s">
        <v>254</v>
      </c>
      <c r="C35" s="269" t="n">
        <v>88267</v>
      </c>
      <c r="D35" s="189" t="s">
        <v>267</v>
      </c>
      <c r="E35" s="269" t="s">
        <v>250</v>
      </c>
      <c r="F35" s="270" t="n">
        <f aca="false">0.292*F32</f>
        <v>0.073</v>
      </c>
      <c r="G35" s="271" t="n">
        <v>26.33</v>
      </c>
      <c r="H35" s="271" t="n">
        <f aca="false">TRUNC(F35*G35,2)</f>
        <v>1.92</v>
      </c>
      <c r="I35" s="272" t="n">
        <f aca="false">I33</f>
        <v>9</v>
      </c>
      <c r="K35" s="271" t="n">
        <f aca="false">F35*I35</f>
        <v>0.657</v>
      </c>
      <c r="M35" s="189" t="n">
        <v>23.61</v>
      </c>
      <c r="N35" s="271" t="n">
        <f aca="false">TRUNC(F35*M35,2)</f>
        <v>1.72</v>
      </c>
      <c r="O35" s="272" t="n">
        <f aca="false">O34</f>
        <v>9</v>
      </c>
      <c r="Q35" s="271" t="n">
        <f aca="false">F35*O35</f>
        <v>0.657</v>
      </c>
    </row>
    <row r="39" customFormat="false" ht="24.35" hidden="false" customHeight="false" outlineLevel="0" collapsed="false">
      <c r="A39" s="0"/>
      <c r="B39" s="276" t="s">
        <v>243</v>
      </c>
      <c r="C39" s="276" t="s">
        <v>244</v>
      </c>
      <c r="D39" s="277" t="s">
        <v>25</v>
      </c>
      <c r="E39" s="276" t="s">
        <v>9</v>
      </c>
      <c r="F39" s="278" t="s">
        <v>245</v>
      </c>
      <c r="G39" s="279" t="s">
        <v>246</v>
      </c>
      <c r="H39" s="279" t="s">
        <v>247</v>
      </c>
      <c r="I39" s="280" t="s">
        <v>248</v>
      </c>
      <c r="J39" s="280" t="s">
        <v>249</v>
      </c>
      <c r="K39" s="280" t="s">
        <v>250</v>
      </c>
      <c r="M39" s="279" t="s">
        <v>246</v>
      </c>
      <c r="N39" s="279" t="s">
        <v>247</v>
      </c>
      <c r="O39" s="280" t="s">
        <v>248</v>
      </c>
      <c r="P39" s="280" t="s">
        <v>249</v>
      </c>
      <c r="Q39" s="280" t="s">
        <v>250</v>
      </c>
    </row>
    <row r="40" customFormat="false" ht="35.6" hidden="false" customHeight="false" outlineLevel="0" collapsed="false">
      <c r="A40" s="94" t="s">
        <v>40</v>
      </c>
      <c r="B40" s="285" t="s">
        <v>274</v>
      </c>
      <c r="C40" s="282" t="n">
        <v>94793</v>
      </c>
      <c r="D40" s="281" t="s">
        <v>275</v>
      </c>
      <c r="E40" s="282" t="s">
        <v>259</v>
      </c>
      <c r="F40" s="283"/>
      <c r="G40" s="284"/>
      <c r="H40" s="284" t="n">
        <f aca="false">SUM(H41:H44)</f>
        <v>213.1</v>
      </c>
      <c r="I40" s="272" t="n">
        <f aca="false">PL_ORC_ANALIT!H16</f>
        <v>1</v>
      </c>
      <c r="J40" s="272" t="n">
        <f aca="false">H40*I40</f>
        <v>213.1</v>
      </c>
      <c r="K40" s="269" t="n">
        <f aca="false">SUM(K41:K44)</f>
        <v>0.6262</v>
      </c>
      <c r="N40" s="284" t="n">
        <f aca="false">SUM(N41:N44)</f>
        <v>211.6</v>
      </c>
      <c r="O40" s="272" t="n">
        <f aca="false">I40</f>
        <v>1</v>
      </c>
      <c r="P40" s="272" t="n">
        <f aca="false">N40*O40</f>
        <v>211.6</v>
      </c>
      <c r="Q40" s="269" t="n">
        <f aca="false">SUM(Q41:Q44)</f>
        <v>0.6262</v>
      </c>
    </row>
    <row r="41" customFormat="false" ht="12.8" hidden="false" customHeight="false" outlineLevel="0" collapsed="false">
      <c r="B41" s="189" t="s">
        <v>264</v>
      </c>
      <c r="C41" s="269" t="n">
        <v>3148</v>
      </c>
      <c r="D41" s="189" t="s">
        <v>276</v>
      </c>
      <c r="E41" s="269" t="s">
        <v>259</v>
      </c>
      <c r="F41" s="270" t="n">
        <v>0.0168</v>
      </c>
      <c r="G41" s="271" t="n">
        <v>12.76</v>
      </c>
      <c r="H41" s="271" t="n">
        <f aca="false">TRUNC(F41*G41,2)</f>
        <v>0.21</v>
      </c>
      <c r="I41" s="272" t="n">
        <f aca="false">I40</f>
        <v>1</v>
      </c>
      <c r="K41" s="271"/>
      <c r="M41" s="271" t="n">
        <v>12.76</v>
      </c>
      <c r="N41" s="271" t="n">
        <f aca="false">TRUNC(F41*M41,2)</f>
        <v>0.21</v>
      </c>
      <c r="O41" s="272" t="n">
        <f aca="false">O40</f>
        <v>1</v>
      </c>
      <c r="Q41" s="271"/>
    </row>
    <row r="42" customFormat="false" ht="24.35" hidden="false" customHeight="false" outlineLevel="0" collapsed="false">
      <c r="B42" s="189" t="s">
        <v>264</v>
      </c>
      <c r="C42" s="269" t="n">
        <v>6014</v>
      </c>
      <c r="D42" s="286" t="s">
        <v>277</v>
      </c>
      <c r="E42" s="269" t="s">
        <v>259</v>
      </c>
      <c r="F42" s="270" t="n">
        <v>1</v>
      </c>
      <c r="G42" s="271" t="n">
        <v>197.94</v>
      </c>
      <c r="H42" s="271" t="n">
        <f aca="false">TRUNC(F42*G42,2)</f>
        <v>197.94</v>
      </c>
      <c r="I42" s="272" t="n">
        <f aca="false">I40</f>
        <v>1</v>
      </c>
      <c r="K42" s="271"/>
      <c r="M42" s="271" t="n">
        <v>197.94</v>
      </c>
      <c r="N42" s="271" t="n">
        <f aca="false">TRUNC(F42*M42,2)</f>
        <v>197.94</v>
      </c>
      <c r="O42" s="272" t="n">
        <f aca="false">O41</f>
        <v>1</v>
      </c>
      <c r="Q42" s="271"/>
    </row>
    <row r="43" customFormat="false" ht="24.35" hidden="false" customHeight="false" outlineLevel="0" collapsed="false">
      <c r="B43" s="189" t="s">
        <v>254</v>
      </c>
      <c r="C43" s="269" t="n">
        <v>88248</v>
      </c>
      <c r="D43" s="286" t="s">
        <v>266</v>
      </c>
      <c r="E43" s="269" t="s">
        <v>250</v>
      </c>
      <c r="F43" s="270" t="n">
        <v>0.3131</v>
      </c>
      <c r="G43" s="271" t="n">
        <v>21.45</v>
      </c>
      <c r="H43" s="271" t="n">
        <f aca="false">TRUNC(F43*G43,2)</f>
        <v>6.71</v>
      </c>
      <c r="I43" s="272" t="n">
        <f aca="false">I41</f>
        <v>1</v>
      </c>
      <c r="K43" s="271" t="n">
        <f aca="false">F43*I43</f>
        <v>0.3131</v>
      </c>
      <c r="M43" s="189" t="n">
        <v>19.36</v>
      </c>
      <c r="N43" s="271" t="n">
        <f aca="false">TRUNC(F43*M43,2)</f>
        <v>6.06</v>
      </c>
      <c r="O43" s="272" t="n">
        <f aca="false">O42</f>
        <v>1</v>
      </c>
      <c r="Q43" s="271" t="n">
        <f aca="false">F43*O43</f>
        <v>0.3131</v>
      </c>
    </row>
    <row r="44" customFormat="false" ht="24.35" hidden="false" customHeight="false" outlineLevel="0" collapsed="false">
      <c r="B44" s="189" t="s">
        <v>254</v>
      </c>
      <c r="C44" s="269" t="n">
        <v>88267</v>
      </c>
      <c r="D44" s="286" t="s">
        <v>267</v>
      </c>
      <c r="E44" s="269" t="s">
        <v>250</v>
      </c>
      <c r="F44" s="270" t="n">
        <v>0.3131</v>
      </c>
      <c r="G44" s="271" t="n">
        <v>26.33</v>
      </c>
      <c r="H44" s="271" t="n">
        <f aca="false">TRUNC(F44*G44,2)</f>
        <v>8.24</v>
      </c>
      <c r="I44" s="272" t="n">
        <f aca="false">I42</f>
        <v>1</v>
      </c>
      <c r="K44" s="271" t="n">
        <f aca="false">F44*I44</f>
        <v>0.3131</v>
      </c>
      <c r="M44" s="189" t="n">
        <v>23.61</v>
      </c>
      <c r="N44" s="271" t="n">
        <f aca="false">TRUNC(F44*M44,2)</f>
        <v>7.39</v>
      </c>
      <c r="O44" s="272" t="n">
        <f aca="false">O43</f>
        <v>1</v>
      </c>
      <c r="Q44" s="271" t="n">
        <f aca="false">F44*O44</f>
        <v>0.3131</v>
      </c>
    </row>
    <row r="49" customFormat="false" ht="24.35" hidden="false" customHeight="false" outlineLevel="0" collapsed="false">
      <c r="A49" s="0"/>
      <c r="B49" s="276" t="s">
        <v>243</v>
      </c>
      <c r="C49" s="276" t="s">
        <v>244</v>
      </c>
      <c r="D49" s="277" t="s">
        <v>25</v>
      </c>
      <c r="E49" s="276" t="s">
        <v>9</v>
      </c>
      <c r="F49" s="278" t="s">
        <v>245</v>
      </c>
      <c r="G49" s="279" t="s">
        <v>246</v>
      </c>
      <c r="H49" s="279" t="s">
        <v>247</v>
      </c>
      <c r="I49" s="280" t="s">
        <v>248</v>
      </c>
      <c r="J49" s="280" t="s">
        <v>249</v>
      </c>
      <c r="K49" s="280" t="s">
        <v>250</v>
      </c>
      <c r="M49" s="279" t="s">
        <v>246</v>
      </c>
      <c r="N49" s="279" t="s">
        <v>247</v>
      </c>
      <c r="O49" s="280" t="s">
        <v>248</v>
      </c>
      <c r="P49" s="280" t="s">
        <v>249</v>
      </c>
      <c r="Q49" s="280" t="s">
        <v>250</v>
      </c>
    </row>
    <row r="50" customFormat="false" ht="15" hidden="false" customHeight="false" outlineLevel="0" collapsed="false">
      <c r="A50" s="94" t="s">
        <v>43</v>
      </c>
      <c r="B50" s="288"/>
      <c r="C50" s="289" t="s">
        <v>44</v>
      </c>
      <c r="D50" s="290" t="s">
        <v>45</v>
      </c>
      <c r="E50" s="289" t="s">
        <v>261</v>
      </c>
      <c r="F50" s="291"/>
      <c r="G50" s="292"/>
      <c r="H50" s="292" t="n">
        <f aca="false">H51+H56+H63</f>
        <v>177.55</v>
      </c>
      <c r="I50" s="272" t="n">
        <f aca="false">PL_ORC_ANALIT!H17</f>
        <v>9</v>
      </c>
      <c r="J50" s="272" t="n">
        <f aca="false">J51+J56+J63</f>
        <v>1597.95</v>
      </c>
      <c r="N50" s="292" t="n">
        <f aca="false">N51+N56+N63</f>
        <v>175.61</v>
      </c>
      <c r="O50" s="272" t="n">
        <f aca="false">I50</f>
        <v>9</v>
      </c>
      <c r="P50" s="272" t="n">
        <f aca="false">P51+P56+P63</f>
        <v>1580.49</v>
      </c>
      <c r="Q50" s="269" t="n">
        <f aca="false">SUM(Q51:Q69)</f>
        <v>7.2118</v>
      </c>
    </row>
    <row r="51" customFormat="false" ht="24.35" hidden="false" customHeight="false" outlineLevel="0" collapsed="false">
      <c r="B51" s="285" t="s">
        <v>278</v>
      </c>
      <c r="C51" s="282" t="n">
        <v>89451</v>
      </c>
      <c r="D51" s="281" t="s">
        <v>279</v>
      </c>
      <c r="E51" s="282" t="s">
        <v>261</v>
      </c>
      <c r="F51" s="283"/>
      <c r="G51" s="284"/>
      <c r="H51" s="284" t="n">
        <f aca="false">SUM(H52:H55)</f>
        <v>78.22</v>
      </c>
      <c r="I51" s="272" t="n">
        <f aca="false">PL_ORC_ANALIT!H17</f>
        <v>9</v>
      </c>
      <c r="J51" s="272" t="n">
        <f aca="false">H51*I51</f>
        <v>703.98</v>
      </c>
      <c r="N51" s="284" t="n">
        <f aca="false">SUM(N52:N55)</f>
        <v>77.5</v>
      </c>
      <c r="O51" s="272" t="n">
        <f aca="false">I51</f>
        <v>9</v>
      </c>
      <c r="P51" s="272" t="n">
        <f aca="false">N51*O51</f>
        <v>697.5</v>
      </c>
    </row>
    <row r="52" customFormat="false" ht="13.1" hidden="false" customHeight="false" outlineLevel="0" collapsed="false">
      <c r="B52" s="189" t="s">
        <v>264</v>
      </c>
      <c r="C52" s="269" t="n">
        <v>9871</v>
      </c>
      <c r="D52" s="286" t="s">
        <v>280</v>
      </c>
      <c r="E52" s="269" t="s">
        <v>261</v>
      </c>
      <c r="F52" s="270" t="n">
        <f aca="false">1.0493*1.7</f>
        <v>1.78381</v>
      </c>
      <c r="G52" s="271" t="n">
        <v>39.82</v>
      </c>
      <c r="H52" s="271" t="n">
        <f aca="false">TRUNC(F52*G52,2)</f>
        <v>71.03</v>
      </c>
      <c r="I52" s="272" t="n">
        <f aca="false">I51</f>
        <v>9</v>
      </c>
      <c r="K52" s="271"/>
      <c r="M52" s="271" t="n">
        <v>39.82</v>
      </c>
      <c r="N52" s="271" t="n">
        <f aca="false">TRUNC(F52*M52,2)</f>
        <v>71.03</v>
      </c>
      <c r="O52" s="272" t="n">
        <f aca="false">O51</f>
        <v>9</v>
      </c>
      <c r="Q52" s="271"/>
    </row>
    <row r="53" customFormat="false" ht="13.1" hidden="false" customHeight="false" outlineLevel="0" collapsed="false">
      <c r="B53" s="189" t="s">
        <v>264</v>
      </c>
      <c r="C53" s="269" t="n">
        <v>38383</v>
      </c>
      <c r="D53" s="286" t="s">
        <v>281</v>
      </c>
      <c r="E53" s="269" t="s">
        <v>259</v>
      </c>
      <c r="F53" s="270" t="n">
        <f aca="false">0.0115*4</f>
        <v>0.046</v>
      </c>
      <c r="G53" s="271" t="n">
        <v>2.61</v>
      </c>
      <c r="H53" s="271" t="n">
        <f aca="false">TRUNC(F53*G53,2)</f>
        <v>0.12</v>
      </c>
      <c r="I53" s="272" t="n">
        <f aca="false">I51</f>
        <v>9</v>
      </c>
      <c r="K53" s="271"/>
      <c r="M53" s="271" t="n">
        <v>2.61</v>
      </c>
      <c r="N53" s="271" t="n">
        <f aca="false">TRUNC(F53*M53,2)</f>
        <v>0.12</v>
      </c>
      <c r="O53" s="272" t="n">
        <f aca="false">O52</f>
        <v>9</v>
      </c>
      <c r="Q53" s="271"/>
    </row>
    <row r="54" customFormat="false" ht="24.35" hidden="false" customHeight="false" outlineLevel="0" collapsed="false">
      <c r="B54" s="189" t="s">
        <v>254</v>
      </c>
      <c r="C54" s="269" t="n">
        <v>88248</v>
      </c>
      <c r="D54" s="286" t="s">
        <v>266</v>
      </c>
      <c r="E54" s="269" t="s">
        <v>250</v>
      </c>
      <c r="F54" s="270" t="n">
        <f aca="false">0.0494*3</f>
        <v>0.1482</v>
      </c>
      <c r="G54" s="271" t="n">
        <v>21.45</v>
      </c>
      <c r="H54" s="271" t="n">
        <f aca="false">TRUNC(F54*G54,2)</f>
        <v>3.17</v>
      </c>
      <c r="I54" s="272" t="n">
        <f aca="false">I52</f>
        <v>9</v>
      </c>
      <c r="K54" s="271" t="n">
        <f aca="false">F54*I54</f>
        <v>1.3338</v>
      </c>
      <c r="M54" s="189" t="n">
        <v>19.36</v>
      </c>
      <c r="N54" s="271" t="n">
        <f aca="false">TRUNC(F54*M54,2)</f>
        <v>2.86</v>
      </c>
      <c r="O54" s="272" t="n">
        <f aca="false">O53</f>
        <v>9</v>
      </c>
      <c r="Q54" s="271" t="n">
        <f aca="false">F54*O54</f>
        <v>1.3338</v>
      </c>
    </row>
    <row r="55" customFormat="false" ht="24.35" hidden="false" customHeight="false" outlineLevel="0" collapsed="false">
      <c r="B55" s="189" t="s">
        <v>254</v>
      </c>
      <c r="C55" s="269" t="n">
        <v>88267</v>
      </c>
      <c r="D55" s="286" t="s">
        <v>267</v>
      </c>
      <c r="E55" s="269" t="s">
        <v>250</v>
      </c>
      <c r="F55" s="270" t="n">
        <f aca="false">0.0494*3</f>
        <v>0.1482</v>
      </c>
      <c r="G55" s="271" t="n">
        <v>26.33</v>
      </c>
      <c r="H55" s="271" t="n">
        <f aca="false">TRUNC(F55*G55,2)</f>
        <v>3.9</v>
      </c>
      <c r="I55" s="272" t="n">
        <f aca="false">I53</f>
        <v>9</v>
      </c>
      <c r="K55" s="271" t="n">
        <f aca="false">F55*I55</f>
        <v>1.3338</v>
      </c>
      <c r="M55" s="189" t="n">
        <v>23.61</v>
      </c>
      <c r="N55" s="271" t="n">
        <f aca="false">TRUNC(F55*M55,2)</f>
        <v>3.49</v>
      </c>
      <c r="O55" s="272" t="n">
        <f aca="false">O54</f>
        <v>9</v>
      </c>
      <c r="Q55" s="271" t="n">
        <f aca="false">F55*O55</f>
        <v>1.3338</v>
      </c>
    </row>
    <row r="56" customFormat="false" ht="24.35" hidden="false" customHeight="false" outlineLevel="0" collapsed="false">
      <c r="B56" s="285" t="s">
        <v>282</v>
      </c>
      <c r="C56" s="282" t="n">
        <v>89513</v>
      </c>
      <c r="D56" s="281" t="s">
        <v>283</v>
      </c>
      <c r="E56" s="282" t="s">
        <v>259</v>
      </c>
      <c r="F56" s="283" t="n">
        <f aca="false">7/9</f>
        <v>0.777777777777778</v>
      </c>
      <c r="G56" s="284"/>
      <c r="H56" s="284" t="n">
        <f aca="false">SUM(H57:H62)</f>
        <v>73.44</v>
      </c>
      <c r="I56" s="272" t="n">
        <f aca="false">I55</f>
        <v>9</v>
      </c>
      <c r="J56" s="272" t="n">
        <f aca="false">H56*I56</f>
        <v>660.96</v>
      </c>
      <c r="N56" s="284" t="n">
        <f aca="false">SUM(N57:N62)</f>
        <v>72.75</v>
      </c>
      <c r="O56" s="272" t="n">
        <f aca="false">I56</f>
        <v>9</v>
      </c>
      <c r="P56" s="272" t="n">
        <f aca="false">N56*O56</f>
        <v>654.75</v>
      </c>
    </row>
    <row r="57" customFormat="false" ht="12.8" hidden="false" customHeight="false" outlineLevel="0" collapsed="false">
      <c r="B57" s="189" t="s">
        <v>264</v>
      </c>
      <c r="C57" s="269" t="n">
        <v>122</v>
      </c>
      <c r="D57" s="189" t="s">
        <v>284</v>
      </c>
      <c r="E57" s="269" t="s">
        <v>259</v>
      </c>
      <c r="F57" s="270" t="n">
        <f aca="false">0.0259*F56</f>
        <v>0.0201444444444444</v>
      </c>
      <c r="G57" s="271" t="n">
        <v>57.7</v>
      </c>
      <c r="H57" s="271" t="n">
        <f aca="false">TRUNC(F57*G57,2)</f>
        <v>1.16</v>
      </c>
      <c r="I57" s="272" t="n">
        <f aca="false">I56</f>
        <v>9</v>
      </c>
      <c r="K57" s="271"/>
      <c r="M57" s="271" t="n">
        <v>57.7</v>
      </c>
      <c r="N57" s="271" t="n">
        <f aca="false">TRUNC(F57*M57,2)</f>
        <v>1.16</v>
      </c>
      <c r="O57" s="272" t="n">
        <f aca="false">O56</f>
        <v>9</v>
      </c>
      <c r="Q57" s="271"/>
    </row>
    <row r="58" customFormat="false" ht="12.8" hidden="false" customHeight="false" outlineLevel="0" collapsed="false">
      <c r="B58" s="189" t="s">
        <v>264</v>
      </c>
      <c r="C58" s="269" t="n">
        <v>3511</v>
      </c>
      <c r="D58" s="189" t="s">
        <v>285</v>
      </c>
      <c r="E58" s="269" t="s">
        <v>259</v>
      </c>
      <c r="F58" s="270" t="n">
        <f aca="false">1*F56</f>
        <v>0.777777777777778</v>
      </c>
      <c r="G58" s="271" t="n">
        <v>80.79</v>
      </c>
      <c r="H58" s="271" t="n">
        <f aca="false">TRUNC(F58*G58,2)</f>
        <v>62.83</v>
      </c>
      <c r="I58" s="272" t="n">
        <f aca="false">I56</f>
        <v>9</v>
      </c>
      <c r="K58" s="271"/>
      <c r="M58" s="271" t="n">
        <v>80.79</v>
      </c>
      <c r="N58" s="271" t="n">
        <f aca="false">TRUNC(F58*M58,2)</f>
        <v>62.83</v>
      </c>
      <c r="O58" s="272" t="n">
        <f aca="false">O57</f>
        <v>9</v>
      </c>
      <c r="Q58" s="271"/>
    </row>
    <row r="59" customFormat="false" ht="12.8" hidden="false" customHeight="false" outlineLevel="0" collapsed="false">
      <c r="B59" s="189" t="s">
        <v>264</v>
      </c>
      <c r="C59" s="269" t="n">
        <v>20083</v>
      </c>
      <c r="D59" s="189" t="s">
        <v>286</v>
      </c>
      <c r="E59" s="269" t="s">
        <v>259</v>
      </c>
      <c r="F59" s="270" t="n">
        <f aca="false">0.05*F56</f>
        <v>0.0388888888888889</v>
      </c>
      <c r="G59" s="271" t="n">
        <v>65.38</v>
      </c>
      <c r="H59" s="271" t="n">
        <f aca="false">TRUNC(F59*G59,2)</f>
        <v>2.54</v>
      </c>
      <c r="I59" s="272" t="n">
        <f aca="false">I57</f>
        <v>9</v>
      </c>
      <c r="K59" s="271"/>
      <c r="M59" s="271" t="n">
        <v>65.38</v>
      </c>
      <c r="N59" s="271" t="n">
        <f aca="false">TRUNC(F59*M59,2)</f>
        <v>2.54</v>
      </c>
      <c r="O59" s="272" t="n">
        <f aca="false">O58</f>
        <v>9</v>
      </c>
      <c r="Q59" s="271"/>
    </row>
    <row r="60" customFormat="false" ht="12.8" hidden="false" customHeight="false" outlineLevel="0" collapsed="false">
      <c r="B60" s="189" t="s">
        <v>264</v>
      </c>
      <c r="C60" s="269" t="n">
        <v>38383</v>
      </c>
      <c r="D60" s="189" t="s">
        <v>281</v>
      </c>
      <c r="E60" s="269" t="s">
        <v>259</v>
      </c>
      <c r="F60" s="270" t="n">
        <f aca="false">0.0275*F56</f>
        <v>0.0213888888888889</v>
      </c>
      <c r="G60" s="271" t="n">
        <v>2.61</v>
      </c>
      <c r="H60" s="271" t="n">
        <f aca="false">TRUNC(F60*G60,2)</f>
        <v>0.05</v>
      </c>
      <c r="I60" s="272" t="n">
        <f aca="false">I58</f>
        <v>9</v>
      </c>
      <c r="K60" s="271"/>
      <c r="M60" s="271" t="n">
        <v>2.61</v>
      </c>
      <c r="N60" s="271" t="n">
        <f aca="false">TRUNC(F60*M60,2)</f>
        <v>0.05</v>
      </c>
      <c r="O60" s="272" t="n">
        <f aca="false">O59</f>
        <v>9</v>
      </c>
      <c r="Q60" s="271"/>
    </row>
    <row r="61" customFormat="false" ht="12.8" hidden="false" customHeight="false" outlineLevel="0" collapsed="false">
      <c r="B61" s="189" t="s">
        <v>254</v>
      </c>
      <c r="C61" s="269" t="n">
        <v>88248</v>
      </c>
      <c r="D61" s="189" t="s">
        <v>266</v>
      </c>
      <c r="E61" s="269" t="s">
        <v>250</v>
      </c>
      <c r="F61" s="270" t="n">
        <f aca="false">0.1847*F56</f>
        <v>0.143655555555556</v>
      </c>
      <c r="G61" s="271" t="n">
        <v>21.45</v>
      </c>
      <c r="H61" s="271" t="n">
        <f aca="false">TRUNC(F61*G61,2)</f>
        <v>3.08</v>
      </c>
      <c r="I61" s="272" t="n">
        <f aca="false">I59</f>
        <v>9</v>
      </c>
      <c r="K61" s="271" t="n">
        <f aca="false">F61*I61</f>
        <v>1.2929</v>
      </c>
      <c r="M61" s="189" t="n">
        <v>19.36</v>
      </c>
      <c r="N61" s="271" t="n">
        <f aca="false">TRUNC(F61*M61,2)</f>
        <v>2.78</v>
      </c>
      <c r="O61" s="272" t="n">
        <f aca="false">O60</f>
        <v>9</v>
      </c>
      <c r="Q61" s="271" t="n">
        <f aca="false">F61*O61</f>
        <v>1.2929</v>
      </c>
    </row>
    <row r="62" customFormat="false" ht="12.8" hidden="false" customHeight="false" outlineLevel="0" collapsed="false">
      <c r="B62" s="189" t="s">
        <v>254</v>
      </c>
      <c r="C62" s="269" t="n">
        <v>88267</v>
      </c>
      <c r="D62" s="189" t="s">
        <v>267</v>
      </c>
      <c r="E62" s="269" t="s">
        <v>250</v>
      </c>
      <c r="F62" s="270" t="n">
        <f aca="false">0.1847*F56</f>
        <v>0.143655555555556</v>
      </c>
      <c r="G62" s="271" t="n">
        <v>26.33</v>
      </c>
      <c r="H62" s="271" t="n">
        <f aca="false">TRUNC(F62*G62,2)</f>
        <v>3.78</v>
      </c>
      <c r="I62" s="272" t="n">
        <f aca="false">I60</f>
        <v>9</v>
      </c>
      <c r="K62" s="271" t="n">
        <f aca="false">F62*I62</f>
        <v>1.2929</v>
      </c>
      <c r="M62" s="189" t="n">
        <v>23.61</v>
      </c>
      <c r="N62" s="271" t="n">
        <f aca="false">TRUNC(F62*M62,2)</f>
        <v>3.39</v>
      </c>
      <c r="O62" s="272" t="n">
        <f aca="false">O61</f>
        <v>9</v>
      </c>
      <c r="Q62" s="271" t="n">
        <f aca="false">F62*O62</f>
        <v>1.2929</v>
      </c>
    </row>
    <row r="63" customFormat="false" ht="24.35" hidden="false" customHeight="false" outlineLevel="0" collapsed="false">
      <c r="B63" s="285" t="s">
        <v>287</v>
      </c>
      <c r="C63" s="282" t="n">
        <v>89611</v>
      </c>
      <c r="D63" s="281" t="s">
        <v>288</v>
      </c>
      <c r="E63" s="282" t="s">
        <v>259</v>
      </c>
      <c r="F63" s="283" t="n">
        <f aca="false">8/9</f>
        <v>0.888888888888889</v>
      </c>
      <c r="G63" s="284"/>
      <c r="H63" s="284" t="n">
        <f aca="false">SUM(H64:H69)</f>
        <v>25.89</v>
      </c>
      <c r="I63" s="272" t="n">
        <f aca="false">I62</f>
        <v>9</v>
      </c>
      <c r="J63" s="272" t="n">
        <f aca="false">H63*I63</f>
        <v>233.01</v>
      </c>
      <c r="N63" s="284" t="n">
        <f aca="false">SUM(N64:N69)</f>
        <v>25.36</v>
      </c>
      <c r="O63" s="272" t="n">
        <f aca="false">I63</f>
        <v>9</v>
      </c>
      <c r="P63" s="272" t="n">
        <f aca="false">N63*O63</f>
        <v>228.24</v>
      </c>
    </row>
    <row r="64" customFormat="false" ht="12.8" hidden="false" customHeight="false" outlineLevel="0" collapsed="false">
      <c r="B64" s="189" t="s">
        <v>264</v>
      </c>
      <c r="C64" s="269" t="n">
        <v>122</v>
      </c>
      <c r="D64" s="189" t="s">
        <v>284</v>
      </c>
      <c r="E64" s="269" t="s">
        <v>259</v>
      </c>
      <c r="F64" s="270" t="n">
        <f aca="false">0.0259*F63</f>
        <v>0.0230222222222222</v>
      </c>
      <c r="G64" s="271" t="n">
        <v>57.7</v>
      </c>
      <c r="H64" s="271" t="n">
        <f aca="false">TRUNC(F64*G64,2)</f>
        <v>1.32</v>
      </c>
      <c r="I64" s="272" t="n">
        <f aca="false">I63</f>
        <v>9</v>
      </c>
      <c r="K64" s="271"/>
      <c r="M64" s="271" t="n">
        <v>57.7</v>
      </c>
      <c r="N64" s="271" t="n">
        <f aca="false">TRUNC(F64*M64,2)</f>
        <v>1.32</v>
      </c>
      <c r="O64" s="272" t="n">
        <f aca="false">O63</f>
        <v>9</v>
      </c>
      <c r="Q64" s="271"/>
    </row>
    <row r="65" customFormat="false" ht="12.8" hidden="false" customHeight="false" outlineLevel="0" collapsed="false">
      <c r="B65" s="189" t="s">
        <v>264</v>
      </c>
      <c r="C65" s="269" t="n">
        <v>3865</v>
      </c>
      <c r="D65" s="189" t="s">
        <v>289</v>
      </c>
      <c r="E65" s="269" t="s">
        <v>259</v>
      </c>
      <c r="F65" s="270" t="n">
        <f aca="false">1*F63</f>
        <v>0.888888888888889</v>
      </c>
      <c r="G65" s="271" t="n">
        <v>18.48</v>
      </c>
      <c r="H65" s="271" t="n">
        <f aca="false">TRUNC(F65*G65,2)</f>
        <v>16.42</v>
      </c>
      <c r="I65" s="272" t="n">
        <f aca="false">I63</f>
        <v>9</v>
      </c>
      <c r="K65" s="271"/>
      <c r="M65" s="271" t="n">
        <v>18.48</v>
      </c>
      <c r="N65" s="271" t="n">
        <f aca="false">TRUNC(F65*M65,2)</f>
        <v>16.42</v>
      </c>
      <c r="O65" s="272" t="n">
        <f aca="false">O64</f>
        <v>9</v>
      </c>
      <c r="Q65" s="271"/>
    </row>
    <row r="66" customFormat="false" ht="12.8" hidden="false" customHeight="false" outlineLevel="0" collapsed="false">
      <c r="B66" s="189" t="s">
        <v>264</v>
      </c>
      <c r="C66" s="269" t="n">
        <v>20083</v>
      </c>
      <c r="D66" s="189" t="s">
        <v>286</v>
      </c>
      <c r="E66" s="269" t="s">
        <v>259</v>
      </c>
      <c r="F66" s="270" t="n">
        <f aca="false">0.05*F63</f>
        <v>0.0444444444444444</v>
      </c>
      <c r="G66" s="271" t="n">
        <v>65.38</v>
      </c>
      <c r="H66" s="271" t="n">
        <f aca="false">TRUNC(F66*G66,2)</f>
        <v>2.9</v>
      </c>
      <c r="I66" s="272" t="n">
        <f aca="false">I64</f>
        <v>9</v>
      </c>
      <c r="K66" s="271"/>
      <c r="M66" s="271" t="n">
        <v>65.38</v>
      </c>
      <c r="N66" s="271" t="n">
        <f aca="false">TRUNC(F66*M66,2)</f>
        <v>2.9</v>
      </c>
      <c r="O66" s="272" t="n">
        <f aca="false">O65</f>
        <v>9</v>
      </c>
      <c r="Q66" s="271"/>
    </row>
    <row r="67" customFormat="false" ht="12.8" hidden="false" customHeight="false" outlineLevel="0" collapsed="false">
      <c r="B67" s="189" t="s">
        <v>264</v>
      </c>
      <c r="C67" s="269" t="n">
        <v>38383</v>
      </c>
      <c r="D67" s="189" t="s">
        <v>281</v>
      </c>
      <c r="E67" s="269" t="s">
        <v>259</v>
      </c>
      <c r="F67" s="270" t="n">
        <f aca="false">0.0275*F63</f>
        <v>0.0244444444444444</v>
      </c>
      <c r="G67" s="271" t="n">
        <v>2.61</v>
      </c>
      <c r="H67" s="271" t="n">
        <f aca="false">TRUNC(F67*G67,2)</f>
        <v>0.06</v>
      </c>
      <c r="I67" s="272" t="n">
        <f aca="false">I65</f>
        <v>9</v>
      </c>
      <c r="K67" s="271"/>
      <c r="M67" s="271" t="n">
        <v>2.61</v>
      </c>
      <c r="N67" s="271" t="n">
        <f aca="false">TRUNC(F67*M67,2)</f>
        <v>0.06</v>
      </c>
      <c r="O67" s="272" t="n">
        <f aca="false">O66</f>
        <v>9</v>
      </c>
      <c r="Q67" s="271"/>
    </row>
    <row r="68" customFormat="false" ht="12.8" hidden="false" customHeight="false" outlineLevel="0" collapsed="false">
      <c r="B68" s="189" t="s">
        <v>254</v>
      </c>
      <c r="C68" s="269" t="n">
        <v>88248</v>
      </c>
      <c r="D68" s="189" t="s">
        <v>266</v>
      </c>
      <c r="E68" s="269" t="s">
        <v>250</v>
      </c>
      <c r="F68" s="270" t="n">
        <f aca="false">0.1224*F63</f>
        <v>0.1088</v>
      </c>
      <c r="G68" s="271" t="n">
        <v>21.45</v>
      </c>
      <c r="H68" s="271" t="n">
        <f aca="false">TRUNC(F68*G68,2)</f>
        <v>2.33</v>
      </c>
      <c r="I68" s="272" t="n">
        <f aca="false">I66</f>
        <v>9</v>
      </c>
      <c r="K68" s="271" t="n">
        <f aca="false">F68*I68</f>
        <v>0.9792</v>
      </c>
      <c r="M68" s="189" t="n">
        <v>19.36</v>
      </c>
      <c r="N68" s="271" t="n">
        <f aca="false">TRUNC(F68*M68,2)</f>
        <v>2.1</v>
      </c>
      <c r="O68" s="272" t="n">
        <f aca="false">O67</f>
        <v>9</v>
      </c>
      <c r="Q68" s="271" t="n">
        <f aca="false">F68*O68</f>
        <v>0.9792</v>
      </c>
    </row>
    <row r="69" customFormat="false" ht="12.8" hidden="false" customHeight="false" outlineLevel="0" collapsed="false">
      <c r="B69" s="189" t="s">
        <v>254</v>
      </c>
      <c r="C69" s="269" t="n">
        <v>88267</v>
      </c>
      <c r="D69" s="189" t="s">
        <v>267</v>
      </c>
      <c r="E69" s="269" t="s">
        <v>250</v>
      </c>
      <c r="F69" s="270" t="n">
        <f aca="false">0.1224*F63</f>
        <v>0.1088</v>
      </c>
      <c r="G69" s="271" t="n">
        <v>26.33</v>
      </c>
      <c r="H69" s="271" t="n">
        <f aca="false">TRUNC(F69*G69,2)</f>
        <v>2.86</v>
      </c>
      <c r="I69" s="272" t="n">
        <f aca="false">I67</f>
        <v>9</v>
      </c>
      <c r="K69" s="271" t="n">
        <f aca="false">F69*I69</f>
        <v>0.9792</v>
      </c>
      <c r="M69" s="189" t="n">
        <v>23.61</v>
      </c>
      <c r="N69" s="271" t="n">
        <f aca="false">TRUNC(F69*M69,2)</f>
        <v>2.56</v>
      </c>
      <c r="O69" s="272" t="n">
        <f aca="false">O68</f>
        <v>9</v>
      </c>
      <c r="Q69" s="271" t="n">
        <f aca="false">F69*O69</f>
        <v>0.9792</v>
      </c>
    </row>
    <row r="72" customFormat="false" ht="12.8" hidden="false" customHeight="false" outlineLevel="0" collapsed="false">
      <c r="A72" s="0"/>
      <c r="B72" s="0"/>
      <c r="C72" s="0"/>
      <c r="D72" s="0"/>
      <c r="E72" s="0"/>
      <c r="F72" s="0"/>
      <c r="G72" s="0"/>
      <c r="H72" s="0"/>
      <c r="I72" s="0"/>
    </row>
    <row r="73" customFormat="false" ht="24.35" hidden="false" customHeight="false" outlineLevel="0" collapsed="false">
      <c r="A73" s="0"/>
      <c r="B73" s="276" t="s">
        <v>243</v>
      </c>
      <c r="C73" s="276" t="s">
        <v>244</v>
      </c>
      <c r="D73" s="277" t="s">
        <v>25</v>
      </c>
      <c r="E73" s="276" t="s">
        <v>9</v>
      </c>
      <c r="F73" s="278" t="s">
        <v>245</v>
      </c>
      <c r="G73" s="279" t="s">
        <v>246</v>
      </c>
      <c r="H73" s="279" t="s">
        <v>247</v>
      </c>
      <c r="I73" s="280" t="s">
        <v>248</v>
      </c>
      <c r="J73" s="280" t="s">
        <v>249</v>
      </c>
      <c r="K73" s="280" t="s">
        <v>250</v>
      </c>
      <c r="M73" s="279" t="s">
        <v>246</v>
      </c>
      <c r="N73" s="279" t="s">
        <v>247</v>
      </c>
      <c r="O73" s="280" t="s">
        <v>248</v>
      </c>
      <c r="P73" s="280" t="s">
        <v>249</v>
      </c>
      <c r="Q73" s="280" t="s">
        <v>250</v>
      </c>
    </row>
    <row r="74" customFormat="false" ht="35.6" hidden="false" customHeight="false" outlineLevel="0" collapsed="false">
      <c r="A74" s="94" t="s">
        <v>46</v>
      </c>
      <c r="B74" s="285" t="s">
        <v>290</v>
      </c>
      <c r="C74" s="282" t="s">
        <v>47</v>
      </c>
      <c r="D74" s="281" t="s">
        <v>291</v>
      </c>
      <c r="E74" s="282" t="s">
        <v>292</v>
      </c>
      <c r="F74" s="283"/>
      <c r="G74" s="284"/>
      <c r="H74" s="284" t="n">
        <f aca="false">SUM(H75:H80)</f>
        <v>394.37</v>
      </c>
      <c r="I74" s="272" t="n">
        <f aca="false">PL_ORC_ANALIT!H18</f>
        <v>5.13</v>
      </c>
      <c r="J74" s="272" t="n">
        <f aca="false">H74*I74</f>
        <v>2023.1181</v>
      </c>
      <c r="N74" s="284" t="n">
        <f aca="false">SUM(N75:N80)</f>
        <v>361.99</v>
      </c>
      <c r="O74" s="272" t="n">
        <f aca="false">I74</f>
        <v>5.13</v>
      </c>
      <c r="P74" s="272" t="n">
        <f aca="false">N74*O74</f>
        <v>1857.0087</v>
      </c>
      <c r="Q74" s="269" t="n">
        <f aca="false">SUM(Q75:Q80)</f>
        <v>67.894524</v>
      </c>
    </row>
    <row r="75" customFormat="false" ht="35.6" hidden="false" customHeight="false" outlineLevel="0" collapsed="false">
      <c r="B75" s="189" t="s">
        <v>264</v>
      </c>
      <c r="C75" s="269" t="n">
        <v>7267</v>
      </c>
      <c r="D75" s="286" t="s">
        <v>293</v>
      </c>
      <c r="E75" s="269" t="s">
        <v>259</v>
      </c>
      <c r="F75" s="270" t="n">
        <f aca="false">37.74*2</f>
        <v>75.48</v>
      </c>
      <c r="G75" s="271" t="n">
        <v>0.69</v>
      </c>
      <c r="H75" s="271" t="n">
        <f aca="false">TRUNC(F75*G75,2)</f>
        <v>52.08</v>
      </c>
      <c r="I75" s="272" t="n">
        <f aca="false">I74</f>
        <v>5.13</v>
      </c>
      <c r="K75" s="271"/>
      <c r="M75" s="271" t="n">
        <v>0.69</v>
      </c>
      <c r="N75" s="271" t="n">
        <f aca="false">TRUNC(F75*M75,2)</f>
        <v>52.08</v>
      </c>
      <c r="O75" s="272" t="n">
        <f aca="false">O74</f>
        <v>5.13</v>
      </c>
      <c r="Q75" s="271"/>
    </row>
    <row r="76" customFormat="false" ht="35.6" hidden="false" customHeight="false" outlineLevel="0" collapsed="false">
      <c r="B76" s="189" t="s">
        <v>264</v>
      </c>
      <c r="C76" s="269" t="n">
        <v>34557</v>
      </c>
      <c r="D76" s="286" t="s">
        <v>294</v>
      </c>
      <c r="E76" s="269" t="s">
        <v>261</v>
      </c>
      <c r="F76" s="270" t="n">
        <f aca="false">0.58*2</f>
        <v>1.16</v>
      </c>
      <c r="G76" s="271" t="n">
        <v>2.42</v>
      </c>
      <c r="H76" s="271" t="n">
        <f aca="false">TRUNC(F76*G76,2)</f>
        <v>2.8</v>
      </c>
      <c r="I76" s="272" t="n">
        <f aca="false">I74</f>
        <v>5.13</v>
      </c>
      <c r="K76" s="271"/>
      <c r="M76" s="271" t="n">
        <v>2.42</v>
      </c>
      <c r="N76" s="271" t="n">
        <f aca="false">TRUNC(F76*M76,2)</f>
        <v>2.8</v>
      </c>
      <c r="O76" s="272" t="n">
        <f aca="false">O75</f>
        <v>5.13</v>
      </c>
      <c r="Q76" s="271"/>
    </row>
    <row r="77" customFormat="false" ht="13.1" hidden="false" customHeight="false" outlineLevel="0" collapsed="false">
      <c r="B77" s="189" t="s">
        <v>264</v>
      </c>
      <c r="C77" s="269" t="n">
        <v>37395</v>
      </c>
      <c r="D77" s="286" t="s">
        <v>295</v>
      </c>
      <c r="E77" s="269" t="s">
        <v>296</v>
      </c>
      <c r="F77" s="270" t="n">
        <f aca="false">0.0069*2</f>
        <v>0.0138</v>
      </c>
      <c r="G77" s="271" t="n">
        <v>79.73</v>
      </c>
      <c r="H77" s="271" t="n">
        <f aca="false">TRUNC(F77*G77,2)</f>
        <v>1.1</v>
      </c>
      <c r="I77" s="272" t="n">
        <f aca="false">I75</f>
        <v>5.13</v>
      </c>
      <c r="K77" s="271"/>
      <c r="M77" s="271" t="n">
        <v>79.73</v>
      </c>
      <c r="N77" s="271" t="n">
        <f aca="false">TRUNC(F77*M77,2)</f>
        <v>1.1</v>
      </c>
      <c r="O77" s="272" t="n">
        <f aca="false">O76</f>
        <v>5.13</v>
      </c>
      <c r="Q77" s="271" t="n">
        <f aca="false">F77*O77</f>
        <v>0.070794</v>
      </c>
    </row>
    <row r="78" customFormat="false" ht="46.85" hidden="false" customHeight="false" outlineLevel="0" collapsed="false">
      <c r="B78" s="189" t="s">
        <v>254</v>
      </c>
      <c r="C78" s="269" t="n">
        <v>87292</v>
      </c>
      <c r="D78" s="286" t="s">
        <v>297</v>
      </c>
      <c r="E78" s="269" t="s">
        <v>253</v>
      </c>
      <c r="F78" s="270" t="n">
        <f aca="false">0.0105*2</f>
        <v>0.021</v>
      </c>
      <c r="G78" s="271" t="n">
        <v>580.06</v>
      </c>
      <c r="H78" s="271" t="n">
        <f aca="false">TRUNC(F78*G78,2)</f>
        <v>12.18</v>
      </c>
      <c r="I78" s="272" t="n">
        <f aca="false">I76</f>
        <v>5.13</v>
      </c>
      <c r="K78" s="271"/>
      <c r="M78" s="189" t="n">
        <v>568.32</v>
      </c>
      <c r="N78" s="271" t="n">
        <f aca="false">TRUNC(F78*M78,2)</f>
        <v>11.93</v>
      </c>
      <c r="O78" s="272" t="n">
        <f aca="false">O77</f>
        <v>5.13</v>
      </c>
      <c r="Q78" s="271" t="n">
        <f aca="false">F78*O78</f>
        <v>0.10773</v>
      </c>
    </row>
    <row r="79" customFormat="false" ht="13.1" hidden="false" customHeight="false" outlineLevel="0" collapsed="false">
      <c r="B79" s="189" t="s">
        <v>254</v>
      </c>
      <c r="C79" s="269" t="n">
        <v>88309</v>
      </c>
      <c r="D79" s="286" t="s">
        <v>255</v>
      </c>
      <c r="E79" s="269" t="s">
        <v>250</v>
      </c>
      <c r="F79" s="270" t="n">
        <f aca="false">2.2*4</f>
        <v>8.8</v>
      </c>
      <c r="G79" s="271" t="n">
        <v>27.1</v>
      </c>
      <c r="H79" s="271" t="n">
        <f aca="false">TRUNC(F79*G79,2)</f>
        <v>238.48</v>
      </c>
      <c r="I79" s="272" t="n">
        <f aca="false">I77</f>
        <v>5.13</v>
      </c>
      <c r="K79" s="271" t="n">
        <f aca="false">F79*I79</f>
        <v>45.144</v>
      </c>
      <c r="M79" s="189" t="n">
        <v>24.36</v>
      </c>
      <c r="N79" s="271" t="n">
        <f aca="false">TRUNC(F79*M79,2)</f>
        <v>214.36</v>
      </c>
      <c r="O79" s="272" t="n">
        <f aca="false">O78</f>
        <v>5.13</v>
      </c>
      <c r="Q79" s="271" t="n">
        <f aca="false">F79*O79</f>
        <v>45.144</v>
      </c>
    </row>
    <row r="80" customFormat="false" ht="13.1" hidden="false" customHeight="false" outlineLevel="0" collapsed="false">
      <c r="B80" s="189" t="s">
        <v>254</v>
      </c>
      <c r="C80" s="269" t="n">
        <v>88316</v>
      </c>
      <c r="D80" s="286" t="s">
        <v>256</v>
      </c>
      <c r="E80" s="269" t="s">
        <v>250</v>
      </c>
      <c r="F80" s="270" t="n">
        <f aca="false">1.1*4</f>
        <v>4.4</v>
      </c>
      <c r="G80" s="271" t="n">
        <v>19.94</v>
      </c>
      <c r="H80" s="271" t="n">
        <f aca="false">TRUNC(F80*G80,2)</f>
        <v>87.73</v>
      </c>
      <c r="I80" s="272" t="n">
        <f aca="false">I78</f>
        <v>5.13</v>
      </c>
      <c r="K80" s="271" t="n">
        <f aca="false">F80*I80</f>
        <v>22.572</v>
      </c>
      <c r="M80" s="189" t="n">
        <v>18.12</v>
      </c>
      <c r="N80" s="271" t="n">
        <f aca="false">TRUNC(F80*M80,2)</f>
        <v>79.72</v>
      </c>
      <c r="O80" s="272" t="n">
        <f aca="false">O79</f>
        <v>5.13</v>
      </c>
      <c r="Q80" s="271" t="n">
        <f aca="false">F80*O80</f>
        <v>22.572</v>
      </c>
    </row>
    <row r="84" customFormat="false" ht="24.35" hidden="false" customHeight="false" outlineLevel="0" collapsed="false">
      <c r="A84" s="0"/>
      <c r="B84" s="276" t="s">
        <v>243</v>
      </c>
      <c r="C84" s="276" t="s">
        <v>244</v>
      </c>
      <c r="D84" s="277" t="s">
        <v>25</v>
      </c>
      <c r="E84" s="276" t="s">
        <v>9</v>
      </c>
      <c r="F84" s="278" t="s">
        <v>245</v>
      </c>
      <c r="G84" s="279" t="s">
        <v>246</v>
      </c>
      <c r="H84" s="279" t="s">
        <v>247</v>
      </c>
      <c r="I84" s="280" t="s">
        <v>248</v>
      </c>
      <c r="J84" s="280" t="s">
        <v>249</v>
      </c>
      <c r="K84" s="280" t="s">
        <v>250</v>
      </c>
      <c r="M84" s="279" t="s">
        <v>246</v>
      </c>
      <c r="N84" s="279" t="s">
        <v>247</v>
      </c>
      <c r="O84" s="280" t="s">
        <v>248</v>
      </c>
      <c r="P84" s="280" t="s">
        <v>249</v>
      </c>
      <c r="Q84" s="280" t="s">
        <v>250</v>
      </c>
    </row>
    <row r="85" customFormat="false" ht="46.85" hidden="false" customHeight="false" outlineLevel="0" collapsed="false">
      <c r="A85" s="94" t="s">
        <v>49</v>
      </c>
      <c r="B85" s="285" t="s">
        <v>298</v>
      </c>
      <c r="C85" s="282" t="s">
        <v>50</v>
      </c>
      <c r="D85" s="281" t="s">
        <v>299</v>
      </c>
      <c r="E85" s="282" t="s">
        <v>292</v>
      </c>
      <c r="F85" s="283"/>
      <c r="G85" s="284"/>
      <c r="H85" s="284" t="n">
        <f aca="false">SUM(H86:H88)</f>
        <v>131.84</v>
      </c>
      <c r="I85" s="272" t="n">
        <f aca="false">PL_ORC_ANALIT!H19</f>
        <v>5.13</v>
      </c>
      <c r="J85" s="272" t="n">
        <f aca="false">H85*I85</f>
        <v>676.3392</v>
      </c>
      <c r="N85" s="284" t="n">
        <f aca="false">SUM(N86:N88)</f>
        <v>125.8</v>
      </c>
      <c r="O85" s="272" t="n">
        <f aca="false">I85</f>
        <v>5.13</v>
      </c>
      <c r="P85" s="272" t="n">
        <f aca="false">N85*O85</f>
        <v>645.354</v>
      </c>
      <c r="Q85" s="269" t="n">
        <f aca="false">SUM(Q86:Q88)</f>
        <v>12.729069</v>
      </c>
    </row>
    <row r="86" customFormat="false" ht="46.85" hidden="false" customHeight="false" outlineLevel="0" collapsed="false">
      <c r="B86" s="189" t="s">
        <v>254</v>
      </c>
      <c r="C86" s="269" t="n">
        <v>87292</v>
      </c>
      <c r="D86" s="286" t="s">
        <v>297</v>
      </c>
      <c r="E86" s="269" t="s">
        <v>253</v>
      </c>
      <c r="F86" s="270" t="n">
        <f aca="false">0.0304*4</f>
        <v>0.1216</v>
      </c>
      <c r="G86" s="271" t="n">
        <v>580.06</v>
      </c>
      <c r="H86" s="271" t="n">
        <f aca="false">TRUNC(F86*G86,2)</f>
        <v>70.53</v>
      </c>
      <c r="I86" s="272" t="n">
        <f aca="false">I85</f>
        <v>5.13</v>
      </c>
      <c r="K86" s="271"/>
      <c r="M86" s="271" t="n">
        <v>580.06</v>
      </c>
      <c r="N86" s="271" t="n">
        <f aca="false">TRUNC(F86*M86,2)</f>
        <v>70.53</v>
      </c>
      <c r="O86" s="272" t="n">
        <f aca="false">O85</f>
        <v>5.13</v>
      </c>
      <c r="Q86" s="271"/>
    </row>
    <row r="87" customFormat="false" ht="13.1" hidden="false" customHeight="false" outlineLevel="0" collapsed="false">
      <c r="B87" s="189" t="s">
        <v>254</v>
      </c>
      <c r="C87" s="269" t="n">
        <v>88309</v>
      </c>
      <c r="D87" s="286" t="s">
        <v>255</v>
      </c>
      <c r="E87" s="269" t="s">
        <v>250</v>
      </c>
      <c r="F87" s="270" t="n">
        <f aca="false">0.5514*3</f>
        <v>1.6542</v>
      </c>
      <c r="G87" s="271" t="n">
        <v>27.1</v>
      </c>
      <c r="H87" s="271" t="n">
        <f aca="false">TRUNC(F87*G87,2)</f>
        <v>44.82</v>
      </c>
      <c r="I87" s="272" t="n">
        <f aca="false">I85</f>
        <v>5.13</v>
      </c>
      <c r="K87" s="271" t="n">
        <f aca="false">F87*I87</f>
        <v>8.486046</v>
      </c>
      <c r="M87" s="271" t="n">
        <v>24.36</v>
      </c>
      <c r="N87" s="271" t="n">
        <f aca="false">TRUNC(F87*M87,2)</f>
        <v>40.29</v>
      </c>
      <c r="O87" s="272" t="n">
        <f aca="false">O86</f>
        <v>5.13</v>
      </c>
      <c r="Q87" s="271" t="n">
        <f aca="false">F87*O87</f>
        <v>8.486046</v>
      </c>
    </row>
    <row r="88" customFormat="false" ht="13.1" hidden="false" customHeight="false" outlineLevel="0" collapsed="false">
      <c r="B88" s="189" t="s">
        <v>254</v>
      </c>
      <c r="C88" s="269" t="n">
        <v>88316</v>
      </c>
      <c r="D88" s="286" t="s">
        <v>256</v>
      </c>
      <c r="E88" s="269" t="s">
        <v>250</v>
      </c>
      <c r="F88" s="270" t="n">
        <f aca="false">0.2757*3</f>
        <v>0.8271</v>
      </c>
      <c r="G88" s="271" t="n">
        <v>19.94</v>
      </c>
      <c r="H88" s="271" t="n">
        <f aca="false">TRUNC(F88*G88,2)</f>
        <v>16.49</v>
      </c>
      <c r="I88" s="272" t="n">
        <f aca="false">I86</f>
        <v>5.13</v>
      </c>
      <c r="K88" s="271" t="n">
        <f aca="false">F88*I88</f>
        <v>4.243023</v>
      </c>
      <c r="M88" s="271" t="n">
        <v>18.12</v>
      </c>
      <c r="N88" s="271" t="n">
        <f aca="false">TRUNC(F88*M88,2)</f>
        <v>14.98</v>
      </c>
      <c r="O88" s="272" t="n">
        <f aca="false">O87</f>
        <v>5.13</v>
      </c>
      <c r="Q88" s="271" t="n">
        <f aca="false">F88*O88</f>
        <v>4.243023</v>
      </c>
    </row>
    <row r="93" customFormat="false" ht="24.35" hidden="false" customHeight="false" outlineLevel="0" collapsed="false">
      <c r="B93" s="276" t="s">
        <v>243</v>
      </c>
      <c r="C93" s="276" t="s">
        <v>244</v>
      </c>
      <c r="D93" s="277" t="s">
        <v>25</v>
      </c>
      <c r="E93" s="276" t="s">
        <v>9</v>
      </c>
      <c r="F93" s="278" t="s">
        <v>245</v>
      </c>
      <c r="G93" s="279" t="s">
        <v>246</v>
      </c>
      <c r="H93" s="279" t="s">
        <v>247</v>
      </c>
      <c r="I93" s="280" t="s">
        <v>248</v>
      </c>
      <c r="J93" s="280" t="s">
        <v>249</v>
      </c>
      <c r="K93" s="280" t="s">
        <v>250</v>
      </c>
      <c r="M93" s="279" t="s">
        <v>246</v>
      </c>
      <c r="N93" s="279" t="s">
        <v>247</v>
      </c>
      <c r="O93" s="280" t="s">
        <v>248</v>
      </c>
      <c r="P93" s="280" t="s">
        <v>249</v>
      </c>
      <c r="Q93" s="280" t="s">
        <v>250</v>
      </c>
    </row>
    <row r="94" customFormat="false" ht="24.35" hidden="false" customHeight="false" outlineLevel="0" collapsed="false">
      <c r="A94" s="94" t="s">
        <v>52</v>
      </c>
      <c r="B94" s="285" t="s">
        <v>300</v>
      </c>
      <c r="C94" s="282" t="s">
        <v>53</v>
      </c>
      <c r="D94" s="281" t="s">
        <v>301</v>
      </c>
      <c r="E94" s="282" t="s">
        <v>292</v>
      </c>
      <c r="F94" s="283"/>
      <c r="G94" s="284"/>
      <c r="H94" s="284" t="n">
        <f aca="false">SUM(H95:H98)</f>
        <v>50.43</v>
      </c>
      <c r="I94" s="272" t="n">
        <f aca="false">PL_ORC_ANALIT!H20</f>
        <v>5.13</v>
      </c>
      <c r="J94" s="272" t="n">
        <f aca="false">H94*I94</f>
        <v>258.7059</v>
      </c>
      <c r="N94" s="284" t="n">
        <f aca="false">SUM(N95:N98)</f>
        <v>46.83</v>
      </c>
      <c r="O94" s="272" t="n">
        <f aca="false">I94</f>
        <v>5.13</v>
      </c>
      <c r="P94" s="272" t="n">
        <f aca="false">N94*O94</f>
        <v>240.2379</v>
      </c>
      <c r="Q94" s="269" t="n">
        <f aca="false">SUM(Q95:Q98)</f>
        <v>7.407207</v>
      </c>
    </row>
    <row r="95" customFormat="false" ht="24.35" hidden="false" customHeight="false" outlineLevel="0" collapsed="false">
      <c r="B95" s="189" t="s">
        <v>264</v>
      </c>
      <c r="C95" s="269" t="n">
        <v>3767</v>
      </c>
      <c r="D95" s="286" t="s">
        <v>302</v>
      </c>
      <c r="E95" s="269" t="s">
        <v>259</v>
      </c>
      <c r="F95" s="270" t="n">
        <f aca="false">0.0802*2.5</f>
        <v>0.2005</v>
      </c>
      <c r="G95" s="271" t="n">
        <v>1.21</v>
      </c>
      <c r="H95" s="271" t="n">
        <f aca="false">TRUNC(F95*G95,2)</f>
        <v>0.24</v>
      </c>
      <c r="I95" s="272" t="n">
        <f aca="false">I94</f>
        <v>5.13</v>
      </c>
      <c r="K95" s="271"/>
      <c r="M95" s="271" t="n">
        <v>1.21</v>
      </c>
      <c r="N95" s="271" t="n">
        <f aca="false">TRUNC(F95*M95,2)</f>
        <v>0.24</v>
      </c>
      <c r="O95" s="272" t="n">
        <f aca="false">O94</f>
        <v>5.13</v>
      </c>
      <c r="Q95" s="271"/>
    </row>
    <row r="96" customFormat="false" ht="13.1" hidden="false" customHeight="false" outlineLevel="0" collapsed="false">
      <c r="B96" s="189" t="s">
        <v>264</v>
      </c>
      <c r="C96" s="269" t="n">
        <v>43626</v>
      </c>
      <c r="D96" s="286" t="s">
        <v>303</v>
      </c>
      <c r="E96" s="269" t="s">
        <v>304</v>
      </c>
      <c r="F96" s="270" t="n">
        <f aca="false">1.3389*2.5</f>
        <v>3.34725</v>
      </c>
      <c r="G96" s="271" t="n">
        <v>3.6</v>
      </c>
      <c r="H96" s="271" t="n">
        <f aca="false">TRUNC(F96*G96,2)</f>
        <v>12.05</v>
      </c>
      <c r="I96" s="272" t="n">
        <f aca="false">I94</f>
        <v>5.13</v>
      </c>
      <c r="K96" s="271"/>
      <c r="M96" s="271" t="n">
        <v>3.6</v>
      </c>
      <c r="N96" s="271" t="n">
        <f aca="false">TRUNC(F96*M96,2)</f>
        <v>12.05</v>
      </c>
      <c r="O96" s="272" t="n">
        <f aca="false">O95</f>
        <v>5.13</v>
      </c>
      <c r="Q96" s="271"/>
    </row>
    <row r="97" customFormat="false" ht="13.1" hidden="false" customHeight="false" outlineLevel="0" collapsed="false">
      <c r="B97" s="189" t="s">
        <v>254</v>
      </c>
      <c r="C97" s="269" t="n">
        <v>88310</v>
      </c>
      <c r="D97" s="286" t="s">
        <v>305</v>
      </c>
      <c r="E97" s="269" t="s">
        <v>250</v>
      </c>
      <c r="F97" s="270" t="n">
        <f aca="false">0.361*3</f>
        <v>1.083</v>
      </c>
      <c r="G97" s="271" t="n">
        <v>28.58</v>
      </c>
      <c r="H97" s="271" t="n">
        <f aca="false">TRUNC(F97*G97,2)</f>
        <v>30.95</v>
      </c>
      <c r="I97" s="272" t="n">
        <f aca="false">I95</f>
        <v>5.13</v>
      </c>
      <c r="K97" s="271" t="n">
        <f aca="false">F97*I97</f>
        <v>5.55579</v>
      </c>
      <c r="M97" s="271" t="n">
        <v>25.87</v>
      </c>
      <c r="N97" s="271" t="n">
        <f aca="false">TRUNC(F97*M97,2)</f>
        <v>28.01</v>
      </c>
      <c r="O97" s="272" t="n">
        <f aca="false">O96</f>
        <v>5.13</v>
      </c>
      <c r="Q97" s="271" t="n">
        <f aca="false">F97*O97</f>
        <v>5.55579</v>
      </c>
    </row>
    <row r="98" customFormat="false" ht="13.1" hidden="false" customHeight="false" outlineLevel="0" collapsed="false">
      <c r="B98" s="189" t="s">
        <v>254</v>
      </c>
      <c r="C98" s="269" t="n">
        <v>88316</v>
      </c>
      <c r="D98" s="286" t="s">
        <v>256</v>
      </c>
      <c r="E98" s="269" t="s">
        <v>250</v>
      </c>
      <c r="F98" s="270" t="n">
        <f aca="false">0.1203*3</f>
        <v>0.3609</v>
      </c>
      <c r="G98" s="271" t="n">
        <v>19.94</v>
      </c>
      <c r="H98" s="271" t="n">
        <f aca="false">TRUNC(F98*G98,2)</f>
        <v>7.19</v>
      </c>
      <c r="I98" s="272" t="n">
        <f aca="false">I96</f>
        <v>5.13</v>
      </c>
      <c r="K98" s="271" t="n">
        <f aca="false">F98*I98</f>
        <v>1.851417</v>
      </c>
      <c r="M98" s="271" t="n">
        <v>18.12</v>
      </c>
      <c r="N98" s="271" t="n">
        <f aca="false">TRUNC(F98*M98,2)</f>
        <v>6.53</v>
      </c>
      <c r="O98" s="272" t="n">
        <f aca="false">O97</f>
        <v>5.13</v>
      </c>
      <c r="Q98" s="271" t="n">
        <f aca="false">F98*O98</f>
        <v>1.851417</v>
      </c>
    </row>
    <row r="102" customFormat="false" ht="24.35" hidden="false" customHeight="false" outlineLevel="0" collapsed="false">
      <c r="B102" s="276" t="s">
        <v>243</v>
      </c>
      <c r="C102" s="276" t="s">
        <v>244</v>
      </c>
      <c r="D102" s="277" t="s">
        <v>25</v>
      </c>
      <c r="E102" s="276" t="s">
        <v>9</v>
      </c>
      <c r="F102" s="278" t="s">
        <v>245</v>
      </c>
      <c r="G102" s="279" t="s">
        <v>246</v>
      </c>
      <c r="H102" s="279" t="s">
        <v>247</v>
      </c>
      <c r="I102" s="280" t="s">
        <v>248</v>
      </c>
      <c r="J102" s="280" t="s">
        <v>249</v>
      </c>
      <c r="K102" s="280" t="s">
        <v>250</v>
      </c>
      <c r="M102" s="279" t="s">
        <v>246</v>
      </c>
      <c r="N102" s="279" t="s">
        <v>247</v>
      </c>
      <c r="O102" s="280" t="s">
        <v>248</v>
      </c>
      <c r="P102" s="280" t="s">
        <v>249</v>
      </c>
      <c r="Q102" s="280" t="s">
        <v>250</v>
      </c>
    </row>
    <row r="103" customFormat="false" ht="24.35" hidden="false" customHeight="false" outlineLevel="0" collapsed="false">
      <c r="A103" s="94" t="s">
        <v>55</v>
      </c>
      <c r="B103" s="288"/>
      <c r="C103" s="289" t="s">
        <v>56</v>
      </c>
      <c r="D103" s="290" t="s">
        <v>306</v>
      </c>
      <c r="E103" s="289" t="s">
        <v>292</v>
      </c>
      <c r="F103" s="291"/>
      <c r="G103" s="292"/>
      <c r="H103" s="292" t="n">
        <f aca="false">H104+H108</f>
        <v>24.01</v>
      </c>
      <c r="I103" s="272" t="n">
        <f aca="false">PL_ORC_ANALIT!H21</f>
        <v>28</v>
      </c>
      <c r="N103" s="292" t="n">
        <f aca="false">N104+N108</f>
        <v>22.86</v>
      </c>
      <c r="O103" s="272" t="n">
        <f aca="false">I103</f>
        <v>28</v>
      </c>
      <c r="P103" s="272"/>
      <c r="Q103" s="269" t="n">
        <f aca="false">SUM(Q104:Q111)</f>
        <v>12.8646</v>
      </c>
    </row>
    <row r="104" customFormat="false" ht="24.35" hidden="false" customHeight="false" outlineLevel="0" collapsed="false">
      <c r="B104" s="285" t="s">
        <v>307</v>
      </c>
      <c r="C104" s="282" t="n">
        <v>88485</v>
      </c>
      <c r="D104" s="281" t="s">
        <v>308</v>
      </c>
      <c r="E104" s="282" t="s">
        <v>292</v>
      </c>
      <c r="F104" s="283"/>
      <c r="G104" s="284"/>
      <c r="H104" s="284" t="n">
        <f aca="false">SUM(H105:H107)</f>
        <v>6.27</v>
      </c>
      <c r="I104" s="272" t="n">
        <f aca="false">I103</f>
        <v>28</v>
      </c>
      <c r="J104" s="272" t="n">
        <f aca="false">H104*I104</f>
        <v>175.56</v>
      </c>
      <c r="N104" s="284" t="n">
        <f aca="false">SUM(N105:N107)</f>
        <v>5.94</v>
      </c>
      <c r="O104" s="272" t="n">
        <f aca="false">I104</f>
        <v>28</v>
      </c>
      <c r="P104" s="272" t="n">
        <f aca="false">N104*O104</f>
        <v>166.32</v>
      </c>
    </row>
    <row r="105" customFormat="false" ht="12.8" hidden="false" customHeight="false" outlineLevel="0" collapsed="false">
      <c r="B105" s="189" t="s">
        <v>264</v>
      </c>
      <c r="C105" s="269" t="n">
        <v>6085</v>
      </c>
      <c r="D105" s="189" t="s">
        <v>309</v>
      </c>
      <c r="E105" s="269" t="s">
        <v>310</v>
      </c>
      <c r="F105" s="270" t="n">
        <f aca="false">0.1666*1.5</f>
        <v>0.2499</v>
      </c>
      <c r="G105" s="271" t="n">
        <v>11.05</v>
      </c>
      <c r="H105" s="271" t="n">
        <f aca="false">TRUNC(F105*G105,2)</f>
        <v>2.76</v>
      </c>
      <c r="I105" s="272" t="n">
        <f aca="false">I104</f>
        <v>28</v>
      </c>
      <c r="K105" s="271"/>
      <c r="M105" s="271" t="n">
        <v>11.05</v>
      </c>
      <c r="N105" s="271" t="n">
        <f aca="false">TRUNC(F105*M105,2)</f>
        <v>2.76</v>
      </c>
      <c r="O105" s="272" t="n">
        <f aca="false">O104</f>
        <v>28</v>
      </c>
      <c r="Q105" s="271"/>
    </row>
    <row r="106" customFormat="false" ht="12.8" hidden="false" customHeight="false" outlineLevel="0" collapsed="false">
      <c r="B106" s="189" t="s">
        <v>254</v>
      </c>
      <c r="C106" s="269" t="n">
        <v>88310</v>
      </c>
      <c r="D106" s="189" t="s">
        <v>305</v>
      </c>
      <c r="E106" s="269" t="s">
        <v>250</v>
      </c>
      <c r="F106" s="270" t="n">
        <f aca="false">0.0666*1.5</f>
        <v>0.0999</v>
      </c>
      <c r="G106" s="271" t="n">
        <v>28.58</v>
      </c>
      <c r="H106" s="271" t="n">
        <f aca="false">TRUNC(F106*G106,2)</f>
        <v>2.85</v>
      </c>
      <c r="I106" s="272" t="n">
        <f aca="false">I104</f>
        <v>28</v>
      </c>
      <c r="K106" s="271" t="n">
        <f aca="false">F106*I106</f>
        <v>2.7972</v>
      </c>
      <c r="M106" s="271" t="n">
        <v>25.87</v>
      </c>
      <c r="N106" s="271" t="n">
        <f aca="false">TRUNC(F106*M106,2)</f>
        <v>2.58</v>
      </c>
      <c r="O106" s="272" t="n">
        <f aca="false">O105</f>
        <v>28</v>
      </c>
      <c r="Q106" s="271" t="n">
        <f aca="false">F106*O106</f>
        <v>2.7972</v>
      </c>
    </row>
    <row r="107" customFormat="false" ht="12.8" hidden="false" customHeight="false" outlineLevel="0" collapsed="false">
      <c r="B107" s="189" t="s">
        <v>254</v>
      </c>
      <c r="C107" s="269" t="n">
        <v>88316</v>
      </c>
      <c r="D107" s="189" t="s">
        <v>256</v>
      </c>
      <c r="E107" s="269" t="s">
        <v>250</v>
      </c>
      <c r="F107" s="270" t="n">
        <f aca="false">0.0222*1.5</f>
        <v>0.0333</v>
      </c>
      <c r="G107" s="271" t="n">
        <v>19.94</v>
      </c>
      <c r="H107" s="271" t="n">
        <f aca="false">TRUNC(F107*G107,2)</f>
        <v>0.66</v>
      </c>
      <c r="I107" s="272" t="n">
        <f aca="false">I105</f>
        <v>28</v>
      </c>
      <c r="K107" s="271" t="n">
        <f aca="false">F107*I107</f>
        <v>0.9324</v>
      </c>
      <c r="M107" s="271" t="n">
        <v>18.12</v>
      </c>
      <c r="N107" s="271" t="n">
        <f aca="false">TRUNC(F107*M107,2)</f>
        <v>0.6</v>
      </c>
      <c r="O107" s="272" t="n">
        <f aca="false">O106</f>
        <v>28</v>
      </c>
      <c r="Q107" s="271" t="n">
        <f aca="false">F107*O107</f>
        <v>0.9324</v>
      </c>
    </row>
    <row r="108" customFormat="false" ht="24.35" hidden="false" customHeight="false" outlineLevel="0" collapsed="false">
      <c r="B108" s="285" t="s">
        <v>311</v>
      </c>
      <c r="C108" s="282" t="n">
        <v>88489</v>
      </c>
      <c r="D108" s="281" t="s">
        <v>312</v>
      </c>
      <c r="E108" s="282" t="s">
        <v>292</v>
      </c>
      <c r="F108" s="283"/>
      <c r="G108" s="284"/>
      <c r="H108" s="284" t="n">
        <f aca="false">SUM(H109:H111)</f>
        <v>17.74</v>
      </c>
      <c r="I108" s="272" t="n">
        <f aca="false">I107</f>
        <v>28</v>
      </c>
      <c r="J108" s="272" t="n">
        <f aca="false">H108*I108</f>
        <v>496.72</v>
      </c>
      <c r="N108" s="284" t="n">
        <f aca="false">SUM(N109:N111)</f>
        <v>16.92</v>
      </c>
      <c r="O108" s="272" t="n">
        <f aca="false">I108</f>
        <v>28</v>
      </c>
      <c r="P108" s="272" t="n">
        <f aca="false">N108*O108</f>
        <v>473.76</v>
      </c>
    </row>
    <row r="109" customFormat="false" ht="13.1" hidden="false" customHeight="false" outlineLevel="0" collapsed="false">
      <c r="B109" s="189" t="s">
        <v>264</v>
      </c>
      <c r="C109" s="269" t="n">
        <v>7356</v>
      </c>
      <c r="D109" s="286" t="s">
        <v>313</v>
      </c>
      <c r="E109" s="269" t="s">
        <v>310</v>
      </c>
      <c r="F109" s="270" t="n">
        <f aca="false">0.2285*1.5</f>
        <v>0.34275</v>
      </c>
      <c r="G109" s="271" t="n">
        <v>26.64</v>
      </c>
      <c r="H109" s="271" t="n">
        <f aca="false">TRUNC(F109*G109,2)</f>
        <v>9.13</v>
      </c>
      <c r="I109" s="272" t="n">
        <f aca="false">I108</f>
        <v>28</v>
      </c>
      <c r="K109" s="271"/>
      <c r="M109" s="271" t="n">
        <v>26.64</v>
      </c>
      <c r="N109" s="271" t="n">
        <f aca="false">TRUNC(F109*M109,2)</f>
        <v>9.13</v>
      </c>
      <c r="O109" s="272" t="n">
        <f aca="false">O108</f>
        <v>28</v>
      </c>
      <c r="Q109" s="271"/>
    </row>
    <row r="110" customFormat="false" ht="13.1" hidden="false" customHeight="false" outlineLevel="0" collapsed="false">
      <c r="B110" s="189" t="s">
        <v>254</v>
      </c>
      <c r="C110" s="269" t="n">
        <v>88310</v>
      </c>
      <c r="D110" s="286" t="s">
        <v>305</v>
      </c>
      <c r="E110" s="269" t="s">
        <v>250</v>
      </c>
      <c r="F110" s="270" t="n">
        <f aca="false">0.1631*1.5</f>
        <v>0.24465</v>
      </c>
      <c r="G110" s="271" t="n">
        <v>28.58</v>
      </c>
      <c r="H110" s="271" t="n">
        <f aca="false">TRUNC(F110*G110,2)</f>
        <v>6.99</v>
      </c>
      <c r="I110" s="272" t="n">
        <f aca="false">I108</f>
        <v>28</v>
      </c>
      <c r="K110" s="271" t="n">
        <f aca="false">F110*I110</f>
        <v>6.8502</v>
      </c>
      <c r="M110" s="271" t="n">
        <v>25.87</v>
      </c>
      <c r="N110" s="271" t="n">
        <f aca="false">TRUNC(F110*M110,2)</f>
        <v>6.32</v>
      </c>
      <c r="O110" s="272" t="n">
        <f aca="false">O109</f>
        <v>28</v>
      </c>
      <c r="Q110" s="271" t="n">
        <f aca="false">F110*O110</f>
        <v>6.8502</v>
      </c>
    </row>
    <row r="111" customFormat="false" ht="13.1" hidden="false" customHeight="false" outlineLevel="0" collapsed="false">
      <c r="B111" s="189" t="s">
        <v>254</v>
      </c>
      <c r="C111" s="269" t="n">
        <v>88316</v>
      </c>
      <c r="D111" s="286" t="s">
        <v>256</v>
      </c>
      <c r="E111" s="269" t="s">
        <v>250</v>
      </c>
      <c r="F111" s="270" t="n">
        <f aca="false">0.0544*1.5</f>
        <v>0.0816</v>
      </c>
      <c r="G111" s="271" t="n">
        <v>19.94</v>
      </c>
      <c r="H111" s="271" t="n">
        <f aca="false">TRUNC(F111*G111,2)</f>
        <v>1.62</v>
      </c>
      <c r="I111" s="272" t="n">
        <f aca="false">I109</f>
        <v>28</v>
      </c>
      <c r="K111" s="271" t="n">
        <f aca="false">F111*I111</f>
        <v>2.2848</v>
      </c>
      <c r="M111" s="271" t="n">
        <v>18.12</v>
      </c>
      <c r="N111" s="271" t="n">
        <f aca="false">TRUNC(F111*M111,2)</f>
        <v>1.47</v>
      </c>
      <c r="O111" s="272" t="n">
        <f aca="false">O110</f>
        <v>28</v>
      </c>
      <c r="Q111" s="271" t="n">
        <f aca="false">F111*O111</f>
        <v>2.2848</v>
      </c>
    </row>
    <row r="115" customFormat="false" ht="24.35" hidden="false" customHeight="false" outlineLevel="0" collapsed="false">
      <c r="B115" s="276" t="s">
        <v>243</v>
      </c>
      <c r="C115" s="276" t="s">
        <v>244</v>
      </c>
      <c r="D115" s="277" t="s">
        <v>25</v>
      </c>
      <c r="E115" s="276" t="s">
        <v>9</v>
      </c>
      <c r="F115" s="278" t="s">
        <v>245</v>
      </c>
      <c r="G115" s="279" t="s">
        <v>246</v>
      </c>
      <c r="H115" s="279" t="s">
        <v>247</v>
      </c>
      <c r="I115" s="280" t="s">
        <v>248</v>
      </c>
      <c r="J115" s="280" t="s">
        <v>249</v>
      </c>
      <c r="K115" s="280" t="s">
        <v>250</v>
      </c>
      <c r="M115" s="279" t="s">
        <v>246</v>
      </c>
      <c r="N115" s="279" t="s">
        <v>247</v>
      </c>
      <c r="O115" s="280" t="s">
        <v>248</v>
      </c>
      <c r="P115" s="280" t="s">
        <v>249</v>
      </c>
      <c r="Q115" s="280" t="s">
        <v>250</v>
      </c>
    </row>
    <row r="116" customFormat="false" ht="24.35" hidden="false" customHeight="false" outlineLevel="0" collapsed="false">
      <c r="A116" s="94" t="s">
        <v>58</v>
      </c>
      <c r="B116" s="285" t="s">
        <v>314</v>
      </c>
      <c r="C116" s="282" t="n">
        <v>99804</v>
      </c>
      <c r="D116" s="281" t="s">
        <v>315</v>
      </c>
      <c r="E116" s="282" t="s">
        <v>292</v>
      </c>
      <c r="F116" s="283"/>
      <c r="G116" s="284"/>
      <c r="H116" s="284" t="n">
        <f aca="false">SUM(H117:H118)</f>
        <v>5.03</v>
      </c>
      <c r="I116" s="272" t="n">
        <f aca="false">PL_ORC_ANALIT!H22</f>
        <v>40</v>
      </c>
      <c r="J116" s="272" t="n">
        <f aca="false">H116*I116</f>
        <v>201.2</v>
      </c>
      <c r="N116" s="284" t="n">
        <f aca="false">SUM(N117:N118)</f>
        <v>4.58</v>
      </c>
      <c r="O116" s="272" t="n">
        <f aca="false">I116</f>
        <v>40</v>
      </c>
      <c r="P116" s="272" t="n">
        <f aca="false">N116*O116</f>
        <v>183.2</v>
      </c>
      <c r="Q116" s="269" t="n">
        <f aca="false">SUM(Q117:Q118)</f>
        <v>9.92</v>
      </c>
    </row>
    <row r="117" customFormat="false" ht="12.8" hidden="false" customHeight="false" outlineLevel="0" collapsed="false">
      <c r="B117" s="189" t="s">
        <v>264</v>
      </c>
      <c r="C117" s="269" t="n">
        <v>44329</v>
      </c>
      <c r="D117" s="189" t="s">
        <v>316</v>
      </c>
      <c r="E117" s="269" t="s">
        <v>310</v>
      </c>
      <c r="F117" s="270" t="n">
        <f aca="false">0.006</f>
        <v>0.006</v>
      </c>
      <c r="G117" s="271" t="n">
        <v>16.18</v>
      </c>
      <c r="H117" s="271" t="n">
        <f aca="false">TRUNC(F117*G117,2)</f>
        <v>0.09</v>
      </c>
      <c r="I117" s="272" t="n">
        <f aca="false">I116</f>
        <v>40</v>
      </c>
      <c r="K117" s="271"/>
      <c r="M117" s="271" t="n">
        <v>16.18</v>
      </c>
      <c r="N117" s="271" t="n">
        <f aca="false">TRUNC(F117*M117,2)</f>
        <v>0.09</v>
      </c>
      <c r="O117" s="272" t="n">
        <f aca="false">O116</f>
        <v>40</v>
      </c>
      <c r="Q117" s="271"/>
    </row>
    <row r="118" customFormat="false" ht="12.8" hidden="false" customHeight="false" outlineLevel="0" collapsed="false">
      <c r="B118" s="189" t="s">
        <v>254</v>
      </c>
      <c r="C118" s="269" t="n">
        <v>88316</v>
      </c>
      <c r="D118" s="189" t="s">
        <v>256</v>
      </c>
      <c r="E118" s="269" t="s">
        <v>250</v>
      </c>
      <c r="F118" s="270" t="n">
        <v>0.248</v>
      </c>
      <c r="G118" s="271" t="n">
        <v>19.94</v>
      </c>
      <c r="H118" s="271" t="n">
        <f aca="false">TRUNC(F118*G118,2)</f>
        <v>4.94</v>
      </c>
      <c r="I118" s="272" t="n">
        <f aca="false">I116</f>
        <v>40</v>
      </c>
      <c r="K118" s="271" t="n">
        <f aca="false">F118*I118</f>
        <v>9.92</v>
      </c>
      <c r="M118" s="271" t="n">
        <v>18.12</v>
      </c>
      <c r="N118" s="271" t="n">
        <f aca="false">TRUNC(F118*M118,2)</f>
        <v>4.49</v>
      </c>
      <c r="O118" s="272" t="n">
        <f aca="false">O117</f>
        <v>40</v>
      </c>
      <c r="Q118" s="271" t="n">
        <f aca="false">F118*O118</f>
        <v>9.92</v>
      </c>
    </row>
    <row r="122" customFormat="false" ht="15" hidden="false" customHeight="false" outlineLevel="0" collapsed="false">
      <c r="A122" s="89" t="n">
        <v>2</v>
      </c>
      <c r="B122" s="274" t="s">
        <v>60</v>
      </c>
      <c r="C122" s="89"/>
      <c r="D122" s="89"/>
      <c r="E122" s="109"/>
      <c r="F122" s="89"/>
      <c r="G122" s="89"/>
      <c r="H122" s="275"/>
      <c r="I122" s="89"/>
    </row>
    <row r="123" customFormat="false" ht="24.35" hidden="false" customHeight="false" outlineLevel="0" collapsed="false">
      <c r="B123" s="276" t="s">
        <v>243</v>
      </c>
      <c r="C123" s="276" t="s">
        <v>244</v>
      </c>
      <c r="D123" s="277" t="s">
        <v>25</v>
      </c>
      <c r="E123" s="276" t="s">
        <v>9</v>
      </c>
      <c r="F123" s="278" t="s">
        <v>245</v>
      </c>
      <c r="G123" s="279" t="s">
        <v>246</v>
      </c>
      <c r="H123" s="279" t="s">
        <v>247</v>
      </c>
      <c r="I123" s="280" t="s">
        <v>248</v>
      </c>
      <c r="J123" s="280" t="s">
        <v>249</v>
      </c>
      <c r="K123" s="280" t="s">
        <v>250</v>
      </c>
      <c r="M123" s="279" t="s">
        <v>246</v>
      </c>
      <c r="N123" s="279" t="s">
        <v>247</v>
      </c>
      <c r="O123" s="280" t="s">
        <v>248</v>
      </c>
      <c r="P123" s="280" t="s">
        <v>249</v>
      </c>
      <c r="Q123" s="280" t="s">
        <v>250</v>
      </c>
    </row>
    <row r="124" customFormat="false" ht="24.35" hidden="false" customHeight="false" outlineLevel="0" collapsed="false">
      <c r="A124" s="94" t="s">
        <v>61</v>
      </c>
      <c r="B124" s="285" t="s">
        <v>317</v>
      </c>
      <c r="C124" s="282" t="s">
        <v>62</v>
      </c>
      <c r="D124" s="281" t="s">
        <v>318</v>
      </c>
      <c r="E124" s="282" t="s">
        <v>259</v>
      </c>
      <c r="F124" s="283"/>
      <c r="G124" s="284"/>
      <c r="H124" s="284" t="n">
        <f aca="false">SUM(H125:H128)</f>
        <v>27.2</v>
      </c>
      <c r="I124" s="272" t="n">
        <f aca="false">PL_ORC_ANALIT!H25</f>
        <v>1</v>
      </c>
      <c r="J124" s="272" t="n">
        <f aca="false">H124*I124</f>
        <v>27.2</v>
      </c>
      <c r="N124" s="284" t="n">
        <f aca="false">SUM(N125:N128)</f>
        <v>24.46</v>
      </c>
      <c r="O124" s="272" t="n">
        <f aca="false">I124</f>
        <v>1</v>
      </c>
      <c r="P124" s="272" t="n">
        <f aca="false">N124*O124</f>
        <v>24.46</v>
      </c>
      <c r="Q124" s="269" t="n">
        <f aca="false">SUM(Q125:Q128)</f>
        <v>1.139</v>
      </c>
    </row>
    <row r="125" customFormat="false" ht="13.1" hidden="false" customHeight="false" outlineLevel="0" collapsed="false">
      <c r="B125" s="189" t="s">
        <v>264</v>
      </c>
      <c r="C125" s="269" t="n">
        <v>3148</v>
      </c>
      <c r="D125" s="286" t="s">
        <v>276</v>
      </c>
      <c r="E125" s="269" t="s">
        <v>259</v>
      </c>
      <c r="F125" s="270" t="n">
        <v>0.0354</v>
      </c>
      <c r="G125" s="271" t="n">
        <v>0</v>
      </c>
      <c r="H125" s="271" t="n">
        <f aca="false">TRUNC(F125*G125,2)</f>
        <v>0</v>
      </c>
      <c r="I125" s="272" t="n">
        <f aca="false">I124</f>
        <v>1</v>
      </c>
      <c r="K125" s="271"/>
      <c r="M125" s="271" t="n">
        <v>0</v>
      </c>
      <c r="N125" s="271" t="n">
        <f aca="false">TRUNC(F125*M125,2)</f>
        <v>0</v>
      </c>
      <c r="O125" s="272" t="n">
        <f aca="false">O124</f>
        <v>1</v>
      </c>
      <c r="Q125" s="271"/>
    </row>
    <row r="126" customFormat="false" ht="24.35" hidden="false" customHeight="false" outlineLevel="0" collapsed="false">
      <c r="B126" s="189" t="s">
        <v>264</v>
      </c>
      <c r="C126" s="269" t="n">
        <v>6012</v>
      </c>
      <c r="D126" s="286" t="s">
        <v>319</v>
      </c>
      <c r="E126" s="269" t="s">
        <v>259</v>
      </c>
      <c r="F126" s="270" t="n">
        <v>1</v>
      </c>
      <c r="G126" s="271" t="n">
        <v>0</v>
      </c>
      <c r="H126" s="271" t="n">
        <f aca="false">TRUNC(F126*G126,2)</f>
        <v>0</v>
      </c>
      <c r="I126" s="272" t="n">
        <f aca="false">I124</f>
        <v>1</v>
      </c>
      <c r="K126" s="271"/>
      <c r="M126" s="271" t="n">
        <v>0</v>
      </c>
      <c r="N126" s="271" t="n">
        <f aca="false">TRUNC(F126*M126,2)</f>
        <v>0</v>
      </c>
      <c r="O126" s="272" t="n">
        <f aca="false">O125</f>
        <v>1</v>
      </c>
      <c r="Q126" s="271"/>
    </row>
    <row r="127" customFormat="false" ht="24.35" hidden="false" customHeight="false" outlineLevel="0" collapsed="false">
      <c r="B127" s="189" t="s">
        <v>254</v>
      </c>
      <c r="C127" s="269" t="n">
        <v>88248</v>
      </c>
      <c r="D127" s="286" t="s">
        <v>266</v>
      </c>
      <c r="E127" s="269" t="s">
        <v>250</v>
      </c>
      <c r="F127" s="270" t="n">
        <v>0.5695</v>
      </c>
      <c r="G127" s="271" t="n">
        <v>21.45</v>
      </c>
      <c r="H127" s="271" t="n">
        <f aca="false">TRUNC(F127*G127,2)</f>
        <v>12.21</v>
      </c>
      <c r="I127" s="272" t="n">
        <f aca="false">I125</f>
        <v>1</v>
      </c>
      <c r="K127" s="271" t="n">
        <f aca="false">F127*I127</f>
        <v>0.5695</v>
      </c>
      <c r="M127" s="271" t="n">
        <v>19.36</v>
      </c>
      <c r="N127" s="271" t="n">
        <f aca="false">TRUNC(F127*M127,2)</f>
        <v>11.02</v>
      </c>
      <c r="O127" s="272" t="n">
        <f aca="false">O126</f>
        <v>1</v>
      </c>
      <c r="Q127" s="271" t="n">
        <f aca="false">F127*O127</f>
        <v>0.5695</v>
      </c>
    </row>
    <row r="128" customFormat="false" ht="24.35" hidden="false" customHeight="false" outlineLevel="0" collapsed="false">
      <c r="B128" s="189" t="s">
        <v>254</v>
      </c>
      <c r="C128" s="269" t="n">
        <v>88267</v>
      </c>
      <c r="D128" s="286" t="s">
        <v>267</v>
      </c>
      <c r="E128" s="269" t="s">
        <v>250</v>
      </c>
      <c r="F128" s="270" t="n">
        <v>0.5695</v>
      </c>
      <c r="G128" s="271" t="n">
        <v>26.33</v>
      </c>
      <c r="H128" s="271" t="n">
        <f aca="false">TRUNC(F128*G128,2)</f>
        <v>14.99</v>
      </c>
      <c r="I128" s="272" t="n">
        <f aca="false">I126</f>
        <v>1</v>
      </c>
      <c r="K128" s="271" t="n">
        <f aca="false">F128*I128</f>
        <v>0.5695</v>
      </c>
      <c r="M128" s="271" t="n">
        <v>23.61</v>
      </c>
      <c r="N128" s="271" t="n">
        <f aca="false">TRUNC(F128*M128,2)</f>
        <v>13.44</v>
      </c>
      <c r="O128" s="272" t="n">
        <f aca="false">O127</f>
        <v>1</v>
      </c>
      <c r="Q128" s="271" t="n">
        <f aca="false">F128*O128</f>
        <v>0.5695</v>
      </c>
    </row>
    <row r="132" customFormat="false" ht="24.35" hidden="false" customHeight="false" outlineLevel="0" collapsed="false">
      <c r="B132" s="276" t="s">
        <v>243</v>
      </c>
      <c r="C132" s="276" t="s">
        <v>244</v>
      </c>
      <c r="D132" s="277" t="s">
        <v>25</v>
      </c>
      <c r="E132" s="276" t="s">
        <v>9</v>
      </c>
      <c r="F132" s="278" t="s">
        <v>245</v>
      </c>
      <c r="G132" s="279" t="s">
        <v>246</v>
      </c>
      <c r="H132" s="279" t="s">
        <v>247</v>
      </c>
      <c r="I132" s="280" t="s">
        <v>248</v>
      </c>
      <c r="J132" s="280" t="s">
        <v>249</v>
      </c>
      <c r="K132" s="280" t="s">
        <v>250</v>
      </c>
      <c r="M132" s="279" t="s">
        <v>246</v>
      </c>
      <c r="N132" s="279" t="s">
        <v>247</v>
      </c>
      <c r="O132" s="280" t="s">
        <v>248</v>
      </c>
      <c r="P132" s="280" t="s">
        <v>249</v>
      </c>
      <c r="Q132" s="280" t="s">
        <v>250</v>
      </c>
    </row>
    <row r="133" customFormat="false" ht="24.35" hidden="false" customHeight="false" outlineLevel="0" collapsed="false">
      <c r="A133" s="94" t="s">
        <v>64</v>
      </c>
      <c r="B133" s="285" t="s">
        <v>320</v>
      </c>
      <c r="C133" s="282" t="s">
        <v>65</v>
      </c>
      <c r="D133" s="281" t="s">
        <v>321</v>
      </c>
      <c r="E133" s="282" t="s">
        <v>259</v>
      </c>
      <c r="F133" s="283"/>
      <c r="G133" s="284"/>
      <c r="H133" s="284" t="n">
        <f aca="false">SUM(H134:H137)</f>
        <v>21.71</v>
      </c>
      <c r="I133" s="272" t="n">
        <f aca="false">PL_ORC_ANALIT!H26</f>
        <v>2</v>
      </c>
      <c r="J133" s="272" t="n">
        <f aca="false">H133*I133</f>
        <v>43.42</v>
      </c>
      <c r="N133" s="284" t="n">
        <f aca="false">SUM(N134:N137)</f>
        <v>19.53</v>
      </c>
      <c r="O133" s="272" t="n">
        <f aca="false">I133</f>
        <v>2</v>
      </c>
      <c r="P133" s="272" t="n">
        <f aca="false">N133*O133</f>
        <v>39.06</v>
      </c>
      <c r="Q133" s="269" t="n">
        <f aca="false">SUM(Q134:Q137)</f>
        <v>1.8184</v>
      </c>
    </row>
    <row r="134" customFormat="false" ht="13.1" hidden="false" customHeight="false" outlineLevel="0" collapsed="false">
      <c r="B134" s="189" t="s">
        <v>264</v>
      </c>
      <c r="C134" s="269" t="n">
        <v>3148</v>
      </c>
      <c r="D134" s="286" t="s">
        <v>276</v>
      </c>
      <c r="E134" s="269" t="s">
        <v>259</v>
      </c>
      <c r="F134" s="270" t="n">
        <v>0.0302</v>
      </c>
      <c r="H134" s="271" t="n">
        <f aca="false">TRUNC(F134*G134,2)</f>
        <v>0</v>
      </c>
      <c r="I134" s="272" t="n">
        <f aca="false">I133</f>
        <v>2</v>
      </c>
      <c r="K134" s="271"/>
      <c r="M134" s="271" t="n">
        <v>0</v>
      </c>
      <c r="N134" s="271" t="n">
        <f aca="false">TRUNC(F134*M134,2)</f>
        <v>0</v>
      </c>
      <c r="O134" s="272" t="n">
        <f aca="false">O133</f>
        <v>2</v>
      </c>
      <c r="Q134" s="271"/>
    </row>
    <row r="135" customFormat="false" ht="24.35" hidden="false" customHeight="false" outlineLevel="0" collapsed="false">
      <c r="B135" s="189" t="s">
        <v>264</v>
      </c>
      <c r="C135" s="269" t="n">
        <v>6011</v>
      </c>
      <c r="D135" s="286" t="s">
        <v>322</v>
      </c>
      <c r="E135" s="269" t="s">
        <v>259</v>
      </c>
      <c r="F135" s="270" t="n">
        <v>1</v>
      </c>
      <c r="H135" s="271" t="n">
        <f aca="false">TRUNC(F135*G135,2)</f>
        <v>0</v>
      </c>
      <c r="I135" s="272" t="n">
        <f aca="false">I133</f>
        <v>2</v>
      </c>
      <c r="K135" s="271"/>
      <c r="M135" s="271" t="n">
        <v>0</v>
      </c>
      <c r="N135" s="271" t="n">
        <f aca="false">TRUNC(F135*M135,2)</f>
        <v>0</v>
      </c>
      <c r="O135" s="272" t="n">
        <f aca="false">O134</f>
        <v>2</v>
      </c>
      <c r="Q135" s="271"/>
    </row>
    <row r="136" customFormat="false" ht="24.35" hidden="false" customHeight="false" outlineLevel="0" collapsed="false">
      <c r="B136" s="189" t="s">
        <v>254</v>
      </c>
      <c r="C136" s="269" t="n">
        <v>88248</v>
      </c>
      <c r="D136" s="286" t="s">
        <v>266</v>
      </c>
      <c r="E136" s="269" t="s">
        <v>250</v>
      </c>
      <c r="F136" s="270" t="n">
        <v>0.4546</v>
      </c>
      <c r="G136" s="271" t="n">
        <v>21.45</v>
      </c>
      <c r="H136" s="271" t="n">
        <f aca="false">TRUNC(F136*G136,2)</f>
        <v>9.75</v>
      </c>
      <c r="I136" s="272" t="n">
        <f aca="false">I134</f>
        <v>2</v>
      </c>
      <c r="K136" s="271" t="n">
        <f aca="false">F136*I136</f>
        <v>0.9092</v>
      </c>
      <c r="M136" s="271" t="n">
        <v>19.36</v>
      </c>
      <c r="N136" s="271" t="n">
        <f aca="false">TRUNC(F136*M136,2)</f>
        <v>8.8</v>
      </c>
      <c r="O136" s="272" t="n">
        <f aca="false">O135</f>
        <v>2</v>
      </c>
      <c r="Q136" s="271" t="n">
        <f aca="false">F136*O136</f>
        <v>0.9092</v>
      </c>
    </row>
    <row r="137" customFormat="false" ht="24.35" hidden="false" customHeight="false" outlineLevel="0" collapsed="false">
      <c r="B137" s="189" t="s">
        <v>254</v>
      </c>
      <c r="C137" s="269" t="n">
        <v>88267</v>
      </c>
      <c r="D137" s="286" t="s">
        <v>267</v>
      </c>
      <c r="E137" s="269" t="s">
        <v>250</v>
      </c>
      <c r="F137" s="270" t="n">
        <v>0.4546</v>
      </c>
      <c r="G137" s="271" t="n">
        <v>26.33</v>
      </c>
      <c r="H137" s="271" t="n">
        <f aca="false">TRUNC(F137*G137,2)</f>
        <v>11.96</v>
      </c>
      <c r="I137" s="272" t="n">
        <f aca="false">I135</f>
        <v>2</v>
      </c>
      <c r="K137" s="271" t="n">
        <f aca="false">F137*I137</f>
        <v>0.9092</v>
      </c>
      <c r="M137" s="271" t="n">
        <v>23.61</v>
      </c>
      <c r="N137" s="271" t="n">
        <f aca="false">TRUNC(F137*M137,2)</f>
        <v>10.73</v>
      </c>
      <c r="O137" s="272" t="n">
        <f aca="false">O136</f>
        <v>2</v>
      </c>
      <c r="Q137" s="271" t="n">
        <f aca="false">F137*O137</f>
        <v>0.9092</v>
      </c>
    </row>
    <row r="141" customFormat="false" ht="24.35" hidden="false" customHeight="false" outlineLevel="0" collapsed="false">
      <c r="B141" s="276" t="s">
        <v>243</v>
      </c>
      <c r="C141" s="276" t="s">
        <v>244</v>
      </c>
      <c r="D141" s="277" t="s">
        <v>25</v>
      </c>
      <c r="E141" s="276" t="s">
        <v>9</v>
      </c>
      <c r="F141" s="278" t="s">
        <v>245</v>
      </c>
      <c r="G141" s="279" t="s">
        <v>246</v>
      </c>
      <c r="H141" s="279" t="s">
        <v>247</v>
      </c>
      <c r="I141" s="280" t="s">
        <v>248</v>
      </c>
      <c r="J141" s="280" t="s">
        <v>249</v>
      </c>
      <c r="K141" s="280" t="s">
        <v>250</v>
      </c>
      <c r="M141" s="279" t="s">
        <v>246</v>
      </c>
      <c r="N141" s="279" t="s">
        <v>247</v>
      </c>
      <c r="O141" s="280" t="s">
        <v>248</v>
      </c>
      <c r="P141" s="280" t="s">
        <v>249</v>
      </c>
      <c r="Q141" s="280" t="s">
        <v>250</v>
      </c>
    </row>
    <row r="142" customFormat="false" ht="24.35" hidden="false" customHeight="false" outlineLevel="0" collapsed="false">
      <c r="A142" s="94" t="s">
        <v>67</v>
      </c>
      <c r="B142" s="285" t="s">
        <v>317</v>
      </c>
      <c r="C142" s="282" t="n">
        <v>94500</v>
      </c>
      <c r="D142" s="281" t="s">
        <v>318</v>
      </c>
      <c r="E142" s="282" t="s">
        <v>259</v>
      </c>
      <c r="F142" s="283"/>
      <c r="G142" s="284"/>
      <c r="H142" s="284" t="n">
        <f aca="false">SUM(H143:H146)</f>
        <v>480.45</v>
      </c>
      <c r="I142" s="272" t="n">
        <f aca="false">PL_ORC_ANALIT!H27</f>
        <v>1</v>
      </c>
      <c r="J142" s="272" t="n">
        <f aca="false">H142*I142</f>
        <v>480.45</v>
      </c>
      <c r="N142" s="284" t="n">
        <f aca="false">SUM(N143:N146)</f>
        <v>477.71</v>
      </c>
      <c r="O142" s="272" t="n">
        <f aca="false">I142</f>
        <v>1</v>
      </c>
      <c r="P142" s="272" t="n">
        <f aca="false">N142*O142</f>
        <v>477.71</v>
      </c>
      <c r="Q142" s="269" t="n">
        <f aca="false">SUM(Q143:Q146)</f>
        <v>1.139</v>
      </c>
    </row>
    <row r="143" customFormat="false" ht="13.1" hidden="false" customHeight="false" outlineLevel="0" collapsed="false">
      <c r="B143" s="189" t="s">
        <v>264</v>
      </c>
      <c r="C143" s="269" t="n">
        <v>3148</v>
      </c>
      <c r="D143" s="286" t="s">
        <v>276</v>
      </c>
      <c r="E143" s="269" t="s">
        <v>259</v>
      </c>
      <c r="F143" s="270" t="n">
        <v>0.0354</v>
      </c>
      <c r="G143" s="271" t="n">
        <v>12.76</v>
      </c>
      <c r="H143" s="271" t="n">
        <f aca="false">TRUNC(F143*G143,2)</f>
        <v>0.45</v>
      </c>
      <c r="I143" s="272" t="n">
        <f aca="false">I142</f>
        <v>1</v>
      </c>
      <c r="K143" s="271"/>
      <c r="M143" s="271" t="n">
        <v>12.76</v>
      </c>
      <c r="N143" s="271" t="n">
        <f aca="false">TRUNC(F143*M143,2)</f>
        <v>0.45</v>
      </c>
      <c r="O143" s="272" t="n">
        <f aca="false">O142</f>
        <v>1</v>
      </c>
      <c r="Q143" s="271"/>
    </row>
    <row r="144" customFormat="false" ht="24.35" hidden="false" customHeight="false" outlineLevel="0" collapsed="false">
      <c r="B144" s="189" t="s">
        <v>264</v>
      </c>
      <c r="C144" s="269" t="n">
        <v>6012</v>
      </c>
      <c r="D144" s="286" t="s">
        <v>319</v>
      </c>
      <c r="E144" s="269" t="s">
        <v>259</v>
      </c>
      <c r="F144" s="270" t="n">
        <v>1</v>
      </c>
      <c r="G144" s="271" t="n">
        <v>452.8</v>
      </c>
      <c r="H144" s="271" t="n">
        <f aca="false">TRUNC(F144*G144,2)</f>
        <v>452.8</v>
      </c>
      <c r="I144" s="272" t="n">
        <f aca="false">I142</f>
        <v>1</v>
      </c>
      <c r="K144" s="271"/>
      <c r="M144" s="271" t="n">
        <v>452.8</v>
      </c>
      <c r="N144" s="271" t="n">
        <f aca="false">TRUNC(F144*M144,2)</f>
        <v>452.8</v>
      </c>
      <c r="O144" s="272" t="n">
        <f aca="false">O143</f>
        <v>1</v>
      </c>
      <c r="Q144" s="271"/>
    </row>
    <row r="145" customFormat="false" ht="24.35" hidden="false" customHeight="false" outlineLevel="0" collapsed="false">
      <c r="B145" s="189" t="s">
        <v>254</v>
      </c>
      <c r="C145" s="269" t="n">
        <v>88248</v>
      </c>
      <c r="D145" s="286" t="s">
        <v>266</v>
      </c>
      <c r="E145" s="269" t="s">
        <v>250</v>
      </c>
      <c r="F145" s="270" t="n">
        <v>0.5695</v>
      </c>
      <c r="G145" s="271" t="n">
        <v>21.45</v>
      </c>
      <c r="H145" s="271" t="n">
        <f aca="false">TRUNC(F145*G145,2)</f>
        <v>12.21</v>
      </c>
      <c r="I145" s="272" t="n">
        <f aca="false">I143</f>
        <v>1</v>
      </c>
      <c r="K145" s="271" t="n">
        <f aca="false">F145*I145</f>
        <v>0.5695</v>
      </c>
      <c r="M145" s="271" t="n">
        <v>19.36</v>
      </c>
      <c r="N145" s="271" t="n">
        <f aca="false">TRUNC(F145*M145,2)</f>
        <v>11.02</v>
      </c>
      <c r="O145" s="272" t="n">
        <f aca="false">O144</f>
        <v>1</v>
      </c>
      <c r="Q145" s="271" t="n">
        <f aca="false">F145*O145</f>
        <v>0.5695</v>
      </c>
    </row>
    <row r="146" customFormat="false" ht="24.35" hidden="false" customHeight="false" outlineLevel="0" collapsed="false">
      <c r="B146" s="189" t="s">
        <v>254</v>
      </c>
      <c r="C146" s="269" t="n">
        <v>88267</v>
      </c>
      <c r="D146" s="286" t="s">
        <v>267</v>
      </c>
      <c r="E146" s="269" t="s">
        <v>250</v>
      </c>
      <c r="F146" s="270" t="n">
        <v>0.5695</v>
      </c>
      <c r="G146" s="271" t="n">
        <v>26.33</v>
      </c>
      <c r="H146" s="271" t="n">
        <f aca="false">TRUNC(F146*G146,2)</f>
        <v>14.99</v>
      </c>
      <c r="I146" s="272" t="n">
        <f aca="false">I144</f>
        <v>1</v>
      </c>
      <c r="K146" s="271" t="n">
        <f aca="false">F146*I146</f>
        <v>0.5695</v>
      </c>
      <c r="M146" s="271" t="n">
        <v>23.61</v>
      </c>
      <c r="N146" s="271" t="n">
        <f aca="false">TRUNC(F146*M146,2)</f>
        <v>13.44</v>
      </c>
      <c r="O146" s="272" t="n">
        <f aca="false">O145</f>
        <v>1</v>
      </c>
      <c r="Q146" s="271" t="n">
        <f aca="false">F146*O146</f>
        <v>0.5695</v>
      </c>
    </row>
    <row r="150" customFormat="false" ht="24.35" hidden="false" customHeight="false" outlineLevel="0" collapsed="false">
      <c r="B150" s="276" t="s">
        <v>243</v>
      </c>
      <c r="C150" s="276" t="s">
        <v>244</v>
      </c>
      <c r="D150" s="277" t="s">
        <v>25</v>
      </c>
      <c r="E150" s="276" t="s">
        <v>9</v>
      </c>
      <c r="F150" s="278" t="s">
        <v>245</v>
      </c>
      <c r="G150" s="279" t="s">
        <v>246</v>
      </c>
      <c r="H150" s="279" t="s">
        <v>247</v>
      </c>
      <c r="I150" s="280" t="s">
        <v>248</v>
      </c>
      <c r="J150" s="280" t="s">
        <v>249</v>
      </c>
      <c r="K150" s="280" t="s">
        <v>250</v>
      </c>
      <c r="M150" s="279" t="s">
        <v>246</v>
      </c>
      <c r="N150" s="279" t="s">
        <v>247</v>
      </c>
      <c r="O150" s="280" t="s">
        <v>248</v>
      </c>
      <c r="P150" s="280" t="s">
        <v>249</v>
      </c>
      <c r="Q150" s="280" t="s">
        <v>250</v>
      </c>
    </row>
    <row r="151" customFormat="false" ht="38.4" hidden="false" customHeight="false" outlineLevel="0" collapsed="false">
      <c r="A151" s="94" t="s">
        <v>70</v>
      </c>
      <c r="B151" s="288"/>
      <c r="C151" s="289" t="s">
        <v>71</v>
      </c>
      <c r="D151" s="293" t="s">
        <v>323</v>
      </c>
      <c r="E151" s="289" t="s">
        <v>259</v>
      </c>
      <c r="F151" s="291"/>
      <c r="G151" s="292"/>
      <c r="H151" s="292" t="n">
        <f aca="false">H152+H156</f>
        <v>444.52</v>
      </c>
      <c r="I151" s="272" t="n">
        <f aca="false">PL_ORC_ANALIT!H28</f>
        <v>1</v>
      </c>
      <c r="N151" s="292" t="n">
        <f aca="false">N152+N156</f>
        <v>439.73</v>
      </c>
      <c r="O151" s="272" t="n">
        <f aca="false">I151</f>
        <v>1</v>
      </c>
      <c r="P151" s="272"/>
      <c r="Q151" s="269" t="n">
        <f aca="false">SUM(Q152:Q161)</f>
        <v>1.994</v>
      </c>
    </row>
    <row r="152" customFormat="false" ht="35.6" hidden="false" customHeight="false" outlineLevel="0" collapsed="false">
      <c r="B152" s="285" t="s">
        <v>324</v>
      </c>
      <c r="C152" s="282" t="n">
        <v>92343</v>
      </c>
      <c r="D152" s="281" t="s">
        <v>325</v>
      </c>
      <c r="E152" s="282" t="s">
        <v>261</v>
      </c>
      <c r="F152" s="283"/>
      <c r="G152" s="284"/>
      <c r="H152" s="284" t="n">
        <f aca="false">SUM(H153:H155)</f>
        <v>161.97</v>
      </c>
      <c r="I152" s="272" t="n">
        <f aca="false">I151</f>
        <v>1</v>
      </c>
      <c r="J152" s="272" t="n">
        <f aca="false">H152*I152</f>
        <v>161.97</v>
      </c>
      <c r="N152" s="284" t="n">
        <f aca="false">SUM(N153:N155)</f>
        <v>159.27</v>
      </c>
      <c r="O152" s="272" t="n">
        <f aca="false">O151</f>
        <v>1</v>
      </c>
      <c r="P152" s="272" t="n">
        <f aca="false">N152*O152</f>
        <v>159.27</v>
      </c>
    </row>
    <row r="153" customFormat="false" ht="12.8" hidden="false" customHeight="false" outlineLevel="0" collapsed="false">
      <c r="B153" s="189" t="s">
        <v>264</v>
      </c>
      <c r="C153" s="269" t="n">
        <v>7694</v>
      </c>
      <c r="D153" s="189" t="s">
        <v>326</v>
      </c>
      <c r="E153" s="269" t="s">
        <v>261</v>
      </c>
      <c r="F153" s="270" t="n">
        <v>1.039</v>
      </c>
      <c r="G153" s="271" t="n">
        <v>130.06</v>
      </c>
      <c r="H153" s="271" t="n">
        <f aca="false">TRUNC(F153*G153,2)</f>
        <v>135.13</v>
      </c>
      <c r="I153" s="272" t="n">
        <f aca="false">I152</f>
        <v>1</v>
      </c>
      <c r="K153" s="271"/>
      <c r="M153" s="271" t="n">
        <v>130.06</v>
      </c>
      <c r="N153" s="271" t="n">
        <f aca="false">TRUNC(F153*M153,2)</f>
        <v>135.13</v>
      </c>
      <c r="O153" s="272" t="n">
        <f aca="false">O152</f>
        <v>1</v>
      </c>
      <c r="Q153" s="271"/>
    </row>
    <row r="154" customFormat="false" ht="12.8" hidden="false" customHeight="false" outlineLevel="0" collapsed="false">
      <c r="B154" s="189" t="s">
        <v>254</v>
      </c>
      <c r="C154" s="269" t="n">
        <v>88248</v>
      </c>
      <c r="D154" s="189" t="s">
        <v>266</v>
      </c>
      <c r="E154" s="269" t="s">
        <v>250</v>
      </c>
      <c r="F154" s="270" t="n">
        <v>0.562</v>
      </c>
      <c r="G154" s="271" t="n">
        <v>21.45</v>
      </c>
      <c r="H154" s="271" t="n">
        <f aca="false">TRUNC(F154*G154,2)</f>
        <v>12.05</v>
      </c>
      <c r="I154" s="272" t="n">
        <f aca="false">I152</f>
        <v>1</v>
      </c>
      <c r="K154" s="271" t="n">
        <f aca="false">F154*I154</f>
        <v>0.562</v>
      </c>
      <c r="M154" s="271" t="n">
        <v>19.36</v>
      </c>
      <c r="N154" s="271" t="n">
        <f aca="false">TRUNC(F154*M154,2)</f>
        <v>10.88</v>
      </c>
      <c r="O154" s="272" t="n">
        <f aca="false">O153</f>
        <v>1</v>
      </c>
      <c r="Q154" s="271" t="n">
        <f aca="false">F154*O154</f>
        <v>0.562</v>
      </c>
    </row>
    <row r="155" customFormat="false" ht="12.8" hidden="false" customHeight="false" outlineLevel="0" collapsed="false">
      <c r="B155" s="189" t="s">
        <v>254</v>
      </c>
      <c r="C155" s="269" t="n">
        <v>88267</v>
      </c>
      <c r="D155" s="189" t="s">
        <v>267</v>
      </c>
      <c r="E155" s="269" t="s">
        <v>250</v>
      </c>
      <c r="F155" s="270" t="n">
        <v>0.562</v>
      </c>
      <c r="G155" s="271" t="n">
        <v>26.33</v>
      </c>
      <c r="H155" s="271" t="n">
        <f aca="false">TRUNC(F155*G155,2)</f>
        <v>14.79</v>
      </c>
      <c r="I155" s="272" t="n">
        <f aca="false">I153</f>
        <v>1</v>
      </c>
      <c r="K155" s="271" t="n">
        <f aca="false">F155*I155</f>
        <v>0.562</v>
      </c>
      <c r="M155" s="271" t="n">
        <v>23.61</v>
      </c>
      <c r="N155" s="271" t="n">
        <f aca="false">TRUNC(F155*M155,2)</f>
        <v>13.26</v>
      </c>
      <c r="O155" s="272" t="n">
        <f aca="false">O154</f>
        <v>1</v>
      </c>
      <c r="Q155" s="271" t="n">
        <f aca="false">F155*O155</f>
        <v>0.562</v>
      </c>
    </row>
    <row r="156" customFormat="false" ht="35.6" hidden="false" customHeight="false" outlineLevel="0" collapsed="false">
      <c r="B156" s="285" t="s">
        <v>327</v>
      </c>
      <c r="C156" s="282" t="n">
        <v>92903</v>
      </c>
      <c r="D156" s="281" t="s">
        <v>328</v>
      </c>
      <c r="E156" s="282" t="s">
        <v>259</v>
      </c>
      <c r="F156" s="283"/>
      <c r="G156" s="284"/>
      <c r="H156" s="284" t="n">
        <f aca="false">SUM(H157:H161)</f>
        <v>282.55</v>
      </c>
      <c r="I156" s="272" t="n">
        <f aca="false">PL_ORC_ANALIT!H28</f>
        <v>1</v>
      </c>
      <c r="J156" s="272" t="n">
        <f aca="false">H156*I156</f>
        <v>282.55</v>
      </c>
      <c r="N156" s="284" t="n">
        <f aca="false">SUM(N157:N161)</f>
        <v>280.46</v>
      </c>
      <c r="O156" s="272" t="n">
        <f aca="false">I156</f>
        <v>1</v>
      </c>
      <c r="P156" s="272" t="n">
        <f aca="false">N156*O156</f>
        <v>280.46</v>
      </c>
    </row>
    <row r="157" customFormat="false" ht="12.8" hidden="false" customHeight="false" outlineLevel="0" collapsed="false">
      <c r="B157" s="189" t="s">
        <v>264</v>
      </c>
      <c r="C157" s="269" t="n">
        <v>3148</v>
      </c>
      <c r="D157" s="189" t="s">
        <v>276</v>
      </c>
      <c r="E157" s="269" t="s">
        <v>259</v>
      </c>
      <c r="F157" s="270" t="n">
        <v>0.035</v>
      </c>
      <c r="G157" s="271" t="n">
        <v>12.76</v>
      </c>
      <c r="H157" s="271" t="n">
        <f aca="false">TRUNC(F157*G157,2)</f>
        <v>0.44</v>
      </c>
      <c r="I157" s="272" t="n">
        <f aca="false">I156</f>
        <v>1</v>
      </c>
      <c r="K157" s="271"/>
      <c r="M157" s="271" t="n">
        <v>12.76</v>
      </c>
      <c r="N157" s="271" t="n">
        <f aca="false">TRUNC(F157*M157,2)</f>
        <v>0.44</v>
      </c>
      <c r="O157" s="272" t="n">
        <f aca="false">O156</f>
        <v>1</v>
      </c>
      <c r="Q157" s="271"/>
    </row>
    <row r="158" customFormat="false" ht="12.8" hidden="false" customHeight="false" outlineLevel="0" collapsed="false">
      <c r="B158" s="189" t="s">
        <v>264</v>
      </c>
      <c r="C158" s="269" t="n">
        <v>7307</v>
      </c>
      <c r="D158" s="189" t="s">
        <v>329</v>
      </c>
      <c r="E158" s="269" t="s">
        <v>310</v>
      </c>
      <c r="F158" s="270" t="n">
        <v>0.008</v>
      </c>
      <c r="G158" s="271" t="n">
        <v>51.77</v>
      </c>
      <c r="H158" s="271" t="n">
        <f aca="false">TRUNC(F158*G158,2)</f>
        <v>0.41</v>
      </c>
      <c r="I158" s="272" t="n">
        <f aca="false">I156</f>
        <v>1</v>
      </c>
      <c r="K158" s="271"/>
      <c r="M158" s="271" t="n">
        <v>51.77</v>
      </c>
      <c r="N158" s="271" t="n">
        <f aca="false">TRUNC(F158*M158,2)</f>
        <v>0.41</v>
      </c>
      <c r="O158" s="272" t="n">
        <f aca="false">O157</f>
        <v>1</v>
      </c>
      <c r="Q158" s="271"/>
    </row>
    <row r="159" customFormat="false" ht="12.8" hidden="false" customHeight="false" outlineLevel="0" collapsed="false">
      <c r="B159" s="189" t="s">
        <v>264</v>
      </c>
      <c r="C159" s="269" t="n">
        <v>9890</v>
      </c>
      <c r="D159" s="189" t="s">
        <v>330</v>
      </c>
      <c r="E159" s="269" t="s">
        <v>259</v>
      </c>
      <c r="F159" s="270" t="n">
        <v>1</v>
      </c>
      <c r="G159" s="271" t="n">
        <v>260.92</v>
      </c>
      <c r="H159" s="271" t="n">
        <f aca="false">TRUNC(F159*G159,2)</f>
        <v>260.92</v>
      </c>
      <c r="I159" s="272" t="n">
        <f aca="false">I157</f>
        <v>1</v>
      </c>
      <c r="K159" s="271"/>
      <c r="M159" s="271" t="n">
        <v>260.92</v>
      </c>
      <c r="N159" s="271" t="n">
        <f aca="false">TRUNC(F159*M159,2)</f>
        <v>260.92</v>
      </c>
      <c r="O159" s="272" t="n">
        <f aca="false">O158</f>
        <v>1</v>
      </c>
      <c r="Q159" s="271"/>
    </row>
    <row r="160" customFormat="false" ht="12.8" hidden="false" customHeight="false" outlineLevel="0" collapsed="false">
      <c r="B160" s="189" t="s">
        <v>254</v>
      </c>
      <c r="C160" s="269" t="n">
        <v>88248</v>
      </c>
      <c r="D160" s="189" t="s">
        <v>266</v>
      </c>
      <c r="E160" s="269" t="s">
        <v>250</v>
      </c>
      <c r="F160" s="270" t="n">
        <v>0.435</v>
      </c>
      <c r="G160" s="271" t="n">
        <v>21.45</v>
      </c>
      <c r="H160" s="271" t="n">
        <f aca="false">TRUNC(F160*G160,2)</f>
        <v>9.33</v>
      </c>
      <c r="I160" s="272" t="n">
        <f aca="false">I158</f>
        <v>1</v>
      </c>
      <c r="K160" s="271" t="n">
        <f aca="false">F160*I160</f>
        <v>0.435</v>
      </c>
      <c r="M160" s="271" t="n">
        <v>19.36</v>
      </c>
      <c r="N160" s="271" t="n">
        <f aca="false">TRUNC(F160*M160,2)</f>
        <v>8.42</v>
      </c>
      <c r="O160" s="272" t="n">
        <f aca="false">O159</f>
        <v>1</v>
      </c>
      <c r="Q160" s="271" t="n">
        <f aca="false">F160*O160</f>
        <v>0.435</v>
      </c>
    </row>
    <row r="161" customFormat="false" ht="12.8" hidden="false" customHeight="false" outlineLevel="0" collapsed="false">
      <c r="B161" s="189" t="s">
        <v>254</v>
      </c>
      <c r="C161" s="269" t="n">
        <v>88267</v>
      </c>
      <c r="D161" s="189" t="s">
        <v>267</v>
      </c>
      <c r="E161" s="269" t="s">
        <v>250</v>
      </c>
      <c r="F161" s="270" t="n">
        <v>0.435</v>
      </c>
      <c r="G161" s="271" t="n">
        <v>26.33</v>
      </c>
      <c r="H161" s="271" t="n">
        <f aca="false">TRUNC(F161*G161,2)</f>
        <v>11.45</v>
      </c>
      <c r="I161" s="272" t="n">
        <f aca="false">I159</f>
        <v>1</v>
      </c>
      <c r="K161" s="271" t="n">
        <f aca="false">F161*I161</f>
        <v>0.435</v>
      </c>
      <c r="M161" s="271" t="n">
        <v>23.61</v>
      </c>
      <c r="N161" s="271" t="n">
        <f aca="false">TRUNC(F161*M161,2)</f>
        <v>10.27</v>
      </c>
      <c r="O161" s="272" t="n">
        <f aca="false">O160</f>
        <v>1</v>
      </c>
      <c r="Q161" s="271" t="n">
        <f aca="false">F161*O161</f>
        <v>0.435</v>
      </c>
    </row>
    <row r="165" customFormat="false" ht="24.35" hidden="false" customHeight="false" outlineLevel="0" collapsed="false">
      <c r="B165" s="276" t="s">
        <v>243</v>
      </c>
      <c r="C165" s="276" t="s">
        <v>244</v>
      </c>
      <c r="D165" s="277" t="s">
        <v>25</v>
      </c>
      <c r="E165" s="276" t="s">
        <v>9</v>
      </c>
      <c r="F165" s="278" t="s">
        <v>245</v>
      </c>
      <c r="G165" s="279" t="s">
        <v>246</v>
      </c>
      <c r="H165" s="279" t="s">
        <v>247</v>
      </c>
      <c r="I165" s="280" t="s">
        <v>248</v>
      </c>
      <c r="J165" s="280" t="s">
        <v>249</v>
      </c>
      <c r="K165" s="280" t="s">
        <v>250</v>
      </c>
      <c r="M165" s="279" t="s">
        <v>246</v>
      </c>
      <c r="N165" s="279" t="s">
        <v>247</v>
      </c>
      <c r="O165" s="280" t="s">
        <v>248</v>
      </c>
      <c r="P165" s="280" t="s">
        <v>249</v>
      </c>
      <c r="Q165" s="280" t="s">
        <v>250</v>
      </c>
    </row>
    <row r="166" customFormat="false" ht="24.35" hidden="false" customHeight="false" outlineLevel="0" collapsed="false">
      <c r="A166" s="94" t="s">
        <v>73</v>
      </c>
      <c r="B166" s="285" t="s">
        <v>320</v>
      </c>
      <c r="C166" s="282" t="n">
        <v>94499</v>
      </c>
      <c r="D166" s="281" t="s">
        <v>321</v>
      </c>
      <c r="E166" s="282" t="s">
        <v>259</v>
      </c>
      <c r="F166" s="283"/>
      <c r="G166" s="284"/>
      <c r="H166" s="284" t="n">
        <f aca="false">SUM(H167:H170)</f>
        <v>396.1</v>
      </c>
      <c r="I166" s="272" t="n">
        <f aca="false">PL_ORC_ANALIT!H29</f>
        <v>2</v>
      </c>
      <c r="J166" s="272" t="n">
        <f aca="false">H166*I166</f>
        <v>792.2</v>
      </c>
      <c r="N166" s="284" t="n">
        <f aca="false">SUM(N167:N170)</f>
        <v>393.92</v>
      </c>
      <c r="O166" s="272" t="n">
        <f aca="false">I166</f>
        <v>2</v>
      </c>
      <c r="P166" s="272" t="n">
        <f aca="false">N166*O166</f>
        <v>787.84</v>
      </c>
    </row>
    <row r="167" customFormat="false" ht="12.8" hidden="false" customHeight="false" outlineLevel="0" collapsed="false">
      <c r="B167" s="189" t="s">
        <v>264</v>
      </c>
      <c r="C167" s="269" t="n">
        <v>3148</v>
      </c>
      <c r="D167" s="189" t="s">
        <v>276</v>
      </c>
      <c r="E167" s="269" t="s">
        <v>259</v>
      </c>
      <c r="F167" s="270" t="n">
        <v>0.0302</v>
      </c>
      <c r="G167" s="271" t="n">
        <v>12.76</v>
      </c>
      <c r="H167" s="271" t="n">
        <f aca="false">TRUNC(F167*G167,2)</f>
        <v>0.38</v>
      </c>
      <c r="I167" s="272" t="n">
        <f aca="false">I166</f>
        <v>2</v>
      </c>
      <c r="K167" s="271"/>
      <c r="M167" s="271" t="n">
        <v>12.76</v>
      </c>
      <c r="N167" s="271" t="n">
        <f aca="false">TRUNC(F167*M167,2)</f>
        <v>0.38</v>
      </c>
      <c r="O167" s="272" t="n">
        <f aca="false">O166</f>
        <v>2</v>
      </c>
      <c r="Q167" s="271"/>
    </row>
    <row r="168" customFormat="false" ht="12.8" hidden="false" customHeight="false" outlineLevel="0" collapsed="false">
      <c r="B168" s="189" t="s">
        <v>264</v>
      </c>
      <c r="C168" s="269" t="n">
        <v>6011</v>
      </c>
      <c r="D168" s="189" t="s">
        <v>322</v>
      </c>
      <c r="E168" s="269" t="s">
        <v>259</v>
      </c>
      <c r="F168" s="270" t="n">
        <v>1</v>
      </c>
      <c r="G168" s="271" t="n">
        <v>374.01</v>
      </c>
      <c r="H168" s="271" t="n">
        <f aca="false">TRUNC(F168*G168,2)</f>
        <v>374.01</v>
      </c>
      <c r="I168" s="272" t="n">
        <f aca="false">I166</f>
        <v>2</v>
      </c>
      <c r="K168" s="271"/>
      <c r="M168" s="271" t="n">
        <v>452.8</v>
      </c>
      <c r="N168" s="271" t="n">
        <v>374.01</v>
      </c>
      <c r="O168" s="272" t="n">
        <f aca="false">O167</f>
        <v>2</v>
      </c>
      <c r="Q168" s="271"/>
    </row>
    <row r="169" customFormat="false" ht="12.8" hidden="false" customHeight="false" outlineLevel="0" collapsed="false">
      <c r="B169" s="189" t="s">
        <v>254</v>
      </c>
      <c r="C169" s="269" t="n">
        <v>88248</v>
      </c>
      <c r="D169" s="189" t="s">
        <v>266</v>
      </c>
      <c r="E169" s="269" t="s">
        <v>250</v>
      </c>
      <c r="F169" s="270" t="n">
        <v>0.4546</v>
      </c>
      <c r="G169" s="271" t="n">
        <v>21.45</v>
      </c>
      <c r="H169" s="271" t="n">
        <f aca="false">TRUNC(F169*G169,2)</f>
        <v>9.75</v>
      </c>
      <c r="I169" s="272" t="n">
        <f aca="false">I167</f>
        <v>2</v>
      </c>
      <c r="K169" s="271" t="n">
        <f aca="false">F169*I169</f>
        <v>0.9092</v>
      </c>
      <c r="M169" s="271" t="n">
        <v>19.36</v>
      </c>
      <c r="N169" s="271" t="n">
        <f aca="false">TRUNC(F169*M169,2)</f>
        <v>8.8</v>
      </c>
      <c r="O169" s="272" t="n">
        <f aca="false">O168</f>
        <v>2</v>
      </c>
      <c r="Q169" s="271" t="n">
        <f aca="false">F169*O169</f>
        <v>0.9092</v>
      </c>
    </row>
    <row r="170" customFormat="false" ht="12.8" hidden="false" customHeight="false" outlineLevel="0" collapsed="false">
      <c r="B170" s="189" t="s">
        <v>254</v>
      </c>
      <c r="C170" s="269" t="n">
        <v>88267</v>
      </c>
      <c r="D170" s="189" t="s">
        <v>267</v>
      </c>
      <c r="E170" s="269" t="s">
        <v>250</v>
      </c>
      <c r="F170" s="270" t="n">
        <v>0.4546</v>
      </c>
      <c r="G170" s="271" t="n">
        <v>26.33</v>
      </c>
      <c r="H170" s="271" t="n">
        <f aca="false">TRUNC(F170*G170,2)</f>
        <v>11.96</v>
      </c>
      <c r="I170" s="272" t="n">
        <f aca="false">I168</f>
        <v>2</v>
      </c>
      <c r="K170" s="271" t="n">
        <f aca="false">F170*I170</f>
        <v>0.9092</v>
      </c>
      <c r="M170" s="271" t="n">
        <v>23.61</v>
      </c>
      <c r="N170" s="271" t="n">
        <f aca="false">TRUNC(F170*M170,2)</f>
        <v>10.73</v>
      </c>
      <c r="O170" s="272" t="n">
        <f aca="false">O169</f>
        <v>2</v>
      </c>
      <c r="Q170" s="271" t="n">
        <f aca="false">F170*O170</f>
        <v>0.9092</v>
      </c>
    </row>
    <row r="174" customFormat="false" ht="24.35" hidden="false" customHeight="false" outlineLevel="0" collapsed="false">
      <c r="B174" s="276" t="s">
        <v>243</v>
      </c>
      <c r="C174" s="276" t="s">
        <v>244</v>
      </c>
      <c r="D174" s="277" t="s">
        <v>25</v>
      </c>
      <c r="E174" s="276" t="s">
        <v>9</v>
      </c>
      <c r="F174" s="278" t="s">
        <v>245</v>
      </c>
      <c r="G174" s="279" t="s">
        <v>246</v>
      </c>
      <c r="H174" s="279" t="s">
        <v>247</v>
      </c>
      <c r="I174" s="280" t="s">
        <v>248</v>
      </c>
      <c r="J174" s="280" t="s">
        <v>249</v>
      </c>
      <c r="K174" s="280" t="s">
        <v>250</v>
      </c>
      <c r="M174" s="279" t="s">
        <v>246</v>
      </c>
      <c r="N174" s="279" t="s">
        <v>247</v>
      </c>
      <c r="O174" s="280" t="s">
        <v>248</v>
      </c>
      <c r="P174" s="280" t="s">
        <v>249</v>
      </c>
      <c r="Q174" s="280" t="s">
        <v>250</v>
      </c>
    </row>
    <row r="175" customFormat="false" ht="38.4" hidden="false" customHeight="false" outlineLevel="0" collapsed="false">
      <c r="A175" s="94" t="s">
        <v>76</v>
      </c>
      <c r="B175" s="288"/>
      <c r="C175" s="289" t="s">
        <v>77</v>
      </c>
      <c r="D175" s="293" t="s">
        <v>323</v>
      </c>
      <c r="E175" s="289" t="s">
        <v>259</v>
      </c>
      <c r="F175" s="291"/>
      <c r="G175" s="292"/>
      <c r="H175" s="292" t="n">
        <f aca="false">H176+H180</f>
        <v>313.41</v>
      </c>
      <c r="I175" s="272"/>
      <c r="N175" s="292" t="n">
        <f aca="false">N176+N180</f>
        <v>308.99</v>
      </c>
      <c r="O175" s="272"/>
      <c r="P175" s="272"/>
    </row>
    <row r="176" customFormat="false" ht="35.6" hidden="false" customHeight="false" outlineLevel="0" collapsed="false">
      <c r="B176" s="285" t="s">
        <v>331</v>
      </c>
      <c r="C176" s="282" t="n">
        <v>92342</v>
      </c>
      <c r="D176" s="281" t="s">
        <v>332</v>
      </c>
      <c r="E176" s="282" t="s">
        <v>261</v>
      </c>
      <c r="F176" s="283"/>
      <c r="G176" s="284"/>
      <c r="H176" s="284" t="n">
        <f aca="false">SUM(H177:H179)</f>
        <v>125.25</v>
      </c>
      <c r="I176" s="272" t="n">
        <f aca="false">PL_ORC_ANALIT!H30</f>
        <v>2</v>
      </c>
      <c r="J176" s="272" t="n">
        <f aca="false">H176*I176</f>
        <v>250.5</v>
      </c>
      <c r="N176" s="284" t="n">
        <f aca="false">SUM(N177:N179)</f>
        <v>122.74</v>
      </c>
      <c r="O176" s="272" t="n">
        <f aca="false">I176</f>
        <v>2</v>
      </c>
      <c r="P176" s="272" t="n">
        <f aca="false">N176*O176</f>
        <v>245.48</v>
      </c>
    </row>
    <row r="177" customFormat="false" ht="24.35" hidden="false" customHeight="false" outlineLevel="0" collapsed="false">
      <c r="B177" s="189" t="s">
        <v>264</v>
      </c>
      <c r="C177" s="269" t="n">
        <v>7701</v>
      </c>
      <c r="D177" s="286" t="s">
        <v>333</v>
      </c>
      <c r="E177" s="269" t="s">
        <v>261</v>
      </c>
      <c r="F177" s="270" t="n">
        <v>1.039</v>
      </c>
      <c r="G177" s="271" t="n">
        <v>96.65</v>
      </c>
      <c r="H177" s="271" t="n">
        <f aca="false">TRUNC(F177*G177,2)</f>
        <v>100.41</v>
      </c>
      <c r="I177" s="272" t="n">
        <f aca="false">I176</f>
        <v>2</v>
      </c>
      <c r="K177" s="271"/>
      <c r="M177" s="271" t="n">
        <v>96.65</v>
      </c>
      <c r="N177" s="271" t="n">
        <f aca="false">TRUNC(F177*M177,2)</f>
        <v>100.41</v>
      </c>
      <c r="O177" s="272" t="n">
        <f aca="false">O176</f>
        <v>2</v>
      </c>
      <c r="Q177" s="271"/>
    </row>
    <row r="178" customFormat="false" ht="24.35" hidden="false" customHeight="false" outlineLevel="0" collapsed="false">
      <c r="B178" s="189" t="s">
        <v>254</v>
      </c>
      <c r="C178" s="269" t="n">
        <v>88248</v>
      </c>
      <c r="D178" s="286" t="s">
        <v>266</v>
      </c>
      <c r="E178" s="269" t="s">
        <v>250</v>
      </c>
      <c r="F178" s="270" t="n">
        <v>0.52</v>
      </c>
      <c r="G178" s="271" t="n">
        <v>21.45</v>
      </c>
      <c r="H178" s="271" t="n">
        <f aca="false">TRUNC(F178*G178,2)</f>
        <v>11.15</v>
      </c>
      <c r="I178" s="272" t="n">
        <f aca="false">I176</f>
        <v>2</v>
      </c>
      <c r="K178" s="271" t="n">
        <f aca="false">F178*I178</f>
        <v>1.04</v>
      </c>
      <c r="M178" s="271" t="n">
        <v>19.36</v>
      </c>
      <c r="N178" s="271" t="n">
        <f aca="false">TRUNC(F178*M178,2)</f>
        <v>10.06</v>
      </c>
      <c r="O178" s="272" t="n">
        <f aca="false">O177</f>
        <v>2</v>
      </c>
      <c r="Q178" s="271" t="n">
        <f aca="false">F178*O178</f>
        <v>1.04</v>
      </c>
    </row>
    <row r="179" customFormat="false" ht="24.35" hidden="false" customHeight="false" outlineLevel="0" collapsed="false">
      <c r="B179" s="189" t="s">
        <v>254</v>
      </c>
      <c r="C179" s="269" t="n">
        <v>88267</v>
      </c>
      <c r="D179" s="286" t="s">
        <v>267</v>
      </c>
      <c r="E179" s="269" t="s">
        <v>250</v>
      </c>
      <c r="F179" s="270" t="n">
        <v>0.52</v>
      </c>
      <c r="G179" s="271" t="n">
        <v>26.33</v>
      </c>
      <c r="H179" s="271" t="n">
        <f aca="false">TRUNC(F179*G179,2)</f>
        <v>13.69</v>
      </c>
      <c r="I179" s="272" t="n">
        <f aca="false">I177</f>
        <v>2</v>
      </c>
      <c r="K179" s="271" t="n">
        <f aca="false">F179*I179</f>
        <v>1.04</v>
      </c>
      <c r="M179" s="271" t="n">
        <v>23.61</v>
      </c>
      <c r="N179" s="271" t="n">
        <f aca="false">TRUNC(F179*M179,2)</f>
        <v>12.27</v>
      </c>
      <c r="O179" s="272" t="n">
        <f aca="false">O178</f>
        <v>2</v>
      </c>
      <c r="Q179" s="271" t="n">
        <f aca="false">F179*O179</f>
        <v>1.04</v>
      </c>
    </row>
    <row r="180" customFormat="false" ht="35.6" hidden="false" customHeight="false" outlineLevel="0" collapsed="false">
      <c r="B180" s="285" t="s">
        <v>334</v>
      </c>
      <c r="C180" s="282" t="n">
        <v>92902</v>
      </c>
      <c r="D180" s="281" t="s">
        <v>335</v>
      </c>
      <c r="E180" s="282" t="s">
        <v>259</v>
      </c>
      <c r="F180" s="283"/>
      <c r="G180" s="284"/>
      <c r="H180" s="284" t="n">
        <f aca="false">SUM(H181:H185)</f>
        <v>188.16</v>
      </c>
      <c r="I180" s="272" t="n">
        <f aca="false">PL_ORC_ANALIT!H30</f>
        <v>2</v>
      </c>
      <c r="J180" s="272" t="n">
        <f aca="false">H180*I180</f>
        <v>376.32</v>
      </c>
      <c r="N180" s="284" t="n">
        <f aca="false">SUM(N181:N185)</f>
        <v>186.25</v>
      </c>
      <c r="O180" s="272" t="n">
        <f aca="false">I180</f>
        <v>2</v>
      </c>
      <c r="P180" s="272" t="n">
        <f aca="false">N180*O180</f>
        <v>372.5</v>
      </c>
    </row>
    <row r="181" customFormat="false" ht="13.1" hidden="false" customHeight="false" outlineLevel="0" collapsed="false">
      <c r="B181" s="189" t="s">
        <v>264</v>
      </c>
      <c r="C181" s="269" t="n">
        <v>3148</v>
      </c>
      <c r="D181" s="286" t="s">
        <v>276</v>
      </c>
      <c r="E181" s="269" t="s">
        <v>259</v>
      </c>
      <c r="F181" s="270" t="n">
        <v>0.03</v>
      </c>
      <c r="G181" s="271" t="n">
        <v>12.76</v>
      </c>
      <c r="H181" s="271" t="n">
        <f aca="false">TRUNC(F181*G181,2)</f>
        <v>0.38</v>
      </c>
      <c r="I181" s="272" t="n">
        <f aca="false">I180</f>
        <v>2</v>
      </c>
      <c r="K181" s="271"/>
      <c r="M181" s="271" t="n">
        <v>12.76</v>
      </c>
      <c r="N181" s="271" t="n">
        <f aca="false">TRUNC(F181*M181,2)</f>
        <v>0.38</v>
      </c>
      <c r="O181" s="272" t="n">
        <f aca="false">O180</f>
        <v>2</v>
      </c>
      <c r="Q181" s="271"/>
    </row>
    <row r="182" customFormat="false" ht="13.1" hidden="false" customHeight="false" outlineLevel="0" collapsed="false">
      <c r="B182" s="189" t="s">
        <v>264</v>
      </c>
      <c r="C182" s="269" t="n">
        <v>7307</v>
      </c>
      <c r="D182" s="286" t="s">
        <v>329</v>
      </c>
      <c r="E182" s="269" t="s">
        <v>310</v>
      </c>
      <c r="F182" s="270" t="n">
        <v>0.007</v>
      </c>
      <c r="G182" s="271" t="n">
        <v>51.77</v>
      </c>
      <c r="H182" s="271" t="n">
        <f aca="false">TRUNC(F182*G182,2)</f>
        <v>0.36</v>
      </c>
      <c r="I182" s="272" t="n">
        <f aca="false">I180</f>
        <v>2</v>
      </c>
      <c r="K182" s="271"/>
      <c r="M182" s="271" t="n">
        <v>51.77</v>
      </c>
      <c r="N182" s="271" t="n">
        <f aca="false">TRUNC(F182*M182,2)</f>
        <v>0.36</v>
      </c>
      <c r="O182" s="272" t="n">
        <f aca="false">O181</f>
        <v>2</v>
      </c>
      <c r="Q182" s="271"/>
    </row>
    <row r="183" customFormat="false" ht="24.35" hidden="false" customHeight="false" outlineLevel="0" collapsed="false">
      <c r="B183" s="189" t="s">
        <v>264</v>
      </c>
      <c r="C183" s="269" t="n">
        <v>9889</v>
      </c>
      <c r="D183" s="286" t="s">
        <v>336</v>
      </c>
      <c r="E183" s="269" t="s">
        <v>259</v>
      </c>
      <c r="F183" s="270" t="n">
        <v>1</v>
      </c>
      <c r="G183" s="271" t="n">
        <v>168.42</v>
      </c>
      <c r="H183" s="271" t="n">
        <f aca="false">TRUNC(F183*G183,2)</f>
        <v>168.42</v>
      </c>
      <c r="I183" s="272" t="n">
        <f aca="false">I181</f>
        <v>2</v>
      </c>
      <c r="K183" s="271"/>
      <c r="M183" s="271" t="n">
        <v>168.42</v>
      </c>
      <c r="N183" s="271" t="n">
        <f aca="false">TRUNC(F183*M183,2)</f>
        <v>168.42</v>
      </c>
      <c r="O183" s="272" t="n">
        <f aca="false">O182</f>
        <v>2</v>
      </c>
      <c r="Q183" s="271"/>
    </row>
    <row r="184" customFormat="false" ht="24.35" hidden="false" customHeight="false" outlineLevel="0" collapsed="false">
      <c r="B184" s="189" t="s">
        <v>254</v>
      </c>
      <c r="C184" s="269" t="n">
        <v>88248</v>
      </c>
      <c r="D184" s="286" t="s">
        <v>266</v>
      </c>
      <c r="E184" s="269" t="s">
        <v>250</v>
      </c>
      <c r="F184" s="270" t="n">
        <v>0.398</v>
      </c>
      <c r="G184" s="271" t="n">
        <v>21.45</v>
      </c>
      <c r="H184" s="271" t="n">
        <f aca="false">TRUNC(F184*G184,2)</f>
        <v>8.53</v>
      </c>
      <c r="I184" s="272" t="n">
        <f aca="false">I182</f>
        <v>2</v>
      </c>
      <c r="K184" s="271" t="n">
        <f aca="false">F184*I184</f>
        <v>0.796</v>
      </c>
      <c r="M184" s="271" t="n">
        <v>19.36</v>
      </c>
      <c r="N184" s="271" t="n">
        <f aca="false">TRUNC(F184*M184,2)</f>
        <v>7.7</v>
      </c>
      <c r="O184" s="272" t="n">
        <f aca="false">O183</f>
        <v>2</v>
      </c>
      <c r="Q184" s="271" t="n">
        <f aca="false">F184*O184</f>
        <v>0.796</v>
      </c>
    </row>
    <row r="185" customFormat="false" ht="24.35" hidden="false" customHeight="false" outlineLevel="0" collapsed="false">
      <c r="B185" s="189" t="s">
        <v>254</v>
      </c>
      <c r="C185" s="269" t="n">
        <v>88267</v>
      </c>
      <c r="D185" s="286" t="s">
        <v>267</v>
      </c>
      <c r="E185" s="269" t="s">
        <v>250</v>
      </c>
      <c r="F185" s="270" t="n">
        <v>0.398</v>
      </c>
      <c r="G185" s="271" t="n">
        <v>26.33</v>
      </c>
      <c r="H185" s="271" t="n">
        <f aca="false">TRUNC(F185*G185,2)</f>
        <v>10.47</v>
      </c>
      <c r="I185" s="272" t="n">
        <f aca="false">I183</f>
        <v>2</v>
      </c>
      <c r="K185" s="271" t="n">
        <f aca="false">F185*I185</f>
        <v>0.796</v>
      </c>
      <c r="M185" s="271" t="n">
        <v>23.61</v>
      </c>
      <c r="N185" s="271" t="n">
        <f aca="false">TRUNC(F185*M185,2)</f>
        <v>9.39</v>
      </c>
      <c r="O185" s="272" t="n">
        <f aca="false">O184</f>
        <v>2</v>
      </c>
      <c r="Q185" s="271" t="n">
        <f aca="false">F185*O185</f>
        <v>0.796</v>
      </c>
    </row>
    <row r="190" customFormat="false" ht="24.35" hidden="false" customHeight="false" outlineLevel="0" collapsed="false">
      <c r="B190" s="276" t="s">
        <v>243</v>
      </c>
      <c r="C190" s="276" t="s">
        <v>244</v>
      </c>
      <c r="D190" s="277" t="s">
        <v>25</v>
      </c>
      <c r="E190" s="276" t="s">
        <v>9</v>
      </c>
      <c r="F190" s="278" t="s">
        <v>245</v>
      </c>
      <c r="G190" s="279" t="s">
        <v>246</v>
      </c>
      <c r="H190" s="279" t="s">
        <v>247</v>
      </c>
      <c r="I190" s="280" t="s">
        <v>248</v>
      </c>
      <c r="J190" s="280" t="s">
        <v>249</v>
      </c>
      <c r="K190" s="280" t="s">
        <v>250</v>
      </c>
      <c r="M190" s="279" t="s">
        <v>246</v>
      </c>
      <c r="N190" s="279" t="s">
        <v>247</v>
      </c>
      <c r="O190" s="280" t="s">
        <v>248</v>
      </c>
      <c r="P190" s="280" t="s">
        <v>249</v>
      </c>
      <c r="Q190" s="280" t="s">
        <v>250</v>
      </c>
    </row>
    <row r="191" customFormat="false" ht="15" hidden="false" customHeight="false" outlineLevel="0" collapsed="false">
      <c r="A191" s="94" t="s">
        <v>79</v>
      </c>
      <c r="B191" s="288"/>
      <c r="C191" s="289" t="s">
        <v>65</v>
      </c>
      <c r="D191" s="293" t="s">
        <v>337</v>
      </c>
      <c r="E191" s="289" t="s">
        <v>259</v>
      </c>
      <c r="F191" s="291"/>
      <c r="G191" s="292"/>
      <c r="H191" s="292" t="n">
        <f aca="false">H192+H197</f>
        <v>55.3</v>
      </c>
      <c r="I191" s="272" t="n">
        <f aca="false">PL_ORC_ANALIT!H31</f>
        <v>2</v>
      </c>
      <c r="K191" s="269" t="n">
        <f aca="false">SUM(K192:K201)</f>
        <v>2.278</v>
      </c>
      <c r="N191" s="292" t="n">
        <f aca="false">N192+N197</f>
        <v>49.82</v>
      </c>
      <c r="O191" s="272"/>
      <c r="P191" s="272"/>
      <c r="Q191" s="269" t="n">
        <f aca="false">SUM(Q192:Q201)</f>
        <v>2.278</v>
      </c>
    </row>
    <row r="192" customFormat="false" ht="24.35" hidden="false" customHeight="false" outlineLevel="0" collapsed="false">
      <c r="B192" s="285" t="s">
        <v>320</v>
      </c>
      <c r="C192" s="282" t="n">
        <v>94499</v>
      </c>
      <c r="D192" s="281" t="s">
        <v>321</v>
      </c>
      <c r="E192" s="282" t="s">
        <v>259</v>
      </c>
      <c r="F192" s="283"/>
      <c r="G192" s="284"/>
      <c r="H192" s="284" t="n">
        <f aca="false">SUM(H193:H197)</f>
        <v>27.65</v>
      </c>
      <c r="I192" s="272" t="n">
        <f aca="false">I191</f>
        <v>2</v>
      </c>
      <c r="J192" s="272" t="n">
        <f aca="false">H192*I192</f>
        <v>55.3</v>
      </c>
      <c r="N192" s="284" t="n">
        <f aca="false">SUM(N193:N197)</f>
        <v>24.91</v>
      </c>
      <c r="O192" s="272" t="n">
        <f aca="false">I192</f>
        <v>2</v>
      </c>
      <c r="P192" s="272" t="n">
        <f aca="false">N192*O192</f>
        <v>49.82</v>
      </c>
    </row>
    <row r="193" customFormat="false" ht="12.8" hidden="false" customHeight="false" outlineLevel="0" collapsed="false">
      <c r="B193" s="189" t="s">
        <v>264</v>
      </c>
      <c r="C193" s="269" t="n">
        <v>3148</v>
      </c>
      <c r="D193" s="189" t="s">
        <v>276</v>
      </c>
      <c r="E193" s="269" t="s">
        <v>259</v>
      </c>
      <c r="F193" s="270" t="n">
        <f aca="false">0.0302*F192</f>
        <v>0</v>
      </c>
      <c r="G193" s="271" t="n">
        <v>12.76</v>
      </c>
      <c r="H193" s="271" t="n">
        <f aca="false">TRUNC(F193*G193,2)</f>
        <v>0</v>
      </c>
      <c r="I193" s="272" t="n">
        <f aca="false">I192</f>
        <v>2</v>
      </c>
      <c r="K193" s="271"/>
      <c r="M193" s="271" t="n">
        <v>12.76</v>
      </c>
      <c r="N193" s="271" t="n">
        <f aca="false">TRUNC(F193*M193,2)</f>
        <v>0</v>
      </c>
      <c r="O193" s="272" t="n">
        <f aca="false">O192</f>
        <v>2</v>
      </c>
      <c r="Q193" s="271"/>
    </row>
    <row r="194" customFormat="false" ht="24.35" hidden="false" customHeight="false" outlineLevel="0" collapsed="false">
      <c r="B194" s="189" t="s">
        <v>264</v>
      </c>
      <c r="C194" s="269" t="n">
        <v>6011</v>
      </c>
      <c r="D194" s="286" t="s">
        <v>322</v>
      </c>
      <c r="E194" s="269" t="s">
        <v>259</v>
      </c>
      <c r="F194" s="270" t="n">
        <f aca="false">1*F192</f>
        <v>0</v>
      </c>
      <c r="G194" s="271" t="n">
        <v>0</v>
      </c>
      <c r="H194" s="271" t="n">
        <f aca="false">TRUNC(F194*G194,2)</f>
        <v>0</v>
      </c>
      <c r="I194" s="272" t="n">
        <f aca="false">I192</f>
        <v>2</v>
      </c>
      <c r="K194" s="271"/>
      <c r="M194" s="271" t="n">
        <v>0</v>
      </c>
      <c r="N194" s="271" t="n">
        <f aca="false">TRUNC(F194*M194,2)</f>
        <v>0</v>
      </c>
      <c r="O194" s="272" t="n">
        <f aca="false">O193</f>
        <v>2</v>
      </c>
      <c r="Q194" s="271"/>
    </row>
    <row r="195" customFormat="false" ht="24.35" hidden="false" customHeight="false" outlineLevel="0" collapsed="false">
      <c r="B195" s="189" t="s">
        <v>254</v>
      </c>
      <c r="C195" s="269" t="n">
        <v>88248</v>
      </c>
      <c r="D195" s="286" t="s">
        <v>266</v>
      </c>
      <c r="E195" s="269" t="s">
        <v>250</v>
      </c>
      <c r="F195" s="270" t="n">
        <f aca="false">0.4546*F192</f>
        <v>0</v>
      </c>
      <c r="G195" s="271" t="n">
        <v>21.45</v>
      </c>
      <c r="H195" s="271" t="n">
        <f aca="false">TRUNC(F195*G195,2)</f>
        <v>0</v>
      </c>
      <c r="I195" s="272" t="n">
        <f aca="false">I193</f>
        <v>2</v>
      </c>
      <c r="K195" s="271" t="n">
        <f aca="false">F195*I195</f>
        <v>0</v>
      </c>
      <c r="M195" s="271" t="n">
        <v>19.36</v>
      </c>
      <c r="N195" s="271" t="n">
        <f aca="false">TRUNC(F195*M195,2)</f>
        <v>0</v>
      </c>
      <c r="O195" s="272" t="n">
        <f aca="false">O194</f>
        <v>2</v>
      </c>
      <c r="Q195" s="271" t="n">
        <f aca="false">F195*O195</f>
        <v>0</v>
      </c>
    </row>
    <row r="196" customFormat="false" ht="24.35" hidden="false" customHeight="false" outlineLevel="0" collapsed="false">
      <c r="B196" s="189" t="s">
        <v>254</v>
      </c>
      <c r="C196" s="269" t="n">
        <v>88267</v>
      </c>
      <c r="D196" s="286" t="s">
        <v>267</v>
      </c>
      <c r="E196" s="269" t="s">
        <v>250</v>
      </c>
      <c r="F196" s="270" t="n">
        <f aca="false">0.4546*F192</f>
        <v>0</v>
      </c>
      <c r="G196" s="271" t="n">
        <v>26.33</v>
      </c>
      <c r="H196" s="271" t="n">
        <f aca="false">TRUNC(F196*G196,2)</f>
        <v>0</v>
      </c>
      <c r="I196" s="272" t="n">
        <f aca="false">I194</f>
        <v>2</v>
      </c>
      <c r="K196" s="271" t="n">
        <f aca="false">F196*I196</f>
        <v>0</v>
      </c>
      <c r="M196" s="271" t="n">
        <v>23.61</v>
      </c>
      <c r="N196" s="271" t="n">
        <f aca="false">TRUNC(F196*M196,2)</f>
        <v>0</v>
      </c>
      <c r="O196" s="272" t="n">
        <f aca="false">O195</f>
        <v>2</v>
      </c>
      <c r="Q196" s="271" t="n">
        <f aca="false">F196*O196</f>
        <v>0</v>
      </c>
    </row>
    <row r="197" customFormat="false" ht="24.35" hidden="false" customHeight="false" outlineLevel="0" collapsed="false">
      <c r="B197" s="285" t="s">
        <v>317</v>
      </c>
      <c r="C197" s="282" t="n">
        <v>94500</v>
      </c>
      <c r="D197" s="281" t="s">
        <v>338</v>
      </c>
      <c r="E197" s="282" t="s">
        <v>259</v>
      </c>
      <c r="F197" s="283" t="n">
        <v>1</v>
      </c>
      <c r="G197" s="284"/>
      <c r="H197" s="284" t="n">
        <f aca="false">SUM(H198:H201)</f>
        <v>27.65</v>
      </c>
      <c r="I197" s="272" t="n">
        <f aca="false">I196</f>
        <v>2</v>
      </c>
      <c r="J197" s="272" t="n">
        <f aca="false">H197*I197</f>
        <v>55.3</v>
      </c>
      <c r="N197" s="284" t="n">
        <f aca="false">SUM(N198:N201)</f>
        <v>24.91</v>
      </c>
      <c r="O197" s="272" t="n">
        <f aca="false">I197</f>
        <v>2</v>
      </c>
      <c r="P197" s="272" t="n">
        <f aca="false">N197*O197</f>
        <v>49.82</v>
      </c>
    </row>
    <row r="198" customFormat="false" ht="12.8" hidden="false" customHeight="false" outlineLevel="0" collapsed="false">
      <c r="B198" s="189" t="s">
        <v>264</v>
      </c>
      <c r="C198" s="269" t="n">
        <v>3148</v>
      </c>
      <c r="D198" s="189" t="s">
        <v>276</v>
      </c>
      <c r="E198" s="269" t="s">
        <v>259</v>
      </c>
      <c r="F198" s="270" t="n">
        <f aca="false">0.0354*F197</f>
        <v>0.0354</v>
      </c>
      <c r="G198" s="271" t="n">
        <v>12.76</v>
      </c>
      <c r="H198" s="271" t="n">
        <f aca="false">TRUNC(F198*G198,2)</f>
        <v>0.45</v>
      </c>
      <c r="I198" s="272" t="n">
        <f aca="false">I197</f>
        <v>2</v>
      </c>
      <c r="K198" s="271"/>
      <c r="M198" s="271" t="n">
        <v>12.76</v>
      </c>
      <c r="N198" s="271" t="n">
        <f aca="false">TRUNC(F198*M198,2)</f>
        <v>0.45</v>
      </c>
      <c r="O198" s="272" t="n">
        <f aca="false">O197</f>
        <v>2</v>
      </c>
      <c r="Q198" s="271"/>
    </row>
    <row r="199" customFormat="false" ht="24.35" hidden="false" customHeight="false" outlineLevel="0" collapsed="false">
      <c r="B199" s="189" t="s">
        <v>264</v>
      </c>
      <c r="C199" s="269" t="n">
        <v>6012</v>
      </c>
      <c r="D199" s="286" t="s">
        <v>319</v>
      </c>
      <c r="E199" s="269" t="s">
        <v>259</v>
      </c>
      <c r="F199" s="270" t="n">
        <f aca="false">1*F197</f>
        <v>1</v>
      </c>
      <c r="G199" s="271" t="n">
        <v>0</v>
      </c>
      <c r="H199" s="271" t="n">
        <f aca="false">TRUNC(F199*G199,2)</f>
        <v>0</v>
      </c>
      <c r="I199" s="272" t="n">
        <f aca="false">I197</f>
        <v>2</v>
      </c>
      <c r="K199" s="271"/>
      <c r="M199" s="271" t="n">
        <v>0</v>
      </c>
      <c r="N199" s="271" t="n">
        <f aca="false">TRUNC(F199*M199,2)</f>
        <v>0</v>
      </c>
      <c r="O199" s="272" t="n">
        <f aca="false">O198</f>
        <v>2</v>
      </c>
      <c r="Q199" s="271"/>
    </row>
    <row r="200" customFormat="false" ht="24.35" hidden="false" customHeight="false" outlineLevel="0" collapsed="false">
      <c r="B200" s="189" t="s">
        <v>254</v>
      </c>
      <c r="C200" s="269" t="n">
        <v>88248</v>
      </c>
      <c r="D200" s="286" t="s">
        <v>266</v>
      </c>
      <c r="E200" s="269" t="s">
        <v>250</v>
      </c>
      <c r="F200" s="270" t="n">
        <f aca="false">0.5695*F197</f>
        <v>0.5695</v>
      </c>
      <c r="G200" s="271" t="n">
        <v>21.45</v>
      </c>
      <c r="H200" s="271" t="n">
        <f aca="false">TRUNC(F200*G200,2)</f>
        <v>12.21</v>
      </c>
      <c r="I200" s="272" t="n">
        <f aca="false">I198</f>
        <v>2</v>
      </c>
      <c r="K200" s="271" t="n">
        <f aca="false">F200*I200</f>
        <v>1.139</v>
      </c>
      <c r="M200" s="271" t="n">
        <v>19.36</v>
      </c>
      <c r="N200" s="271" t="n">
        <f aca="false">TRUNC(F200*M200,2)</f>
        <v>11.02</v>
      </c>
      <c r="O200" s="272" t="n">
        <f aca="false">O199</f>
        <v>2</v>
      </c>
      <c r="Q200" s="271" t="n">
        <f aca="false">F200*O200</f>
        <v>1.139</v>
      </c>
    </row>
    <row r="201" customFormat="false" ht="24.35" hidden="false" customHeight="false" outlineLevel="0" collapsed="false">
      <c r="B201" s="189" t="s">
        <v>254</v>
      </c>
      <c r="C201" s="269" t="n">
        <v>88267</v>
      </c>
      <c r="D201" s="286" t="s">
        <v>267</v>
      </c>
      <c r="E201" s="269" t="s">
        <v>250</v>
      </c>
      <c r="F201" s="270" t="n">
        <f aca="false">0.5695*F197</f>
        <v>0.5695</v>
      </c>
      <c r="G201" s="271" t="n">
        <v>26.33</v>
      </c>
      <c r="H201" s="271" t="n">
        <f aca="false">TRUNC(F201*G201,2)</f>
        <v>14.99</v>
      </c>
      <c r="I201" s="272" t="n">
        <f aca="false">I199</f>
        <v>2</v>
      </c>
      <c r="K201" s="271" t="n">
        <f aca="false">F201*I201</f>
        <v>1.139</v>
      </c>
      <c r="M201" s="271" t="n">
        <v>23.61</v>
      </c>
      <c r="N201" s="271" t="n">
        <f aca="false">TRUNC(F201*M201,2)</f>
        <v>13.44</v>
      </c>
      <c r="O201" s="272" t="n">
        <f aca="false">O200</f>
        <v>2</v>
      </c>
      <c r="Q201" s="271" t="n">
        <f aca="false">F201*O201</f>
        <v>1.139</v>
      </c>
    </row>
    <row r="206" customFormat="false" ht="24.35" hidden="false" customHeight="false" outlineLevel="0" collapsed="false">
      <c r="B206" s="276" t="s">
        <v>243</v>
      </c>
      <c r="C206" s="276" t="s">
        <v>244</v>
      </c>
      <c r="D206" s="277" t="s">
        <v>25</v>
      </c>
      <c r="E206" s="276" t="s">
        <v>9</v>
      </c>
      <c r="F206" s="278" t="s">
        <v>245</v>
      </c>
      <c r="G206" s="279" t="s">
        <v>246</v>
      </c>
      <c r="H206" s="279" t="s">
        <v>247</v>
      </c>
      <c r="I206" s="280" t="s">
        <v>248</v>
      </c>
      <c r="J206" s="280" t="s">
        <v>249</v>
      </c>
      <c r="K206" s="280" t="s">
        <v>250</v>
      </c>
      <c r="M206" s="279" t="s">
        <v>246</v>
      </c>
      <c r="N206" s="279" t="s">
        <v>247</v>
      </c>
      <c r="O206" s="280" t="s">
        <v>248</v>
      </c>
      <c r="P206" s="280" t="s">
        <v>249</v>
      </c>
      <c r="Q206" s="280" t="s">
        <v>250</v>
      </c>
    </row>
    <row r="207" customFormat="false" ht="24.35" hidden="false" customHeight="false" outlineLevel="0" collapsed="false">
      <c r="A207" s="94" t="s">
        <v>101</v>
      </c>
      <c r="B207" s="285" t="s">
        <v>314</v>
      </c>
      <c r="C207" s="282" t="n">
        <v>99804</v>
      </c>
      <c r="D207" s="281" t="s">
        <v>315</v>
      </c>
      <c r="E207" s="282" t="s">
        <v>292</v>
      </c>
      <c r="F207" s="283"/>
      <c r="G207" s="284"/>
      <c r="H207" s="284" t="n">
        <f aca="false">SUM(H208:H209)</f>
        <v>5.03</v>
      </c>
      <c r="I207" s="272" t="n">
        <f aca="false">PL_ORC_ANALIT!H113</f>
        <v>0</v>
      </c>
      <c r="J207" s="272" t="n">
        <f aca="false">H207*I207</f>
        <v>0</v>
      </c>
      <c r="N207" s="284" t="n">
        <f aca="false">SUM(N208:N209)</f>
        <v>4.58</v>
      </c>
      <c r="O207" s="272" t="n">
        <f aca="false">I207</f>
        <v>0</v>
      </c>
      <c r="P207" s="272" t="n">
        <f aca="false">N207*O207</f>
        <v>0</v>
      </c>
      <c r="Q207" s="269" t="n">
        <f aca="false">SUM(Q208:Q209)</f>
        <v>0</v>
      </c>
    </row>
    <row r="208" customFormat="false" ht="12.8" hidden="false" customHeight="false" outlineLevel="0" collapsed="false">
      <c r="B208" s="189" t="s">
        <v>264</v>
      </c>
      <c r="C208" s="269" t="n">
        <v>44329</v>
      </c>
      <c r="D208" s="189" t="s">
        <v>316</v>
      </c>
      <c r="E208" s="269" t="s">
        <v>310</v>
      </c>
      <c r="F208" s="270" t="n">
        <f aca="false">0.006</f>
        <v>0.006</v>
      </c>
      <c r="G208" s="271" t="n">
        <v>16.18</v>
      </c>
      <c r="H208" s="271" t="n">
        <f aca="false">TRUNC(F208*G208,2)</f>
        <v>0.09</v>
      </c>
      <c r="I208" s="272" t="n">
        <f aca="false">I207</f>
        <v>0</v>
      </c>
      <c r="K208" s="271"/>
      <c r="M208" s="271" t="n">
        <v>16.18</v>
      </c>
      <c r="N208" s="271" t="n">
        <f aca="false">TRUNC(F208*M208,2)</f>
        <v>0.09</v>
      </c>
      <c r="O208" s="272" t="n">
        <f aca="false">O207</f>
        <v>0</v>
      </c>
      <c r="Q208" s="271"/>
    </row>
    <row r="209" customFormat="false" ht="12.8" hidden="false" customHeight="false" outlineLevel="0" collapsed="false">
      <c r="B209" s="189" t="s">
        <v>254</v>
      </c>
      <c r="C209" s="269" t="n">
        <v>88316</v>
      </c>
      <c r="D209" s="189" t="s">
        <v>256</v>
      </c>
      <c r="E209" s="269" t="s">
        <v>250</v>
      </c>
      <c r="F209" s="270" t="n">
        <v>0.248</v>
      </c>
      <c r="G209" s="271" t="n">
        <v>19.94</v>
      </c>
      <c r="H209" s="271" t="n">
        <f aca="false">TRUNC(F209*G209,2)</f>
        <v>4.94</v>
      </c>
      <c r="I209" s="272" t="n">
        <f aca="false">I207</f>
        <v>0</v>
      </c>
      <c r="K209" s="271" t="n">
        <f aca="false">F209*I209</f>
        <v>0</v>
      </c>
      <c r="M209" s="271" t="n">
        <v>18.12</v>
      </c>
      <c r="N209" s="271" t="n">
        <f aca="false">TRUNC(F209*M209,2)</f>
        <v>4.49</v>
      </c>
      <c r="O209" s="272" t="n">
        <f aca="false">O208</f>
        <v>0</v>
      </c>
      <c r="Q209" s="271" t="n">
        <f aca="false">F209*O209</f>
        <v>0</v>
      </c>
    </row>
    <row r="210" customFormat="false" ht="12.8" hidden="false" customHeight="false" outlineLevel="0" collapsed="false">
      <c r="I210" s="272"/>
      <c r="K210" s="271"/>
      <c r="M210" s="271"/>
      <c r="N210" s="271"/>
      <c r="O210" s="272"/>
      <c r="Q210" s="271"/>
    </row>
    <row r="211" customFormat="false" ht="12.8" hidden="false" customHeight="false" outlineLevel="0" collapsed="false">
      <c r="I211" s="272"/>
      <c r="K211" s="271"/>
      <c r="M211" s="271"/>
      <c r="N211" s="271"/>
      <c r="O211" s="272"/>
      <c r="Q211" s="271"/>
    </row>
    <row r="213" customFormat="false" ht="26.25" hidden="false" customHeight="false" outlineLevel="0" collapsed="false">
      <c r="A213" s="89" t="n">
        <v>3</v>
      </c>
      <c r="B213" s="294" t="s">
        <v>264</v>
      </c>
      <c r="C213" s="89" t="n">
        <v>6013</v>
      </c>
      <c r="D213" s="89" t="s">
        <v>339</v>
      </c>
      <c r="E213" s="109" t="s">
        <v>259</v>
      </c>
      <c r="F213" s="89" t="n">
        <v>1</v>
      </c>
      <c r="G213" s="89"/>
      <c r="H213" s="275"/>
      <c r="I213" s="89"/>
    </row>
    <row r="214" customFormat="false" ht="24.35" hidden="false" customHeight="false" outlineLevel="0" collapsed="false">
      <c r="B214" s="276" t="s">
        <v>254</v>
      </c>
      <c r="C214" s="276" t="n">
        <v>88248</v>
      </c>
      <c r="D214" s="277" t="s">
        <v>266</v>
      </c>
      <c r="E214" s="276" t="s">
        <v>250</v>
      </c>
      <c r="F214" s="278" t="n">
        <v>0.2595</v>
      </c>
      <c r="G214" s="279" t="s">
        <v>246</v>
      </c>
      <c r="H214" s="279" t="s">
        <v>247</v>
      </c>
      <c r="I214" s="280" t="s">
        <v>248</v>
      </c>
      <c r="J214" s="280" t="s">
        <v>249</v>
      </c>
      <c r="K214" s="280" t="s">
        <v>250</v>
      </c>
      <c r="M214" s="279" t="s">
        <v>246</v>
      </c>
      <c r="N214" s="279" t="s">
        <v>247</v>
      </c>
      <c r="O214" s="280" t="s">
        <v>248</v>
      </c>
      <c r="P214" s="280" t="s">
        <v>249</v>
      </c>
      <c r="Q214" s="280" t="s">
        <v>250</v>
      </c>
    </row>
    <row r="215" customFormat="false" ht="15" hidden="false" customHeight="false" outlineLevel="0" collapsed="false">
      <c r="A215" s="94" t="s">
        <v>83</v>
      </c>
      <c r="B215" s="285"/>
      <c r="C215" s="282" t="s">
        <v>84</v>
      </c>
      <c r="D215" s="281" t="s">
        <v>85</v>
      </c>
      <c r="E215" s="282" t="s">
        <v>250</v>
      </c>
      <c r="F215" s="283" t="n">
        <v>0.2595</v>
      </c>
      <c r="G215" s="284"/>
      <c r="H215" s="284" t="n">
        <f aca="false">SUM(H216:H222)</f>
        <v>89.28</v>
      </c>
      <c r="I215" s="272" t="n">
        <f aca="false">PL_ORC_ANALIT!H35</f>
        <v>10</v>
      </c>
      <c r="J215" s="272" t="n">
        <f aca="false">H215*I215</f>
        <v>892.8</v>
      </c>
      <c r="N215" s="284" t="n">
        <f aca="false">SUM(N216:N222)</f>
        <v>86.4</v>
      </c>
      <c r="O215" s="272" t="n">
        <f aca="false">I215</f>
        <v>10</v>
      </c>
      <c r="P215" s="272" t="n">
        <f aca="false">N215*O215</f>
        <v>864</v>
      </c>
    </row>
    <row r="216" customFormat="false" ht="24.35" hidden="false" customHeight="false" outlineLevel="0" collapsed="false">
      <c r="B216" s="189" t="s">
        <v>254</v>
      </c>
      <c r="C216" s="269" t="n">
        <v>100309</v>
      </c>
      <c r="D216" s="286" t="s">
        <v>340</v>
      </c>
      <c r="E216" s="269" t="s">
        <v>250</v>
      </c>
      <c r="F216" s="270" t="n">
        <f aca="false">6/10</f>
        <v>0.6</v>
      </c>
      <c r="G216" s="271" t="n">
        <v>36.61</v>
      </c>
      <c r="H216" s="271" t="n">
        <f aca="false">TRUNC(F216*G216,2)</f>
        <v>21.96</v>
      </c>
      <c r="I216" s="272" t="n">
        <f aca="false">I215</f>
        <v>10</v>
      </c>
      <c r="K216" s="271" t="n">
        <f aca="false">F216*I216</f>
        <v>6</v>
      </c>
      <c r="M216" s="271" t="n">
        <v>32.15</v>
      </c>
      <c r="N216" s="271" t="n">
        <f aca="false">TRUNC(F216*M216,2)</f>
        <v>19.29</v>
      </c>
      <c r="O216" s="272" t="n">
        <f aca="false">O215</f>
        <v>10</v>
      </c>
      <c r="Q216" s="271" t="n">
        <f aca="false">F216*O216</f>
        <v>6</v>
      </c>
    </row>
    <row r="217" customFormat="false" ht="24.35" hidden="false" customHeight="false" outlineLevel="0" collapsed="false">
      <c r="B217" s="189" t="s">
        <v>254</v>
      </c>
      <c r="C217" s="269" t="n">
        <v>88239</v>
      </c>
      <c r="D217" s="286" t="s">
        <v>341</v>
      </c>
      <c r="E217" s="269" t="s">
        <v>250</v>
      </c>
      <c r="F217" s="270" t="n">
        <f aca="false">0.003878*2</f>
        <v>0.007756</v>
      </c>
      <c r="G217" s="271" t="n">
        <v>21.94</v>
      </c>
      <c r="H217" s="271" t="n">
        <f aca="false">TRUNC(F217*G217,2)</f>
        <v>0.17</v>
      </c>
      <c r="I217" s="272" t="n">
        <f aca="false">I215</f>
        <v>10</v>
      </c>
      <c r="K217" s="271" t="n">
        <f aca="false">F217*I217</f>
        <v>0.07756</v>
      </c>
      <c r="M217" s="271" t="n">
        <v>19.86</v>
      </c>
      <c r="N217" s="271" t="n">
        <f aca="false">TRUNC(F217*M217,2)</f>
        <v>0.15</v>
      </c>
      <c r="O217" s="272" t="n">
        <f aca="false">O215</f>
        <v>10</v>
      </c>
      <c r="Q217" s="271" t="n">
        <f aca="false">F217*O217</f>
        <v>0.07756</v>
      </c>
    </row>
    <row r="218" customFormat="false" ht="24.35" hidden="false" customHeight="false" outlineLevel="0" collapsed="false">
      <c r="B218" s="189" t="s">
        <v>264</v>
      </c>
      <c r="C218" s="269" t="s">
        <v>342</v>
      </c>
      <c r="D218" s="286" t="s">
        <v>343</v>
      </c>
      <c r="E218" s="269" t="s">
        <v>259</v>
      </c>
      <c r="F218" s="270" t="n">
        <f aca="false">4/10</f>
        <v>0.4</v>
      </c>
      <c r="G218" s="271" t="n">
        <f aca="false">AVERAGE(119.21,82,67.67,77.14)</f>
        <v>86.505</v>
      </c>
      <c r="H218" s="271" t="n">
        <f aca="false">TRUNC(F218*G218,2)</f>
        <v>34.6</v>
      </c>
      <c r="I218" s="272" t="n">
        <f aca="false">I215</f>
        <v>10</v>
      </c>
      <c r="K218" s="271"/>
      <c r="M218" s="271" t="n">
        <f aca="false">AVERAGE(119.21,82,67.67,77.14)</f>
        <v>86.505</v>
      </c>
      <c r="N218" s="271" t="n">
        <f aca="false">TRUNC(F218*M218,2)</f>
        <v>34.6</v>
      </c>
      <c r="O218" s="272" t="n">
        <f aca="false">O217</f>
        <v>10</v>
      </c>
      <c r="Q218" s="271"/>
      <c r="R218" s="189" t="s">
        <v>344</v>
      </c>
    </row>
    <row r="219" customFormat="false" ht="35.6" hidden="false" customHeight="false" outlineLevel="0" collapsed="false">
      <c r="B219" s="189" t="s">
        <v>264</v>
      </c>
      <c r="C219" s="269" t="n">
        <v>41950</v>
      </c>
      <c r="D219" s="286" t="s">
        <v>345</v>
      </c>
      <c r="E219" s="269" t="s">
        <v>259</v>
      </c>
      <c r="F219" s="270" t="n">
        <f aca="false">6/10</f>
        <v>0.6</v>
      </c>
      <c r="G219" s="271" t="n">
        <f aca="false">AVERAGE(23.84,32.79,21,17.54,23.84,19.11)</f>
        <v>23.02</v>
      </c>
      <c r="H219" s="271" t="n">
        <f aca="false">TRUNC(F219*G219,2)</f>
        <v>13.81</v>
      </c>
      <c r="I219" s="272" t="n">
        <f aca="false">I217</f>
        <v>10</v>
      </c>
      <c r="K219" s="271"/>
      <c r="M219" s="271" t="n">
        <f aca="false">AVERAGE(23.84,32.79,21,17.54,23.84,19.11)</f>
        <v>23.02</v>
      </c>
      <c r="N219" s="271" t="n">
        <f aca="false">TRUNC(F219*M219,2)</f>
        <v>13.81</v>
      </c>
      <c r="O219" s="272" t="n">
        <f aca="false">O218</f>
        <v>10</v>
      </c>
      <c r="Q219" s="271"/>
      <c r="R219" s="189" t="s">
        <v>344</v>
      </c>
    </row>
    <row r="220" customFormat="false" ht="13.1" hidden="false" customHeight="false" outlineLevel="0" collapsed="false">
      <c r="B220" s="189" t="s">
        <v>254</v>
      </c>
      <c r="C220" s="269" t="n">
        <v>88262</v>
      </c>
      <c r="D220" s="286" t="s">
        <v>346</v>
      </c>
      <c r="E220" s="269" t="s">
        <v>250</v>
      </c>
      <c r="F220" s="270" t="n">
        <f aca="false">0.0349*2</f>
        <v>0.0698</v>
      </c>
      <c r="G220" s="271" t="n">
        <v>26.73</v>
      </c>
      <c r="H220" s="271" t="n">
        <f aca="false">TRUNC(F220*G220,2)</f>
        <v>1.86</v>
      </c>
      <c r="I220" s="272" t="n">
        <f aca="false">I217</f>
        <v>10</v>
      </c>
      <c r="K220" s="271" t="n">
        <f aca="false">F220*I220</f>
        <v>0.698</v>
      </c>
      <c r="M220" s="271" t="n">
        <v>24.02</v>
      </c>
      <c r="N220" s="271" t="n">
        <f aca="false">TRUNC(F220*M220,2)</f>
        <v>1.67</v>
      </c>
      <c r="O220" s="272" t="n">
        <f aca="false">O218</f>
        <v>10</v>
      </c>
      <c r="Q220" s="271" t="n">
        <f aca="false">F220*O220</f>
        <v>0.698</v>
      </c>
    </row>
    <row r="221" customFormat="false" ht="24.35" hidden="false" customHeight="false" outlineLevel="0" collapsed="false">
      <c r="B221" s="189" t="s">
        <v>264</v>
      </c>
      <c r="C221" s="269" t="n">
        <v>41955</v>
      </c>
      <c r="D221" s="286" t="s">
        <v>347</v>
      </c>
      <c r="E221" s="269" t="s">
        <v>304</v>
      </c>
      <c r="F221" s="270" t="n">
        <f aca="false">0.08473*2</f>
        <v>0.16946</v>
      </c>
      <c r="G221" s="271" t="n">
        <v>90.37</v>
      </c>
      <c r="H221" s="271" t="n">
        <f aca="false">TRUNC(F221*G221,2)</f>
        <v>15.31</v>
      </c>
      <c r="I221" s="272" t="n">
        <f aca="false">I218</f>
        <v>10</v>
      </c>
      <c r="K221" s="271"/>
      <c r="M221" s="271" t="n">
        <v>90.37</v>
      </c>
      <c r="N221" s="271" t="n">
        <f aca="false">TRUNC(F221*M221,2)</f>
        <v>15.31</v>
      </c>
      <c r="O221" s="272" t="n">
        <f aca="false">O220</f>
        <v>10</v>
      </c>
      <c r="Q221" s="271"/>
    </row>
    <row r="222" customFormat="false" ht="24.35" hidden="false" customHeight="false" outlineLevel="0" collapsed="false">
      <c r="B222" s="189" t="s">
        <v>264</v>
      </c>
      <c r="C222" s="269" t="n">
        <v>43058</v>
      </c>
      <c r="D222" s="286" t="s">
        <v>348</v>
      </c>
      <c r="E222" s="269" t="s">
        <v>304</v>
      </c>
      <c r="F222" s="270" t="n">
        <f aca="false">0.1122*2</f>
        <v>0.2244</v>
      </c>
      <c r="G222" s="271" t="n">
        <v>7.03</v>
      </c>
      <c r="H222" s="271" t="n">
        <f aca="false">TRUNC(F222*G222,2)</f>
        <v>1.57</v>
      </c>
      <c r="I222" s="272" t="n">
        <f aca="false">I220</f>
        <v>10</v>
      </c>
      <c r="K222" s="271"/>
      <c r="M222" s="271" t="n">
        <v>7.03</v>
      </c>
      <c r="N222" s="271" t="n">
        <f aca="false">TRUNC(F222*M222,2)</f>
        <v>1.57</v>
      </c>
      <c r="O222" s="272" t="n">
        <f aca="false">O221</f>
        <v>10</v>
      </c>
      <c r="Q222" s="271"/>
    </row>
    <row r="225" customFormat="false" ht="12.8" hidden="false" customHeight="false" outlineLevel="0" collapsed="false">
      <c r="A225" s="0"/>
      <c r="B225" s="0"/>
      <c r="C225" s="0"/>
      <c r="D225" s="0"/>
      <c r="E225" s="0"/>
      <c r="F225" s="0"/>
      <c r="G225" s="0"/>
      <c r="H225" s="0"/>
      <c r="I225" s="0"/>
    </row>
    <row r="226" customFormat="false" ht="24.35" hidden="false" customHeight="false" outlineLevel="0" collapsed="false">
      <c r="B226" s="276" t="s">
        <v>243</v>
      </c>
      <c r="C226" s="276" t="s">
        <v>244</v>
      </c>
      <c r="D226" s="277" t="s">
        <v>25</v>
      </c>
      <c r="E226" s="276" t="s">
        <v>9</v>
      </c>
      <c r="F226" s="278" t="s">
        <v>245</v>
      </c>
      <c r="G226" s="279" t="s">
        <v>246</v>
      </c>
      <c r="H226" s="279" t="s">
        <v>247</v>
      </c>
      <c r="I226" s="280" t="s">
        <v>248</v>
      </c>
      <c r="J226" s="280" t="s">
        <v>249</v>
      </c>
      <c r="K226" s="280" t="s">
        <v>250</v>
      </c>
      <c r="M226" s="279" t="s">
        <v>246</v>
      </c>
      <c r="N226" s="279" t="s">
        <v>247</v>
      </c>
      <c r="O226" s="280" t="s">
        <v>248</v>
      </c>
      <c r="P226" s="280" t="s">
        <v>249</v>
      </c>
      <c r="Q226" s="280" t="s">
        <v>250</v>
      </c>
    </row>
    <row r="227" customFormat="false" ht="15" hidden="false" customHeight="false" outlineLevel="0" collapsed="false">
      <c r="A227" s="94" t="s">
        <v>86</v>
      </c>
      <c r="B227" s="285" t="s">
        <v>349</v>
      </c>
      <c r="C227" s="282" t="s">
        <v>87</v>
      </c>
      <c r="D227" s="281" t="s">
        <v>350</v>
      </c>
      <c r="E227" s="282" t="s">
        <v>292</v>
      </c>
      <c r="F227" s="283"/>
      <c r="G227" s="284"/>
      <c r="H227" s="284" t="n">
        <f aca="false">SUM(H228:H230)</f>
        <v>10.89</v>
      </c>
      <c r="I227" s="272" t="n">
        <f aca="false">PL_ORC_ANALIT!H36</f>
        <v>11</v>
      </c>
      <c r="J227" s="272" t="n">
        <f aca="false">H227*I227</f>
        <v>119.79</v>
      </c>
      <c r="N227" s="284" t="n">
        <f aca="false">SUM(N228:N230)</f>
        <v>10.22</v>
      </c>
      <c r="O227" s="272" t="n">
        <f aca="false">I227</f>
        <v>11</v>
      </c>
      <c r="P227" s="272" t="n">
        <f aca="false">N227*O227</f>
        <v>112.42</v>
      </c>
    </row>
    <row r="228" customFormat="false" ht="12.8" hidden="false" customHeight="false" outlineLevel="0" collapsed="false">
      <c r="B228" s="189" t="s">
        <v>264</v>
      </c>
      <c r="C228" s="269" t="n">
        <v>5318</v>
      </c>
      <c r="D228" s="189" t="s">
        <v>351</v>
      </c>
      <c r="E228" s="269" t="s">
        <v>310</v>
      </c>
      <c r="F228" s="270" t="n">
        <f aca="false">0.023*5</f>
        <v>0.115</v>
      </c>
      <c r="G228" s="271" t="n">
        <v>26.16</v>
      </c>
      <c r="H228" s="271" t="n">
        <f aca="false">TRUNC(F228*G228,2)</f>
        <v>3</v>
      </c>
      <c r="I228" s="272" t="n">
        <f aca="false">I227</f>
        <v>11</v>
      </c>
      <c r="K228" s="271"/>
      <c r="M228" s="271" t="n">
        <v>26.16</v>
      </c>
      <c r="N228" s="271" t="n">
        <f aca="false">TRUNC(F228*M228,2)</f>
        <v>3</v>
      </c>
      <c r="O228" s="272" t="n">
        <f aca="false">O227</f>
        <v>11</v>
      </c>
      <c r="Q228" s="271"/>
    </row>
    <row r="229" customFormat="false" ht="12.8" hidden="false" customHeight="false" outlineLevel="0" collapsed="false">
      <c r="B229" s="189" t="s">
        <v>264</v>
      </c>
      <c r="C229" s="269" t="n">
        <v>44329</v>
      </c>
      <c r="D229" s="189" t="s">
        <v>316</v>
      </c>
      <c r="E229" s="269" t="s">
        <v>310</v>
      </c>
      <c r="F229" s="270" t="n">
        <f aca="false">0.006*5</f>
        <v>0.03</v>
      </c>
      <c r="G229" s="271" t="n">
        <v>16.18</v>
      </c>
      <c r="H229" s="271" t="n">
        <f aca="false">TRUNC(F229*G229,2)</f>
        <v>0.48</v>
      </c>
      <c r="I229" s="272" t="n">
        <f aca="false">I227</f>
        <v>11</v>
      </c>
      <c r="K229" s="271"/>
      <c r="M229" s="271" t="n">
        <v>16.18</v>
      </c>
      <c r="N229" s="271" t="n">
        <f aca="false">TRUNC(F229*M229,2)</f>
        <v>0.48</v>
      </c>
      <c r="O229" s="272" t="n">
        <f aca="false">O228</f>
        <v>11</v>
      </c>
      <c r="Q229" s="271"/>
    </row>
    <row r="230" customFormat="false" ht="12.8" hidden="false" customHeight="false" outlineLevel="0" collapsed="false">
      <c r="B230" s="189" t="s">
        <v>254</v>
      </c>
      <c r="C230" s="269" t="n">
        <v>88316</v>
      </c>
      <c r="D230" s="189" t="s">
        <v>256</v>
      </c>
      <c r="E230" s="269" t="s">
        <v>250</v>
      </c>
      <c r="F230" s="270" t="n">
        <f aca="false">0.093*4</f>
        <v>0.372</v>
      </c>
      <c r="G230" s="271" t="n">
        <v>19.94</v>
      </c>
      <c r="H230" s="271" t="n">
        <f aca="false">TRUNC(F230*G230,2)</f>
        <v>7.41</v>
      </c>
      <c r="I230" s="272" t="n">
        <f aca="false">I228</f>
        <v>11</v>
      </c>
      <c r="K230" s="271" t="n">
        <f aca="false">F230*I230</f>
        <v>4.092</v>
      </c>
      <c r="M230" s="271" t="n">
        <v>18.12</v>
      </c>
      <c r="N230" s="271" t="n">
        <f aca="false">TRUNC(F230*M230,2)</f>
        <v>6.74</v>
      </c>
      <c r="O230" s="272" t="n">
        <f aca="false">O229</f>
        <v>11</v>
      </c>
      <c r="Q230" s="271" t="n">
        <f aca="false">F230*O230</f>
        <v>4.092</v>
      </c>
    </row>
    <row r="234" customFormat="false" ht="24.35" hidden="false" customHeight="false" outlineLevel="0" collapsed="false">
      <c r="B234" s="276" t="s">
        <v>243</v>
      </c>
      <c r="C234" s="276" t="s">
        <v>244</v>
      </c>
      <c r="D234" s="277" t="s">
        <v>25</v>
      </c>
      <c r="E234" s="276" t="s">
        <v>9</v>
      </c>
      <c r="F234" s="278" t="s">
        <v>245</v>
      </c>
      <c r="G234" s="279" t="s">
        <v>246</v>
      </c>
      <c r="H234" s="279" t="s">
        <v>247</v>
      </c>
      <c r="I234" s="280" t="s">
        <v>248</v>
      </c>
      <c r="J234" s="280" t="s">
        <v>249</v>
      </c>
      <c r="K234" s="280" t="s">
        <v>250</v>
      </c>
      <c r="M234" s="279" t="s">
        <v>246</v>
      </c>
      <c r="N234" s="279" t="s">
        <v>247</v>
      </c>
      <c r="O234" s="280" t="s">
        <v>248</v>
      </c>
      <c r="P234" s="280" t="s">
        <v>249</v>
      </c>
      <c r="Q234" s="280" t="s">
        <v>250</v>
      </c>
    </row>
    <row r="235" customFormat="false" ht="35.6" hidden="false" customHeight="false" outlineLevel="0" collapsed="false">
      <c r="A235" s="94" t="s">
        <v>89</v>
      </c>
      <c r="B235" s="285" t="s">
        <v>352</v>
      </c>
      <c r="C235" s="282" t="s">
        <v>90</v>
      </c>
      <c r="D235" s="281" t="s">
        <v>353</v>
      </c>
      <c r="E235" s="282" t="s">
        <v>292</v>
      </c>
      <c r="F235" s="283"/>
      <c r="G235" s="284"/>
      <c r="H235" s="284" t="n">
        <f aca="false">SUM(H236:H240)</f>
        <v>141.04</v>
      </c>
      <c r="I235" s="272" t="n">
        <f aca="false">PL_ORC_ANALIT!H37</f>
        <v>11</v>
      </c>
      <c r="J235" s="272" t="n">
        <f aca="false">H235*I235</f>
        <v>1551.44</v>
      </c>
      <c r="N235" s="284" t="n">
        <f aca="false">SUM(N236:N240)</f>
        <v>134.98</v>
      </c>
      <c r="O235" s="272" t="n">
        <f aca="false">I235</f>
        <v>11</v>
      </c>
      <c r="P235" s="272" t="n">
        <f aca="false">N235*O235</f>
        <v>1484.78</v>
      </c>
    </row>
    <row r="236" customFormat="false" ht="24.35" hidden="false" customHeight="false" outlineLevel="0" collapsed="false">
      <c r="B236" s="189" t="s">
        <v>264</v>
      </c>
      <c r="C236" s="269" t="n">
        <v>511</v>
      </c>
      <c r="D236" s="286" t="s">
        <v>354</v>
      </c>
      <c r="E236" s="269" t="s">
        <v>310</v>
      </c>
      <c r="F236" s="270" t="n">
        <v>0.5872</v>
      </c>
      <c r="G236" s="271" t="n">
        <v>18.7</v>
      </c>
      <c r="H236" s="271" t="n">
        <f aca="false">TRUNC(F236*G236,2)</f>
        <v>10.98</v>
      </c>
      <c r="I236" s="272" t="n">
        <f aca="false">I235</f>
        <v>11</v>
      </c>
      <c r="K236" s="271"/>
      <c r="M236" s="271" t="n">
        <v>18.7</v>
      </c>
      <c r="N236" s="271" t="n">
        <f aca="false">TRUNC(F236*M236,2)</f>
        <v>10.98</v>
      </c>
      <c r="O236" s="272" t="n">
        <f aca="false">O235</f>
        <v>11</v>
      </c>
      <c r="Q236" s="271"/>
    </row>
    <row r="237" customFormat="false" ht="24.35" hidden="false" customHeight="false" outlineLevel="0" collapsed="false">
      <c r="B237" s="189" t="s">
        <v>264</v>
      </c>
      <c r="C237" s="269" t="n">
        <v>4015</v>
      </c>
      <c r="D237" s="286" t="s">
        <v>355</v>
      </c>
      <c r="E237" s="269" t="s">
        <v>292</v>
      </c>
      <c r="F237" s="270" t="n">
        <v>1.1319</v>
      </c>
      <c r="G237" s="271" t="n">
        <v>59.87</v>
      </c>
      <c r="H237" s="271" t="n">
        <f aca="false">TRUNC(F237*G237,2)</f>
        <v>67.76</v>
      </c>
      <c r="I237" s="272" t="n">
        <f aca="false">I235</f>
        <v>11</v>
      </c>
      <c r="K237" s="271"/>
      <c r="M237" s="271" t="n">
        <v>59.87</v>
      </c>
      <c r="N237" s="271" t="n">
        <f aca="false">TRUNC(F237*M237,2)</f>
        <v>67.76</v>
      </c>
      <c r="O237" s="272" t="n">
        <f aca="false">O236</f>
        <v>11</v>
      </c>
      <c r="Q237" s="271"/>
      <c r="R237" s="189" t="s">
        <v>356</v>
      </c>
    </row>
    <row r="238" customFormat="false" ht="13.1" hidden="false" customHeight="false" outlineLevel="0" collapsed="false">
      <c r="B238" s="189" t="s">
        <v>264</v>
      </c>
      <c r="C238" s="269" t="n">
        <v>4226</v>
      </c>
      <c r="D238" s="286" t="s">
        <v>357</v>
      </c>
      <c r="E238" s="269" t="s">
        <v>304</v>
      </c>
      <c r="F238" s="270" t="n">
        <v>0.26</v>
      </c>
      <c r="G238" s="271" t="n">
        <v>7.75</v>
      </c>
      <c r="H238" s="271" t="n">
        <f aca="false">TRUNC(F238*G238,2)</f>
        <v>2.01</v>
      </c>
      <c r="I238" s="272" t="n">
        <f aca="false">I236</f>
        <v>11</v>
      </c>
      <c r="K238" s="271"/>
      <c r="M238" s="271" t="n">
        <v>7.75</v>
      </c>
      <c r="N238" s="271" t="n">
        <f aca="false">TRUNC(F238*M238,2)</f>
        <v>2.01</v>
      </c>
      <c r="O238" s="272" t="n">
        <f aca="false">O237</f>
        <v>11</v>
      </c>
      <c r="Q238" s="271"/>
    </row>
    <row r="239" customFormat="false" ht="13.1" hidden="false" customHeight="false" outlineLevel="0" collapsed="false">
      <c r="B239" s="189" t="s">
        <v>254</v>
      </c>
      <c r="C239" s="269" t="n">
        <v>88243</v>
      </c>
      <c r="D239" s="286" t="s">
        <v>358</v>
      </c>
      <c r="E239" s="269" t="s">
        <v>250</v>
      </c>
      <c r="F239" s="270" t="n">
        <f aca="false">0.2102*2</f>
        <v>0.4204</v>
      </c>
      <c r="G239" s="271" t="n">
        <v>23.23</v>
      </c>
      <c r="H239" s="271" t="n">
        <f aca="false">TRUNC(F239*G239,2)</f>
        <v>9.76</v>
      </c>
      <c r="I239" s="272" t="n">
        <f aca="false">I237</f>
        <v>11</v>
      </c>
      <c r="K239" s="271" t="n">
        <f aca="false">F239*I239</f>
        <v>4.6244</v>
      </c>
      <c r="M239" s="271" t="n">
        <v>20.98</v>
      </c>
      <c r="N239" s="271" t="n">
        <f aca="false">TRUNC(F239*M239,2)</f>
        <v>8.81</v>
      </c>
      <c r="O239" s="272" t="n">
        <f aca="false">O238</f>
        <v>11</v>
      </c>
      <c r="Q239" s="271" t="n">
        <f aca="false">F239*O239</f>
        <v>4.6244</v>
      </c>
    </row>
    <row r="240" customFormat="false" ht="13.1" hidden="false" customHeight="false" outlineLevel="0" collapsed="false">
      <c r="B240" s="189" t="s">
        <v>254</v>
      </c>
      <c r="C240" s="269" t="n">
        <v>88270</v>
      </c>
      <c r="D240" s="286" t="s">
        <v>359</v>
      </c>
      <c r="E240" s="269" t="s">
        <v>250</v>
      </c>
      <c r="F240" s="270" t="n">
        <f aca="false">0.9324*2</f>
        <v>1.8648</v>
      </c>
      <c r="G240" s="271" t="n">
        <v>27.1</v>
      </c>
      <c r="H240" s="271" t="n">
        <f aca="false">TRUNC(F240*G240,2)</f>
        <v>50.53</v>
      </c>
      <c r="I240" s="272" t="n">
        <f aca="false">I238</f>
        <v>11</v>
      </c>
      <c r="K240" s="271" t="n">
        <f aca="false">F240*I240</f>
        <v>20.5128</v>
      </c>
      <c r="M240" s="271" t="n">
        <v>24.36</v>
      </c>
      <c r="N240" s="271" t="n">
        <f aca="false">TRUNC(F240*M240,2)</f>
        <v>45.42</v>
      </c>
      <c r="O240" s="272" t="n">
        <f aca="false">O239</f>
        <v>11</v>
      </c>
      <c r="Q240" s="271" t="n">
        <f aca="false">F240*O240</f>
        <v>20.5128</v>
      </c>
    </row>
    <row r="244" customFormat="false" ht="24.35" hidden="false" customHeight="false" outlineLevel="0" collapsed="false">
      <c r="B244" s="276" t="s">
        <v>243</v>
      </c>
      <c r="C244" s="276" t="s">
        <v>244</v>
      </c>
      <c r="D244" s="277" t="s">
        <v>25</v>
      </c>
      <c r="E244" s="276" t="s">
        <v>9</v>
      </c>
      <c r="F244" s="278" t="s">
        <v>245</v>
      </c>
      <c r="G244" s="279" t="s">
        <v>246</v>
      </c>
      <c r="H244" s="279" t="s">
        <v>247</v>
      </c>
      <c r="I244" s="280" t="s">
        <v>248</v>
      </c>
      <c r="J244" s="280" t="s">
        <v>249</v>
      </c>
      <c r="K244" s="280" t="s">
        <v>250</v>
      </c>
      <c r="M244" s="279" t="s">
        <v>246</v>
      </c>
      <c r="N244" s="279" t="s">
        <v>247</v>
      </c>
      <c r="O244" s="280" t="s">
        <v>248</v>
      </c>
      <c r="P244" s="280" t="s">
        <v>249</v>
      </c>
      <c r="Q244" s="280" t="s">
        <v>250</v>
      </c>
    </row>
    <row r="245" customFormat="false" ht="24.35" hidden="false" customHeight="false" outlineLevel="0" collapsed="false">
      <c r="A245" s="94" t="s">
        <v>92</v>
      </c>
      <c r="B245" s="285" t="s">
        <v>314</v>
      </c>
      <c r="C245" s="282" t="s">
        <v>93</v>
      </c>
      <c r="D245" s="281" t="s">
        <v>315</v>
      </c>
      <c r="E245" s="282" t="s">
        <v>292</v>
      </c>
      <c r="F245" s="283"/>
      <c r="G245" s="284"/>
      <c r="H245" s="284" t="n">
        <f aca="false">SUM(H246:H247)</f>
        <v>5.23</v>
      </c>
      <c r="I245" s="272" t="n">
        <f aca="false">PL_ORC_ANALIT!H38</f>
        <v>20</v>
      </c>
      <c r="J245" s="272" t="n">
        <f aca="false">H245*I245</f>
        <v>104.6</v>
      </c>
      <c r="N245" s="284" t="n">
        <f aca="false">SUM(N246:N247)</f>
        <v>4.78</v>
      </c>
      <c r="O245" s="272" t="n">
        <f aca="false">I245</f>
        <v>20</v>
      </c>
      <c r="P245" s="272" t="n">
        <f aca="false">N245*O245</f>
        <v>95.6</v>
      </c>
    </row>
    <row r="246" customFormat="false" ht="12.8" hidden="false" customHeight="false" outlineLevel="0" collapsed="false">
      <c r="B246" s="189" t="s">
        <v>264</v>
      </c>
      <c r="C246" s="269" t="n">
        <v>44329</v>
      </c>
      <c r="D246" s="189" t="s">
        <v>316</v>
      </c>
      <c r="E246" s="269" t="s">
        <v>310</v>
      </c>
      <c r="F246" s="270" t="n">
        <f aca="false">0.006*3</f>
        <v>0.018</v>
      </c>
      <c r="G246" s="271" t="n">
        <v>16.18</v>
      </c>
      <c r="H246" s="271" t="n">
        <f aca="false">TRUNC(F246*G246,2)</f>
        <v>0.29</v>
      </c>
      <c r="I246" s="272" t="n">
        <f aca="false">I245</f>
        <v>20</v>
      </c>
      <c r="K246" s="271"/>
      <c r="M246" s="271" t="n">
        <v>16.18</v>
      </c>
      <c r="N246" s="271" t="n">
        <f aca="false">TRUNC(F246*M246,2)</f>
        <v>0.29</v>
      </c>
      <c r="O246" s="272" t="n">
        <f aca="false">O245</f>
        <v>20</v>
      </c>
      <c r="Q246" s="271"/>
    </row>
    <row r="247" customFormat="false" ht="12.8" hidden="false" customHeight="false" outlineLevel="0" collapsed="false">
      <c r="B247" s="189" t="s">
        <v>254</v>
      </c>
      <c r="C247" s="269" t="n">
        <v>88316</v>
      </c>
      <c r="D247" s="189" t="s">
        <v>256</v>
      </c>
      <c r="E247" s="269" t="s">
        <v>250</v>
      </c>
      <c r="F247" s="270" t="n">
        <v>0.248</v>
      </c>
      <c r="G247" s="271" t="n">
        <v>19.94</v>
      </c>
      <c r="H247" s="271" t="n">
        <f aca="false">TRUNC(F247*G247,2)</f>
        <v>4.94</v>
      </c>
      <c r="I247" s="272" t="n">
        <f aca="false">I245</f>
        <v>20</v>
      </c>
      <c r="K247" s="271" t="n">
        <f aca="false">F247*I247</f>
        <v>4.96</v>
      </c>
      <c r="M247" s="271" t="n">
        <v>18.12</v>
      </c>
      <c r="N247" s="271" t="n">
        <f aca="false">TRUNC(F247*M247,2)</f>
        <v>4.49</v>
      </c>
      <c r="O247" s="272" t="n">
        <f aca="false">O246</f>
        <v>20</v>
      </c>
      <c r="Q247" s="271" t="n">
        <f aca="false">F247*O247</f>
        <v>4.96</v>
      </c>
    </row>
    <row r="251" customFormat="false" ht="15" hidden="false" customHeight="false" outlineLevel="0" collapsed="false">
      <c r="A251" s="89" t="n">
        <v>4</v>
      </c>
      <c r="B251" s="274" t="s">
        <v>95</v>
      </c>
      <c r="C251" s="89"/>
      <c r="D251" s="89"/>
      <c r="E251" s="109"/>
      <c r="F251" s="89"/>
      <c r="G251" s="89"/>
      <c r="H251" s="275"/>
      <c r="I251" s="89"/>
    </row>
    <row r="252" customFormat="false" ht="24.35" hidden="false" customHeight="false" outlineLevel="0" collapsed="false">
      <c r="B252" s="276" t="s">
        <v>243</v>
      </c>
      <c r="C252" s="276" t="s">
        <v>244</v>
      </c>
      <c r="D252" s="277" t="s">
        <v>25</v>
      </c>
      <c r="E252" s="276" t="s">
        <v>9</v>
      </c>
      <c r="F252" s="278" t="s">
        <v>245</v>
      </c>
      <c r="G252" s="279" t="s">
        <v>246</v>
      </c>
      <c r="H252" s="279" t="s">
        <v>247</v>
      </c>
      <c r="I252" s="280" t="s">
        <v>248</v>
      </c>
      <c r="J252" s="280" t="s">
        <v>249</v>
      </c>
      <c r="K252" s="280" t="s">
        <v>250</v>
      </c>
      <c r="M252" s="279" t="s">
        <v>246</v>
      </c>
      <c r="N252" s="279" t="s">
        <v>247</v>
      </c>
      <c r="O252" s="280" t="s">
        <v>248</v>
      </c>
      <c r="P252" s="280" t="s">
        <v>249</v>
      </c>
      <c r="Q252" s="280" t="s">
        <v>250</v>
      </c>
    </row>
    <row r="253" customFormat="false" ht="38.4" hidden="false" customHeight="false" outlineLevel="0" collapsed="false">
      <c r="A253" s="94" t="s">
        <v>96</v>
      </c>
      <c r="B253" s="288"/>
      <c r="C253" s="295" t="s">
        <v>97</v>
      </c>
      <c r="D253" s="293" t="s">
        <v>323</v>
      </c>
      <c r="E253" s="289" t="s">
        <v>259</v>
      </c>
      <c r="F253" s="291"/>
      <c r="G253" s="292"/>
      <c r="H253" s="292" t="n">
        <f aca="false">H254+H258</f>
        <v>47.62</v>
      </c>
      <c r="I253" s="272" t="n">
        <f aca="false">PL_ORC_ANALIT!H41</f>
        <v>6</v>
      </c>
      <c r="N253" s="292" t="n">
        <f aca="false">N254+N258</f>
        <v>42.83</v>
      </c>
      <c r="O253" s="272"/>
      <c r="P253" s="272"/>
    </row>
    <row r="254" customFormat="false" ht="35.6" hidden="false" customHeight="false" outlineLevel="0" collapsed="false">
      <c r="B254" s="285" t="s">
        <v>324</v>
      </c>
      <c r="C254" s="282" t="n">
        <v>92343</v>
      </c>
      <c r="D254" s="281" t="s">
        <v>325</v>
      </c>
      <c r="E254" s="282" t="s">
        <v>261</v>
      </c>
      <c r="F254" s="283"/>
      <c r="G254" s="284"/>
      <c r="H254" s="284" t="n">
        <f aca="false">SUM(H255:H257)</f>
        <v>26.84</v>
      </c>
      <c r="I254" s="272" t="n">
        <f aca="false">I253</f>
        <v>6</v>
      </c>
      <c r="J254" s="272" t="n">
        <f aca="false">H254*I254</f>
        <v>161.04</v>
      </c>
      <c r="N254" s="284" t="n">
        <f aca="false">SUM(N255:N257)</f>
        <v>24.14</v>
      </c>
      <c r="O254" s="272" t="n">
        <f aca="false">I254</f>
        <v>6</v>
      </c>
      <c r="P254" s="272" t="n">
        <f aca="false">N254*O254</f>
        <v>144.84</v>
      </c>
    </row>
    <row r="255" customFormat="false" ht="12.8" hidden="false" customHeight="false" outlineLevel="0" collapsed="false">
      <c r="B255" s="189" t="s">
        <v>264</v>
      </c>
      <c r="C255" s="269" t="n">
        <v>7694</v>
      </c>
      <c r="D255" s="189" t="s">
        <v>326</v>
      </c>
      <c r="E255" s="269" t="s">
        <v>261</v>
      </c>
      <c r="F255" s="270" t="n">
        <v>1.039</v>
      </c>
      <c r="G255" s="271" t="n">
        <v>0</v>
      </c>
      <c r="H255" s="271" t="n">
        <f aca="false">TRUNC(F255*G255,2)</f>
        <v>0</v>
      </c>
      <c r="I255" s="272" t="n">
        <f aca="false">I254</f>
        <v>6</v>
      </c>
      <c r="K255" s="271"/>
      <c r="M255" s="271" t="n">
        <v>0</v>
      </c>
      <c r="N255" s="271" t="n">
        <f aca="false">TRUNC(F255*M255,2)</f>
        <v>0</v>
      </c>
      <c r="O255" s="272" t="n">
        <f aca="false">O254</f>
        <v>6</v>
      </c>
      <c r="Q255" s="271"/>
    </row>
    <row r="256" customFormat="false" ht="12.8" hidden="false" customHeight="false" outlineLevel="0" collapsed="false">
      <c r="B256" s="189" t="s">
        <v>254</v>
      </c>
      <c r="C256" s="269" t="n">
        <v>88248</v>
      </c>
      <c r="D256" s="189" t="s">
        <v>266</v>
      </c>
      <c r="E256" s="269" t="s">
        <v>250</v>
      </c>
      <c r="F256" s="270" t="n">
        <v>0.562</v>
      </c>
      <c r="G256" s="271" t="n">
        <v>21.45</v>
      </c>
      <c r="H256" s="271" t="n">
        <f aca="false">TRUNC(F256*G256,2)</f>
        <v>12.05</v>
      </c>
      <c r="I256" s="272" t="n">
        <f aca="false">I254</f>
        <v>6</v>
      </c>
      <c r="K256" s="271" t="n">
        <f aca="false">F256*I256</f>
        <v>3.372</v>
      </c>
      <c r="M256" s="271" t="n">
        <v>19.36</v>
      </c>
      <c r="N256" s="271" t="n">
        <f aca="false">TRUNC(F256*M256,2)</f>
        <v>10.88</v>
      </c>
      <c r="O256" s="272" t="n">
        <f aca="false">O255</f>
        <v>6</v>
      </c>
      <c r="Q256" s="271" t="n">
        <f aca="false">F256*O256</f>
        <v>3.372</v>
      </c>
    </row>
    <row r="257" customFormat="false" ht="12.8" hidden="false" customHeight="false" outlineLevel="0" collapsed="false">
      <c r="B257" s="189" t="s">
        <v>254</v>
      </c>
      <c r="C257" s="269" t="n">
        <v>88267</v>
      </c>
      <c r="D257" s="189" t="s">
        <v>267</v>
      </c>
      <c r="E257" s="269" t="s">
        <v>250</v>
      </c>
      <c r="F257" s="270" t="n">
        <v>0.562</v>
      </c>
      <c r="G257" s="271" t="n">
        <v>26.33</v>
      </c>
      <c r="H257" s="271" t="n">
        <f aca="false">TRUNC(F257*G257,2)</f>
        <v>14.79</v>
      </c>
      <c r="I257" s="272" t="n">
        <f aca="false">I255</f>
        <v>6</v>
      </c>
      <c r="K257" s="271" t="n">
        <f aca="false">F257*I257</f>
        <v>3.372</v>
      </c>
      <c r="M257" s="271" t="n">
        <v>23.61</v>
      </c>
      <c r="N257" s="271" t="n">
        <f aca="false">TRUNC(F257*M257,2)</f>
        <v>13.26</v>
      </c>
      <c r="O257" s="272" t="n">
        <f aca="false">O256</f>
        <v>6</v>
      </c>
      <c r="Q257" s="271" t="n">
        <f aca="false">F257*O257</f>
        <v>3.372</v>
      </c>
    </row>
    <row r="258" customFormat="false" ht="35.6" hidden="false" customHeight="false" outlineLevel="0" collapsed="false">
      <c r="B258" s="285" t="s">
        <v>327</v>
      </c>
      <c r="C258" s="282" t="n">
        <v>92903</v>
      </c>
      <c r="D258" s="281" t="s">
        <v>328</v>
      </c>
      <c r="E258" s="282" t="s">
        <v>259</v>
      </c>
      <c r="F258" s="283"/>
      <c r="G258" s="284"/>
      <c r="H258" s="284" t="n">
        <f aca="false">SUM(H259:H263)</f>
        <v>20.78</v>
      </c>
      <c r="I258" s="272" t="n">
        <f aca="false">I253</f>
        <v>6</v>
      </c>
      <c r="J258" s="272" t="n">
        <f aca="false">H258*I258</f>
        <v>124.68</v>
      </c>
      <c r="N258" s="284" t="n">
        <f aca="false">SUM(N259:N263)</f>
        <v>18.69</v>
      </c>
      <c r="O258" s="272" t="n">
        <f aca="false">I258</f>
        <v>6</v>
      </c>
      <c r="P258" s="272" t="n">
        <f aca="false">N258*O258</f>
        <v>112.14</v>
      </c>
    </row>
    <row r="259" customFormat="false" ht="12.8" hidden="false" customHeight="false" outlineLevel="0" collapsed="false">
      <c r="B259" s="189" t="s">
        <v>264</v>
      </c>
      <c r="C259" s="269" t="n">
        <v>3148</v>
      </c>
      <c r="D259" s="189" t="s">
        <v>276</v>
      </c>
      <c r="E259" s="269" t="s">
        <v>259</v>
      </c>
      <c r="F259" s="270" t="n">
        <v>0</v>
      </c>
      <c r="G259" s="271" t="n">
        <v>12.76</v>
      </c>
      <c r="H259" s="271" t="n">
        <f aca="false">TRUNC(F259*G259,2)</f>
        <v>0</v>
      </c>
      <c r="I259" s="272" t="n">
        <f aca="false">I258</f>
        <v>6</v>
      </c>
      <c r="K259" s="271"/>
      <c r="M259" s="271" t="n">
        <v>0</v>
      </c>
      <c r="N259" s="271" t="n">
        <f aca="false">TRUNC(F259*M259,2)</f>
        <v>0</v>
      </c>
      <c r="O259" s="272" t="n">
        <f aca="false">O258</f>
        <v>6</v>
      </c>
      <c r="Q259" s="271"/>
    </row>
    <row r="260" customFormat="false" ht="12.8" hidden="false" customHeight="false" outlineLevel="0" collapsed="false">
      <c r="B260" s="189" t="s">
        <v>264</v>
      </c>
      <c r="C260" s="269" t="n">
        <v>7307</v>
      </c>
      <c r="D260" s="189" t="s">
        <v>329</v>
      </c>
      <c r="E260" s="269" t="s">
        <v>310</v>
      </c>
      <c r="F260" s="270" t="n">
        <v>0</v>
      </c>
      <c r="G260" s="271" t="n">
        <v>51.77</v>
      </c>
      <c r="H260" s="271" t="n">
        <f aca="false">TRUNC(F260*G260,2)</f>
        <v>0</v>
      </c>
      <c r="I260" s="272" t="n">
        <f aca="false">I258</f>
        <v>6</v>
      </c>
      <c r="K260" s="271"/>
      <c r="M260" s="271" t="n">
        <v>0</v>
      </c>
      <c r="N260" s="271" t="n">
        <f aca="false">TRUNC(F260*M260,2)</f>
        <v>0</v>
      </c>
      <c r="O260" s="272" t="n">
        <f aca="false">O259</f>
        <v>6</v>
      </c>
      <c r="Q260" s="271"/>
    </row>
    <row r="261" customFormat="false" ht="12.8" hidden="false" customHeight="false" outlineLevel="0" collapsed="false">
      <c r="B261" s="189" t="s">
        <v>264</v>
      </c>
      <c r="C261" s="269" t="n">
        <v>9890</v>
      </c>
      <c r="D261" s="189" t="s">
        <v>330</v>
      </c>
      <c r="E261" s="269" t="s">
        <v>259</v>
      </c>
      <c r="F261" s="270" t="n">
        <v>0</v>
      </c>
      <c r="G261" s="271" t="n">
        <v>260.92</v>
      </c>
      <c r="H261" s="271" t="n">
        <f aca="false">TRUNC(F261*G261,2)</f>
        <v>0</v>
      </c>
      <c r="I261" s="272" t="n">
        <f aca="false">I259</f>
        <v>6</v>
      </c>
      <c r="K261" s="271"/>
      <c r="M261" s="271" t="n">
        <v>0</v>
      </c>
      <c r="N261" s="271" t="n">
        <f aca="false">TRUNC(F261*M261,2)</f>
        <v>0</v>
      </c>
      <c r="O261" s="272" t="n">
        <f aca="false">O260</f>
        <v>6</v>
      </c>
      <c r="Q261" s="271"/>
    </row>
    <row r="262" customFormat="false" ht="12.8" hidden="false" customHeight="false" outlineLevel="0" collapsed="false">
      <c r="B262" s="189" t="s">
        <v>254</v>
      </c>
      <c r="C262" s="269" t="n">
        <v>88248</v>
      </c>
      <c r="D262" s="189" t="s">
        <v>266</v>
      </c>
      <c r="E262" s="269" t="s">
        <v>250</v>
      </c>
      <c r="F262" s="270" t="n">
        <v>0.435</v>
      </c>
      <c r="G262" s="271" t="n">
        <v>21.45</v>
      </c>
      <c r="H262" s="271" t="n">
        <f aca="false">TRUNC(F262*G262,2)</f>
        <v>9.33</v>
      </c>
      <c r="I262" s="272" t="n">
        <f aca="false">I260</f>
        <v>6</v>
      </c>
      <c r="K262" s="271" t="n">
        <f aca="false">F262*I262</f>
        <v>2.61</v>
      </c>
      <c r="M262" s="271" t="n">
        <v>19.36</v>
      </c>
      <c r="N262" s="271" t="n">
        <f aca="false">TRUNC(F262*M262,2)</f>
        <v>8.42</v>
      </c>
      <c r="O262" s="272" t="n">
        <f aca="false">O261</f>
        <v>6</v>
      </c>
      <c r="Q262" s="271" t="n">
        <f aca="false">F262*O262</f>
        <v>2.61</v>
      </c>
    </row>
    <row r="263" customFormat="false" ht="12.8" hidden="false" customHeight="false" outlineLevel="0" collapsed="false">
      <c r="B263" s="189" t="s">
        <v>254</v>
      </c>
      <c r="C263" s="269" t="n">
        <v>88267</v>
      </c>
      <c r="D263" s="189" t="s">
        <v>267</v>
      </c>
      <c r="E263" s="269" t="s">
        <v>250</v>
      </c>
      <c r="F263" s="270" t="n">
        <v>0.435</v>
      </c>
      <c r="G263" s="271" t="n">
        <v>26.33</v>
      </c>
      <c r="H263" s="271" t="n">
        <f aca="false">TRUNC(F263*G263,2)</f>
        <v>11.45</v>
      </c>
      <c r="I263" s="272" t="n">
        <f aca="false">I261</f>
        <v>6</v>
      </c>
      <c r="K263" s="271" t="n">
        <f aca="false">F263*I263</f>
        <v>2.61</v>
      </c>
      <c r="M263" s="271" t="n">
        <v>23.61</v>
      </c>
      <c r="N263" s="271" t="n">
        <f aca="false">TRUNC(F263*M263,2)</f>
        <v>10.27</v>
      </c>
      <c r="O263" s="272" t="n">
        <f aca="false">O262</f>
        <v>6</v>
      </c>
      <c r="Q263" s="271" t="n">
        <f aca="false">F263*O263</f>
        <v>2.61</v>
      </c>
    </row>
    <row r="267" customFormat="false" ht="24.35" hidden="false" customHeight="false" outlineLevel="0" collapsed="false">
      <c r="B267" s="276" t="s">
        <v>243</v>
      </c>
      <c r="C267" s="276" t="s">
        <v>244</v>
      </c>
      <c r="D267" s="277" t="s">
        <v>25</v>
      </c>
      <c r="E267" s="276" t="s">
        <v>9</v>
      </c>
      <c r="F267" s="278" t="s">
        <v>245</v>
      </c>
      <c r="G267" s="279" t="s">
        <v>246</v>
      </c>
      <c r="H267" s="279" t="s">
        <v>247</v>
      </c>
      <c r="I267" s="280" t="s">
        <v>248</v>
      </c>
      <c r="J267" s="280" t="s">
        <v>249</v>
      </c>
      <c r="K267" s="280" t="s">
        <v>250</v>
      </c>
      <c r="M267" s="279" t="s">
        <v>246</v>
      </c>
      <c r="N267" s="279" t="s">
        <v>247</v>
      </c>
      <c r="O267" s="280" t="s">
        <v>248</v>
      </c>
      <c r="P267" s="280" t="s">
        <v>249</v>
      </c>
      <c r="Q267" s="280" t="s">
        <v>250</v>
      </c>
    </row>
    <row r="268" customFormat="false" ht="38.4" hidden="false" customHeight="false" outlineLevel="0" collapsed="false">
      <c r="A268" s="94" t="s">
        <v>99</v>
      </c>
      <c r="B268" s="288"/>
      <c r="C268" s="295" t="s">
        <v>44</v>
      </c>
      <c r="D268" s="293" t="s">
        <v>360</v>
      </c>
      <c r="E268" s="289" t="s">
        <v>261</v>
      </c>
      <c r="F268" s="291"/>
      <c r="G268" s="292"/>
      <c r="H268" s="292" t="n">
        <f aca="false">H269+H274+H281+H288</f>
        <v>117.68</v>
      </c>
      <c r="I268" s="272" t="n">
        <f aca="false">PL_ORC_ANALIT!H42</f>
        <v>6</v>
      </c>
      <c r="N268" s="292" t="n">
        <f aca="false">N269+N274+N281+N288</f>
        <v>103.4</v>
      </c>
      <c r="O268" s="272"/>
      <c r="P268" s="272"/>
    </row>
    <row r="269" customFormat="false" ht="24.35" hidden="false" customHeight="false" outlineLevel="0" collapsed="false">
      <c r="B269" s="285" t="s">
        <v>278</v>
      </c>
      <c r="C269" s="282" t="n">
        <v>89451</v>
      </c>
      <c r="D269" s="281" t="s">
        <v>279</v>
      </c>
      <c r="E269" s="282" t="s">
        <v>261</v>
      </c>
      <c r="F269" s="283" t="n">
        <v>1</v>
      </c>
      <c r="G269" s="284"/>
      <c r="H269" s="284" t="n">
        <f aca="false">SUM($H$270:$H$273)</f>
        <v>44.16</v>
      </c>
      <c r="I269" s="272" t="n">
        <f aca="false">I268</f>
        <v>6</v>
      </c>
      <c r="J269" s="272" t="n">
        <f aca="false">H269*I269</f>
        <v>264.96</v>
      </c>
      <c r="N269" s="284" t="n">
        <f aca="false">SUM(N270:N273)</f>
        <v>41.81</v>
      </c>
      <c r="O269" s="272" t="n">
        <f aca="false">I269</f>
        <v>6</v>
      </c>
      <c r="P269" s="272" t="n">
        <f aca="false">N269*O269</f>
        <v>250.86</v>
      </c>
    </row>
    <row r="270" customFormat="false" ht="13.1" hidden="false" customHeight="false" outlineLevel="0" collapsed="false">
      <c r="B270" s="189" t="s">
        <v>264</v>
      </c>
      <c r="C270" s="269" t="n">
        <v>9871</v>
      </c>
      <c r="D270" s="286" t="s">
        <v>280</v>
      </c>
      <c r="E270" s="269" t="s">
        <v>261</v>
      </c>
      <c r="F270" s="270" t="n">
        <v>1.0493</v>
      </c>
      <c r="G270" s="271" t="n">
        <v>39.82</v>
      </c>
      <c r="H270" s="271" t="n">
        <f aca="false">TRUNC(F270*G270,2)</f>
        <v>41.78</v>
      </c>
      <c r="I270" s="272" t="n">
        <f aca="false">I269</f>
        <v>6</v>
      </c>
      <c r="K270" s="271"/>
      <c r="M270" s="271" t="n">
        <v>39.82</v>
      </c>
      <c r="N270" s="271" t="n">
        <f aca="false">TRUNC(F270*M270,2)</f>
        <v>41.78</v>
      </c>
      <c r="O270" s="272" t="n">
        <f aca="false">O269</f>
        <v>6</v>
      </c>
      <c r="Q270" s="271"/>
    </row>
    <row r="271" customFormat="false" ht="13.1" hidden="false" customHeight="false" outlineLevel="0" collapsed="false">
      <c r="B271" s="189" t="s">
        <v>264</v>
      </c>
      <c r="C271" s="269" t="n">
        <v>38383</v>
      </c>
      <c r="D271" s="286" t="s">
        <v>281</v>
      </c>
      <c r="E271" s="269" t="s">
        <v>259</v>
      </c>
      <c r="F271" s="270" t="n">
        <v>0.0115</v>
      </c>
      <c r="G271" s="271" t="n">
        <v>2.61</v>
      </c>
      <c r="H271" s="271" t="n">
        <f aca="false">TRUNC(F271*G271,2)</f>
        <v>0.03</v>
      </c>
      <c r="I271" s="272" t="n">
        <f aca="false">I269</f>
        <v>6</v>
      </c>
      <c r="K271" s="271"/>
      <c r="M271" s="271" t="n">
        <v>2.61</v>
      </c>
      <c r="N271" s="271" t="n">
        <f aca="false">TRUNC(F271*M271,2)</f>
        <v>0.03</v>
      </c>
      <c r="O271" s="272" t="n">
        <f aca="false">O270</f>
        <v>6</v>
      </c>
      <c r="Q271" s="271"/>
    </row>
    <row r="272" customFormat="false" ht="24.35" hidden="false" customHeight="false" outlineLevel="0" collapsed="false">
      <c r="B272" s="189" t="s">
        <v>254</v>
      </c>
      <c r="C272" s="269" t="n">
        <v>88248</v>
      </c>
      <c r="D272" s="286" t="s">
        <v>266</v>
      </c>
      <c r="E272" s="269" t="s">
        <v>250</v>
      </c>
      <c r="F272" s="270" t="n">
        <v>0.0494</v>
      </c>
      <c r="G272" s="271" t="n">
        <v>21.45</v>
      </c>
      <c r="H272" s="271" t="n">
        <f aca="false">TRUNC(F272*G272,2)</f>
        <v>1.05</v>
      </c>
      <c r="I272" s="272" t="n">
        <f aca="false">I270</f>
        <v>6</v>
      </c>
      <c r="K272" s="271" t="n">
        <f aca="false">F272*I272</f>
        <v>0.2964</v>
      </c>
      <c r="M272" s="271"/>
      <c r="N272" s="271" t="n">
        <f aca="false">TRUNC(F272*M272,2)</f>
        <v>0</v>
      </c>
      <c r="O272" s="272" t="n">
        <f aca="false">O271</f>
        <v>6</v>
      </c>
      <c r="Q272" s="271"/>
    </row>
    <row r="273" customFormat="false" ht="24.35" hidden="false" customHeight="false" outlineLevel="0" collapsed="false">
      <c r="B273" s="189" t="s">
        <v>254</v>
      </c>
      <c r="C273" s="269" t="n">
        <v>88267</v>
      </c>
      <c r="D273" s="286" t="s">
        <v>267</v>
      </c>
      <c r="E273" s="269" t="s">
        <v>250</v>
      </c>
      <c r="F273" s="270" t="n">
        <v>0.0494</v>
      </c>
      <c r="G273" s="271" t="n">
        <v>26.33</v>
      </c>
      <c r="H273" s="271" t="n">
        <f aca="false">TRUNC(F273*G273,2)</f>
        <v>1.3</v>
      </c>
      <c r="I273" s="272" t="n">
        <f aca="false">I271</f>
        <v>6</v>
      </c>
      <c r="K273" s="271" t="n">
        <f aca="false">F273*I273</f>
        <v>0.2964</v>
      </c>
      <c r="M273" s="271"/>
      <c r="N273" s="271" t="n">
        <f aca="false">TRUNC(F273*M273,2)</f>
        <v>0</v>
      </c>
      <c r="O273" s="272" t="n">
        <f aca="false">O272</f>
        <v>6</v>
      </c>
      <c r="Q273" s="271" t="n">
        <f aca="false">F273*O273</f>
        <v>0.2964</v>
      </c>
    </row>
    <row r="274" customFormat="false" ht="35.6" hidden="false" customHeight="false" outlineLevel="0" collapsed="false">
      <c r="B274" s="285" t="s">
        <v>361</v>
      </c>
      <c r="C274" s="282" t="n">
        <v>89613</v>
      </c>
      <c r="D274" s="281" t="s">
        <v>362</v>
      </c>
      <c r="E274" s="282" t="s">
        <v>259</v>
      </c>
      <c r="F274" s="283" t="n">
        <f aca="false">4/6</f>
        <v>0.666666666666667</v>
      </c>
      <c r="G274" s="284"/>
      <c r="H274" s="284" t="n">
        <f aca="false">SUM(H275:H280)</f>
        <v>18.48</v>
      </c>
      <c r="I274" s="272" t="n">
        <f aca="false">I268</f>
        <v>6</v>
      </c>
      <c r="J274" s="272" t="n">
        <f aca="false">H274*I274</f>
        <v>110.88</v>
      </c>
      <c r="N274" s="284" t="n">
        <f aca="false">SUM(N275:N280)</f>
        <v>14.94</v>
      </c>
      <c r="O274" s="272" t="n">
        <f aca="false">I274</f>
        <v>6</v>
      </c>
      <c r="P274" s="272" t="n">
        <f aca="false">N274*O274</f>
        <v>89.64</v>
      </c>
    </row>
    <row r="275" customFormat="false" ht="24.35" hidden="false" customHeight="false" outlineLevel="0" collapsed="false">
      <c r="B275" s="189" t="s">
        <v>264</v>
      </c>
      <c r="C275" s="269" t="n">
        <v>104</v>
      </c>
      <c r="D275" s="286" t="s">
        <v>363</v>
      </c>
      <c r="E275" s="269" t="s">
        <v>259</v>
      </c>
      <c r="F275" s="270" t="n">
        <f aca="false">1*F274</f>
        <v>0.666666666666667</v>
      </c>
      <c r="G275" s="271" t="n">
        <v>18.4</v>
      </c>
      <c r="H275" s="271" t="n">
        <f aca="false">TRUNC(F275*G275,2)</f>
        <v>12.26</v>
      </c>
      <c r="I275" s="272" t="n">
        <f aca="false">I274</f>
        <v>6</v>
      </c>
      <c r="K275" s="271"/>
      <c r="M275" s="271" t="n">
        <v>18.4</v>
      </c>
      <c r="N275" s="271" t="n">
        <f aca="false">TRUNC(F275*M275,2)</f>
        <v>12.26</v>
      </c>
      <c r="O275" s="272" t="n">
        <f aca="false">O274</f>
        <v>6</v>
      </c>
      <c r="Q275" s="271"/>
    </row>
    <row r="276" customFormat="false" ht="13.1" hidden="false" customHeight="false" outlineLevel="0" collapsed="false">
      <c r="B276" s="189" t="s">
        <v>264</v>
      </c>
      <c r="C276" s="269" t="n">
        <v>122</v>
      </c>
      <c r="D276" s="286" t="s">
        <v>284</v>
      </c>
      <c r="E276" s="269" t="s">
        <v>259</v>
      </c>
      <c r="F276" s="270" t="n">
        <f aca="false">0.0235*F274</f>
        <v>0.0156666666666667</v>
      </c>
      <c r="G276" s="271" t="n">
        <v>57.7</v>
      </c>
      <c r="H276" s="271" t="n">
        <f aca="false">TRUNC(F276*G276,2)</f>
        <v>0.9</v>
      </c>
      <c r="I276" s="272" t="n">
        <f aca="false">I274</f>
        <v>6</v>
      </c>
      <c r="K276" s="271"/>
      <c r="M276" s="271" t="n">
        <v>57.7</v>
      </c>
      <c r="N276" s="271" t="n">
        <f aca="false">TRUNC(F276*M276,2)</f>
        <v>0.9</v>
      </c>
      <c r="O276" s="272" t="n">
        <f aca="false">O275</f>
        <v>6</v>
      </c>
      <c r="Q276" s="271"/>
    </row>
    <row r="277" customFormat="false" ht="24.35" hidden="false" customHeight="false" outlineLevel="0" collapsed="false">
      <c r="B277" s="189" t="s">
        <v>264</v>
      </c>
      <c r="C277" s="269" t="n">
        <v>20083</v>
      </c>
      <c r="D277" s="286" t="s">
        <v>286</v>
      </c>
      <c r="E277" s="269" t="s">
        <v>259</v>
      </c>
      <c r="F277" s="270" t="n">
        <f aca="false">0.04*F274</f>
        <v>0.0266666666666667</v>
      </c>
      <c r="G277" s="271" t="n">
        <v>65.38</v>
      </c>
      <c r="H277" s="271" t="n">
        <f aca="false">TRUNC(F277*G277,2)</f>
        <v>1.74</v>
      </c>
      <c r="I277" s="272" t="n">
        <f aca="false">I275</f>
        <v>6</v>
      </c>
      <c r="K277" s="271"/>
      <c r="M277" s="271" t="n">
        <v>65.38</v>
      </c>
      <c r="N277" s="271" t="n">
        <f aca="false">TRUNC(F277*M277,2)</f>
        <v>1.74</v>
      </c>
      <c r="O277" s="272" t="n">
        <f aca="false">O276</f>
        <v>6</v>
      </c>
      <c r="Q277" s="271"/>
    </row>
    <row r="278" customFormat="false" ht="13.1" hidden="false" customHeight="false" outlineLevel="0" collapsed="false">
      <c r="B278" s="189" t="s">
        <v>264</v>
      </c>
      <c r="C278" s="269" t="n">
        <v>38383</v>
      </c>
      <c r="D278" s="286" t="s">
        <v>281</v>
      </c>
      <c r="E278" s="269" t="s">
        <v>259</v>
      </c>
      <c r="F278" s="270" t="n">
        <f aca="false">0.0249*F274</f>
        <v>0.0166</v>
      </c>
      <c r="G278" s="271" t="n">
        <v>2.61</v>
      </c>
      <c r="H278" s="271" t="n">
        <f aca="false">TRUNC(F278*G278,2)</f>
        <v>0.04</v>
      </c>
      <c r="I278" s="272" t="n">
        <f aca="false">I276</f>
        <v>6</v>
      </c>
      <c r="K278" s="271"/>
      <c r="M278" s="271" t="n">
        <v>2.61</v>
      </c>
      <c r="N278" s="271" t="n">
        <f aca="false">TRUNC(F278*M278,2)</f>
        <v>0.04</v>
      </c>
      <c r="O278" s="272" t="n">
        <f aca="false">O277</f>
        <v>6</v>
      </c>
      <c r="Q278" s="271"/>
    </row>
    <row r="279" customFormat="false" ht="24.35" hidden="false" customHeight="false" outlineLevel="0" collapsed="false">
      <c r="B279" s="189" t="s">
        <v>254</v>
      </c>
      <c r="C279" s="269" t="n">
        <v>88248</v>
      </c>
      <c r="D279" s="286" t="s">
        <v>266</v>
      </c>
      <c r="E279" s="269" t="s">
        <v>250</v>
      </c>
      <c r="F279" s="270" t="n">
        <f aca="false">0.1112*F274</f>
        <v>0.0741333333333333</v>
      </c>
      <c r="G279" s="271" t="n">
        <v>21.45</v>
      </c>
      <c r="H279" s="271" t="n">
        <f aca="false">TRUNC(F279*G279,2)</f>
        <v>1.59</v>
      </c>
      <c r="I279" s="272" t="n">
        <f aca="false">I277</f>
        <v>6</v>
      </c>
      <c r="K279" s="271" t="n">
        <f aca="false">F279*I279</f>
        <v>0.4448</v>
      </c>
      <c r="M279" s="271"/>
      <c r="N279" s="271" t="n">
        <f aca="false">TRUNC(F279*M279,2)</f>
        <v>0</v>
      </c>
      <c r="O279" s="272" t="n">
        <f aca="false">O278</f>
        <v>6</v>
      </c>
      <c r="Q279" s="271" t="n">
        <f aca="false">F279*O279</f>
        <v>0.4448</v>
      </c>
    </row>
    <row r="280" customFormat="false" ht="24.35" hidden="false" customHeight="false" outlineLevel="0" collapsed="false">
      <c r="B280" s="189" t="s">
        <v>254</v>
      </c>
      <c r="C280" s="269" t="n">
        <v>88267</v>
      </c>
      <c r="D280" s="286" t="s">
        <v>267</v>
      </c>
      <c r="E280" s="269" t="s">
        <v>250</v>
      </c>
      <c r="F280" s="270" t="n">
        <f aca="false">0.1112*F274</f>
        <v>0.0741333333333333</v>
      </c>
      <c r="G280" s="271" t="n">
        <v>26.33</v>
      </c>
      <c r="H280" s="271" t="n">
        <f aca="false">TRUNC(F280*G280,2)</f>
        <v>1.95</v>
      </c>
      <c r="I280" s="272" t="n">
        <f aca="false">I278</f>
        <v>6</v>
      </c>
      <c r="K280" s="271" t="n">
        <f aca="false">F280*I280</f>
        <v>0.4448</v>
      </c>
      <c r="M280" s="271"/>
      <c r="N280" s="271" t="n">
        <f aca="false">TRUNC(F280*M280,2)</f>
        <v>0</v>
      </c>
      <c r="O280" s="272" t="n">
        <f aca="false">O279</f>
        <v>6</v>
      </c>
      <c r="Q280" s="271" t="n">
        <f aca="false">F280*O280</f>
        <v>0.4448</v>
      </c>
    </row>
    <row r="281" customFormat="false" ht="24.35" hidden="false" customHeight="false" outlineLevel="0" collapsed="false">
      <c r="B281" s="285" t="s">
        <v>282</v>
      </c>
      <c r="C281" s="282" t="n">
        <v>89513</v>
      </c>
      <c r="D281" s="281" t="s">
        <v>283</v>
      </c>
      <c r="E281" s="282" t="s">
        <v>259</v>
      </c>
      <c r="F281" s="283" t="n">
        <f aca="false">1/6</f>
        <v>0.166666666666667</v>
      </c>
      <c r="G281" s="284"/>
      <c r="H281" s="284" t="n">
        <f aca="false">SUM(H282:H287)</f>
        <v>15.72</v>
      </c>
      <c r="I281" s="272" t="n">
        <f aca="false">I268</f>
        <v>6</v>
      </c>
      <c r="J281" s="272" t="n">
        <f aca="false">H281*I281</f>
        <v>94.32</v>
      </c>
      <c r="N281" s="284" t="n">
        <f aca="false">SUM(N282:N287)</f>
        <v>14.25</v>
      </c>
      <c r="O281" s="272" t="n">
        <f aca="false">I281</f>
        <v>6</v>
      </c>
      <c r="P281" s="272" t="n">
        <f aca="false">N281*O281</f>
        <v>85.5</v>
      </c>
    </row>
    <row r="282" customFormat="false" ht="13.1" hidden="false" customHeight="false" outlineLevel="0" collapsed="false">
      <c r="B282" s="189" t="s">
        <v>264</v>
      </c>
      <c r="C282" s="269" t="n">
        <v>122</v>
      </c>
      <c r="D282" s="286" t="s">
        <v>284</v>
      </c>
      <c r="E282" s="269" t="s">
        <v>259</v>
      </c>
      <c r="F282" s="270" t="n">
        <f aca="false">0.0259*F281</f>
        <v>0.00431666666666667</v>
      </c>
      <c r="G282" s="271" t="n">
        <v>57.7</v>
      </c>
      <c r="H282" s="271" t="n">
        <f aca="false">TRUNC(F282*G282,2)</f>
        <v>0.24</v>
      </c>
      <c r="I282" s="272" t="n">
        <f aca="false">I281</f>
        <v>6</v>
      </c>
      <c r="K282" s="271"/>
      <c r="M282" s="271" t="n">
        <v>57.7</v>
      </c>
      <c r="N282" s="271" t="n">
        <f aca="false">TRUNC(F282*M282,2)</f>
        <v>0.24</v>
      </c>
      <c r="O282" s="272" t="n">
        <f aca="false">O281</f>
        <v>6</v>
      </c>
      <c r="Q282" s="271"/>
    </row>
    <row r="283" customFormat="false" ht="24.35" hidden="false" customHeight="false" outlineLevel="0" collapsed="false">
      <c r="B283" s="189" t="s">
        <v>264</v>
      </c>
      <c r="C283" s="269" t="n">
        <v>3511</v>
      </c>
      <c r="D283" s="286" t="s">
        <v>285</v>
      </c>
      <c r="E283" s="269" t="s">
        <v>259</v>
      </c>
      <c r="F283" s="270" t="n">
        <f aca="false">1*F281</f>
        <v>0.166666666666667</v>
      </c>
      <c r="G283" s="271" t="n">
        <v>80.79</v>
      </c>
      <c r="H283" s="271" t="n">
        <f aca="false">TRUNC(F283*G283,2)</f>
        <v>13.46</v>
      </c>
      <c r="I283" s="272" t="n">
        <f aca="false">I281</f>
        <v>6</v>
      </c>
      <c r="K283" s="271"/>
      <c r="M283" s="271" t="n">
        <v>80.79</v>
      </c>
      <c r="N283" s="271" t="n">
        <f aca="false">TRUNC(F283*M283,2)</f>
        <v>13.46</v>
      </c>
      <c r="O283" s="272" t="n">
        <f aca="false">O282</f>
        <v>6</v>
      </c>
      <c r="Q283" s="271"/>
    </row>
    <row r="284" customFormat="false" ht="24.35" hidden="false" customHeight="false" outlineLevel="0" collapsed="false">
      <c r="B284" s="189" t="s">
        <v>264</v>
      </c>
      <c r="C284" s="269" t="n">
        <v>20083</v>
      </c>
      <c r="D284" s="286" t="s">
        <v>286</v>
      </c>
      <c r="E284" s="269" t="s">
        <v>259</v>
      </c>
      <c r="F284" s="270" t="n">
        <f aca="false">0.05*F281</f>
        <v>0.00833333333333333</v>
      </c>
      <c r="G284" s="271" t="n">
        <v>65.38</v>
      </c>
      <c r="H284" s="271" t="n">
        <f aca="false">TRUNC(F284*G284,2)</f>
        <v>0.54</v>
      </c>
      <c r="I284" s="272" t="n">
        <f aca="false">I282</f>
        <v>6</v>
      </c>
      <c r="K284" s="271"/>
      <c r="M284" s="271" t="n">
        <v>65.38</v>
      </c>
      <c r="N284" s="271" t="n">
        <f aca="false">TRUNC(F284*M284,2)</f>
        <v>0.54</v>
      </c>
      <c r="O284" s="272" t="n">
        <f aca="false">O283</f>
        <v>6</v>
      </c>
      <c r="Q284" s="271"/>
    </row>
    <row r="285" customFormat="false" ht="13.1" hidden="false" customHeight="false" outlineLevel="0" collapsed="false">
      <c r="B285" s="189" t="s">
        <v>264</v>
      </c>
      <c r="C285" s="269" t="n">
        <v>38383</v>
      </c>
      <c r="D285" s="286" t="s">
        <v>281</v>
      </c>
      <c r="E285" s="269" t="s">
        <v>259</v>
      </c>
      <c r="F285" s="270" t="n">
        <f aca="false">0.0275*F281</f>
        <v>0.00458333333333333</v>
      </c>
      <c r="G285" s="271" t="n">
        <v>2.61</v>
      </c>
      <c r="H285" s="271" t="n">
        <f aca="false">TRUNC(F285*G285,2)</f>
        <v>0.01</v>
      </c>
      <c r="I285" s="272" t="n">
        <f aca="false">I283</f>
        <v>6</v>
      </c>
      <c r="K285" s="271"/>
      <c r="M285" s="271" t="n">
        <v>2.61</v>
      </c>
      <c r="N285" s="271" t="n">
        <f aca="false">TRUNC(F285*M285,2)</f>
        <v>0.01</v>
      </c>
      <c r="O285" s="272" t="n">
        <f aca="false">O284</f>
        <v>6</v>
      </c>
      <c r="Q285" s="271"/>
    </row>
    <row r="286" customFormat="false" ht="24.35" hidden="false" customHeight="false" outlineLevel="0" collapsed="false">
      <c r="B286" s="189" t="s">
        <v>254</v>
      </c>
      <c r="C286" s="269" t="n">
        <v>88248</v>
      </c>
      <c r="D286" s="286" t="s">
        <v>266</v>
      </c>
      <c r="E286" s="269" t="s">
        <v>250</v>
      </c>
      <c r="F286" s="270" t="n">
        <f aca="false">0.1847*F281</f>
        <v>0.0307833333333333</v>
      </c>
      <c r="G286" s="271" t="n">
        <v>21.45</v>
      </c>
      <c r="H286" s="271" t="n">
        <f aca="false">TRUNC(F286*G286,2)</f>
        <v>0.66</v>
      </c>
      <c r="I286" s="272" t="n">
        <f aca="false">I284</f>
        <v>6</v>
      </c>
      <c r="K286" s="271" t="n">
        <f aca="false">F286*I286</f>
        <v>0.1847</v>
      </c>
      <c r="M286" s="271"/>
      <c r="N286" s="271" t="n">
        <f aca="false">TRUNC(F286*M286,2)</f>
        <v>0</v>
      </c>
      <c r="O286" s="272" t="n">
        <f aca="false">O285</f>
        <v>6</v>
      </c>
      <c r="Q286" s="271" t="n">
        <f aca="false">F286*O286</f>
        <v>0.1847</v>
      </c>
    </row>
    <row r="287" customFormat="false" ht="24.35" hidden="false" customHeight="false" outlineLevel="0" collapsed="false">
      <c r="B287" s="189" t="s">
        <v>254</v>
      </c>
      <c r="C287" s="269" t="n">
        <v>88267</v>
      </c>
      <c r="D287" s="286" t="s">
        <v>267</v>
      </c>
      <c r="E287" s="269" t="s">
        <v>250</v>
      </c>
      <c r="F287" s="270" t="n">
        <f aca="false">0.1847*F281</f>
        <v>0.0307833333333333</v>
      </c>
      <c r="G287" s="271" t="n">
        <v>26.33</v>
      </c>
      <c r="H287" s="271" t="n">
        <f aca="false">TRUNC(F287*G287,2)</f>
        <v>0.81</v>
      </c>
      <c r="I287" s="272" t="n">
        <f aca="false">I285</f>
        <v>6</v>
      </c>
      <c r="K287" s="271" t="n">
        <f aca="false">F287*I287</f>
        <v>0.1847</v>
      </c>
      <c r="M287" s="271"/>
      <c r="N287" s="271" t="n">
        <f aca="false">TRUNC(F287*M287,2)</f>
        <v>0</v>
      </c>
      <c r="O287" s="272" t="n">
        <f aca="false">O286</f>
        <v>6</v>
      </c>
      <c r="Q287" s="271" t="n">
        <f aca="false">F287*O287</f>
        <v>0.1847</v>
      </c>
    </row>
    <row r="288" customFormat="false" ht="46.85" hidden="false" customHeight="false" outlineLevel="0" collapsed="false">
      <c r="B288" s="285" t="s">
        <v>364</v>
      </c>
      <c r="C288" s="282" t="n">
        <v>94469</v>
      </c>
      <c r="D288" s="281" t="s">
        <v>365</v>
      </c>
      <c r="E288" s="282" t="s">
        <v>259</v>
      </c>
      <c r="F288" s="283" t="n">
        <f aca="false">2/6</f>
        <v>0.333333333333333</v>
      </c>
      <c r="G288" s="284"/>
      <c r="H288" s="284" t="n">
        <f aca="false">SUM(H289:H293)</f>
        <v>39.32</v>
      </c>
      <c r="I288" s="272" t="n">
        <f aca="false">I268</f>
        <v>6</v>
      </c>
      <c r="J288" s="272" t="n">
        <f aca="false">H288*I288</f>
        <v>235.92</v>
      </c>
      <c r="N288" s="284" t="n">
        <f aca="false">SUM(N289:N293)</f>
        <v>32.4</v>
      </c>
      <c r="O288" s="272" t="n">
        <f aca="false">I288</f>
        <v>6</v>
      </c>
      <c r="P288" s="272" t="n">
        <f aca="false">N288*O288</f>
        <v>194.4</v>
      </c>
    </row>
    <row r="289" customFormat="false" ht="13.1" hidden="false" customHeight="false" outlineLevel="0" collapsed="false">
      <c r="B289" s="189" t="s">
        <v>264</v>
      </c>
      <c r="C289" s="269" t="n">
        <v>3148</v>
      </c>
      <c r="D289" s="286" t="s">
        <v>276</v>
      </c>
      <c r="E289" s="269" t="s">
        <v>259</v>
      </c>
      <c r="F289" s="270" t="n">
        <f aca="false">0.035*F288</f>
        <v>0.0116666666666667</v>
      </c>
      <c r="G289" s="271" t="n">
        <v>12.76</v>
      </c>
      <c r="H289" s="271" t="n">
        <f aca="false">TRUNC(F289*G289,2)</f>
        <v>0.14</v>
      </c>
      <c r="I289" s="272" t="n">
        <f aca="false">I288</f>
        <v>6</v>
      </c>
      <c r="K289" s="271"/>
      <c r="M289" s="271" t="n">
        <v>12.76</v>
      </c>
      <c r="N289" s="271" t="n">
        <f aca="false">TRUNC(F289*M289,2)</f>
        <v>0.14</v>
      </c>
      <c r="O289" s="272" t="n">
        <f aca="false">O288</f>
        <v>6</v>
      </c>
      <c r="Q289" s="271"/>
    </row>
    <row r="290" customFormat="false" ht="13.1" hidden="false" customHeight="false" outlineLevel="0" collapsed="false">
      <c r="B290" s="189" t="s">
        <v>264</v>
      </c>
      <c r="C290" s="269" t="n">
        <v>3914</v>
      </c>
      <c r="D290" s="286" t="s">
        <v>366</v>
      </c>
      <c r="E290" s="269" t="s">
        <v>259</v>
      </c>
      <c r="F290" s="270" t="n">
        <f aca="false">1*F288</f>
        <v>0.333333333333333</v>
      </c>
      <c r="G290" s="271" t="n">
        <v>96.61</v>
      </c>
      <c r="H290" s="271" t="n">
        <f aca="false">TRUNC(F290*G290,2)</f>
        <v>32.2</v>
      </c>
      <c r="I290" s="272" t="n">
        <f aca="false">I288</f>
        <v>6</v>
      </c>
      <c r="K290" s="271"/>
      <c r="M290" s="271" t="n">
        <v>96.61</v>
      </c>
      <c r="N290" s="271" t="n">
        <f aca="false">TRUNC(F290*M290,2)</f>
        <v>32.2</v>
      </c>
      <c r="O290" s="272" t="n">
        <f aca="false">O289</f>
        <v>6</v>
      </c>
      <c r="Q290" s="271"/>
    </row>
    <row r="291" customFormat="false" ht="13.1" hidden="false" customHeight="false" outlineLevel="0" collapsed="false">
      <c r="B291" s="189" t="s">
        <v>264</v>
      </c>
      <c r="C291" s="269" t="n">
        <v>7307</v>
      </c>
      <c r="D291" s="286" t="s">
        <v>329</v>
      </c>
      <c r="E291" s="269" t="s">
        <v>310</v>
      </c>
      <c r="F291" s="270" t="n">
        <f aca="false">0.004*F288</f>
        <v>0.00133333333333333</v>
      </c>
      <c r="G291" s="271" t="n">
        <v>51.77</v>
      </c>
      <c r="H291" s="271" t="n">
        <f aca="false">TRUNC(F291*G291,2)</f>
        <v>0.06</v>
      </c>
      <c r="I291" s="272" t="n">
        <f aca="false">I289</f>
        <v>6</v>
      </c>
      <c r="K291" s="271"/>
      <c r="M291" s="271" t="n">
        <v>51.77</v>
      </c>
      <c r="N291" s="271" t="n">
        <f aca="false">TRUNC(F291*M291,2)</f>
        <v>0.06</v>
      </c>
      <c r="O291" s="272" t="n">
        <f aca="false">O290</f>
        <v>6</v>
      </c>
      <c r="Q291" s="271"/>
    </row>
    <row r="292" customFormat="false" ht="24.35" hidden="false" customHeight="false" outlineLevel="0" collapsed="false">
      <c r="B292" s="189" t="s">
        <v>254</v>
      </c>
      <c r="C292" s="269" t="n">
        <v>88248</v>
      </c>
      <c r="D292" s="286" t="s">
        <v>266</v>
      </c>
      <c r="E292" s="269" t="s">
        <v>250</v>
      </c>
      <c r="F292" s="270" t="n">
        <f aca="false">0.435*F288</f>
        <v>0.145</v>
      </c>
      <c r="G292" s="271" t="n">
        <v>21.45</v>
      </c>
      <c r="H292" s="271" t="n">
        <f aca="false">TRUNC(F292*G292,2)</f>
        <v>3.11</v>
      </c>
      <c r="I292" s="272" t="n">
        <f aca="false">I290</f>
        <v>6</v>
      </c>
      <c r="K292" s="271" t="n">
        <f aca="false">F292*I292</f>
        <v>0.87</v>
      </c>
      <c r="M292" s="271"/>
      <c r="N292" s="271" t="n">
        <f aca="false">TRUNC(F292*M292,2)</f>
        <v>0</v>
      </c>
      <c r="O292" s="272" t="n">
        <f aca="false">O291</f>
        <v>6</v>
      </c>
      <c r="Q292" s="271" t="n">
        <f aca="false">F292*O292</f>
        <v>0.87</v>
      </c>
    </row>
    <row r="293" customFormat="false" ht="24.35" hidden="false" customHeight="false" outlineLevel="0" collapsed="false">
      <c r="B293" s="189" t="s">
        <v>254</v>
      </c>
      <c r="C293" s="269" t="n">
        <v>88267</v>
      </c>
      <c r="D293" s="286" t="s">
        <v>267</v>
      </c>
      <c r="E293" s="269" t="s">
        <v>250</v>
      </c>
      <c r="F293" s="270" t="n">
        <f aca="false">0.435*F288</f>
        <v>0.145</v>
      </c>
      <c r="G293" s="271" t="n">
        <v>26.33</v>
      </c>
      <c r="H293" s="271" t="n">
        <f aca="false">TRUNC(F293*G293,2)</f>
        <v>3.81</v>
      </c>
      <c r="I293" s="272" t="n">
        <f aca="false">I291</f>
        <v>6</v>
      </c>
      <c r="K293" s="271" t="n">
        <f aca="false">F293*I293</f>
        <v>0.87</v>
      </c>
      <c r="M293" s="271"/>
      <c r="N293" s="271" t="n">
        <f aca="false">TRUNC(F293*M293,2)</f>
        <v>0</v>
      </c>
      <c r="O293" s="272" t="n">
        <f aca="false">O292</f>
        <v>6</v>
      </c>
      <c r="Q293" s="271" t="n">
        <f aca="false">F293*O293</f>
        <v>0.87</v>
      </c>
    </row>
    <row r="297" customFormat="false" ht="24.35" hidden="false" customHeight="false" outlineLevel="0" collapsed="false">
      <c r="B297" s="276" t="s">
        <v>243</v>
      </c>
      <c r="C297" s="276" t="s">
        <v>244</v>
      </c>
      <c r="D297" s="277" t="s">
        <v>25</v>
      </c>
      <c r="E297" s="276" t="s">
        <v>9</v>
      </c>
      <c r="F297" s="278" t="s">
        <v>245</v>
      </c>
      <c r="G297" s="279" t="s">
        <v>246</v>
      </c>
      <c r="H297" s="279" t="s">
        <v>247</v>
      </c>
      <c r="I297" s="280" t="s">
        <v>248</v>
      </c>
      <c r="J297" s="280" t="s">
        <v>249</v>
      </c>
      <c r="K297" s="280" t="s">
        <v>250</v>
      </c>
      <c r="M297" s="279" t="s">
        <v>246</v>
      </c>
      <c r="N297" s="279" t="s">
        <v>247</v>
      </c>
      <c r="O297" s="280" t="s">
        <v>248</v>
      </c>
      <c r="P297" s="280" t="s">
        <v>249</v>
      </c>
      <c r="Q297" s="280" t="s">
        <v>250</v>
      </c>
    </row>
    <row r="298" customFormat="false" ht="24.35" hidden="false" customHeight="false" outlineLevel="0" collapsed="false">
      <c r="A298" s="94" t="s">
        <v>101</v>
      </c>
      <c r="B298" s="285" t="s">
        <v>314</v>
      </c>
      <c r="C298" s="282" t="n">
        <v>99804</v>
      </c>
      <c r="D298" s="281" t="s">
        <v>315</v>
      </c>
      <c r="E298" s="282" t="s">
        <v>292</v>
      </c>
      <c r="F298" s="283"/>
      <c r="G298" s="284"/>
      <c r="H298" s="284" t="n">
        <f aca="false">SUM(H299:H300)</f>
        <v>5.03</v>
      </c>
      <c r="I298" s="272" t="n">
        <f aca="false">PL_ORC_ANALIT!H204</f>
        <v>0</v>
      </c>
      <c r="J298" s="272" t="n">
        <f aca="false">H298*I298</f>
        <v>0</v>
      </c>
      <c r="N298" s="284" t="n">
        <f aca="false">SUM(N299:N300)</f>
        <v>4.58</v>
      </c>
      <c r="O298" s="272" t="n">
        <f aca="false">I298</f>
        <v>0</v>
      </c>
      <c r="P298" s="272" t="n">
        <f aca="false">N298*O298</f>
        <v>0</v>
      </c>
      <c r="Q298" s="269" t="n">
        <f aca="false">SUM(Q299:Q300)</f>
        <v>0</v>
      </c>
    </row>
    <row r="299" customFormat="false" ht="12.8" hidden="false" customHeight="false" outlineLevel="0" collapsed="false">
      <c r="B299" s="189" t="s">
        <v>264</v>
      </c>
      <c r="C299" s="269" t="n">
        <v>44329</v>
      </c>
      <c r="D299" s="189" t="s">
        <v>316</v>
      </c>
      <c r="E299" s="269" t="s">
        <v>310</v>
      </c>
      <c r="F299" s="270" t="n">
        <f aca="false">0.006</f>
        <v>0.006</v>
      </c>
      <c r="G299" s="271" t="n">
        <v>16.18</v>
      </c>
      <c r="H299" s="271" t="n">
        <f aca="false">TRUNC(F299*G299,2)</f>
        <v>0.09</v>
      </c>
      <c r="I299" s="272" t="n">
        <f aca="false">I298</f>
        <v>0</v>
      </c>
      <c r="K299" s="271"/>
      <c r="M299" s="271" t="n">
        <v>16.18</v>
      </c>
      <c r="N299" s="271" t="n">
        <f aca="false">TRUNC(F299*M299,2)</f>
        <v>0.09</v>
      </c>
      <c r="O299" s="272" t="n">
        <f aca="false">O298</f>
        <v>0</v>
      </c>
      <c r="Q299" s="271"/>
    </row>
    <row r="300" customFormat="false" ht="12.8" hidden="false" customHeight="false" outlineLevel="0" collapsed="false">
      <c r="B300" s="189" t="s">
        <v>254</v>
      </c>
      <c r="C300" s="269" t="n">
        <v>88316</v>
      </c>
      <c r="D300" s="189" t="s">
        <v>256</v>
      </c>
      <c r="E300" s="269" t="s">
        <v>250</v>
      </c>
      <c r="F300" s="270" t="n">
        <v>0.248</v>
      </c>
      <c r="G300" s="271" t="n">
        <v>19.94</v>
      </c>
      <c r="H300" s="271" t="n">
        <f aca="false">TRUNC(F300*G300,2)</f>
        <v>4.94</v>
      </c>
      <c r="I300" s="272" t="n">
        <f aca="false">I298</f>
        <v>0</v>
      </c>
      <c r="K300" s="271" t="n">
        <f aca="false">F300*I300</f>
        <v>0</v>
      </c>
      <c r="M300" s="271" t="n">
        <v>18.12</v>
      </c>
      <c r="N300" s="271" t="n">
        <f aca="false">TRUNC(F300*M300,2)</f>
        <v>4.49</v>
      </c>
      <c r="O300" s="272" t="n">
        <f aca="false">O299</f>
        <v>0</v>
      </c>
      <c r="Q300" s="271" t="n">
        <f aca="false">F300*O300</f>
        <v>0</v>
      </c>
    </row>
  </sheetData>
  <mergeCells count="1">
    <mergeCell ref="B18:K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2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BB4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H17" activeCellId="0" sqref="H17"/>
    </sheetView>
  </sheetViews>
  <sheetFormatPr defaultColWidth="8.796875" defaultRowHeight="12.8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4.57"/>
    <col collapsed="false" customWidth="true" hidden="false" outlineLevel="0" max="3" min="3" style="0" width="35.32"/>
    <col collapsed="false" customWidth="true" hidden="false" outlineLevel="0" max="4" min="4" style="0" width="22.88"/>
    <col collapsed="false" customWidth="true" hidden="false" outlineLevel="0" max="5" min="5" style="0" width="3.57"/>
    <col collapsed="false" customWidth="true" hidden="false" outlineLevel="0" max="10" min="6" style="296" width="12.29"/>
    <col collapsed="false" customWidth="true" hidden="false" outlineLevel="0" max="12" min="12" style="0" width="11.86"/>
    <col collapsed="false" customWidth="true" hidden="false" outlineLevel="0" max="13" min="13" style="0" width="13.43"/>
    <col collapsed="false" customWidth="true" hidden="false" outlineLevel="0" max="16" min="16" style="0" width="11.71"/>
    <col collapsed="false" customWidth="true" hidden="false" outlineLevel="0" max="17" min="17" style="0" width="15.29"/>
    <col collapsed="false" customWidth="true" hidden="false" outlineLevel="0" max="24" min="20" style="297" width="8.71"/>
    <col collapsed="false" customWidth="true" hidden="false" outlineLevel="0" max="54" min="25" style="298" width="6.15"/>
  </cols>
  <sheetData>
    <row r="1" customFormat="false" ht="13.8" hidden="false" customHeight="false" outlineLevel="0" collapsed="false">
      <c r="A1" s="299"/>
      <c r="B1" s="10"/>
      <c r="C1" s="10"/>
      <c r="D1" s="11"/>
      <c r="E1" s="12"/>
      <c r="F1" s="300"/>
      <c r="G1" s="300"/>
      <c r="H1" s="301"/>
      <c r="I1" s="301"/>
      <c r="J1" s="300"/>
      <c r="K1" s="12"/>
      <c r="L1" s="302" t="s">
        <v>367</v>
      </c>
      <c r="M1" s="303"/>
      <c r="N1" s="303"/>
      <c r="O1" s="304"/>
      <c r="R1" s="305"/>
      <c r="S1" s="306"/>
    </row>
    <row r="2" customFormat="false" ht="13.8" hidden="false" customHeight="false" outlineLevel="0" collapsed="false">
      <c r="A2" s="13"/>
      <c r="B2" s="12"/>
      <c r="C2" s="307" t="s">
        <v>0</v>
      </c>
      <c r="D2" s="307"/>
      <c r="E2" s="12"/>
      <c r="F2" s="308"/>
      <c r="G2" s="300" t="s">
        <v>368</v>
      </c>
      <c r="H2" s="301"/>
      <c r="I2" s="301"/>
      <c r="J2" s="300"/>
      <c r="K2" s="12"/>
      <c r="L2" s="309" t="n">
        <v>44</v>
      </c>
      <c r="M2" s="310" t="s">
        <v>369</v>
      </c>
      <c r="N2" s="311"/>
      <c r="O2" s="312"/>
      <c r="P2" s="311"/>
      <c r="Q2" s="311"/>
      <c r="R2" s="306"/>
      <c r="S2" s="306"/>
    </row>
    <row r="3" customFormat="false" ht="13.8" hidden="false" customHeight="false" outlineLevel="0" collapsed="false">
      <c r="A3" s="13"/>
      <c r="B3" s="12"/>
      <c r="C3" s="313" t="s">
        <v>1</v>
      </c>
      <c r="D3" s="313"/>
      <c r="E3" s="12"/>
      <c r="F3" s="300"/>
      <c r="G3" s="300"/>
      <c r="H3" s="314"/>
      <c r="I3" s="314"/>
      <c r="J3" s="300"/>
      <c r="K3" s="12"/>
      <c r="L3" s="309" t="n">
        <v>6</v>
      </c>
      <c r="M3" s="310" t="s">
        <v>370</v>
      </c>
      <c r="N3" s="311"/>
      <c r="O3" s="312"/>
      <c r="P3" s="315"/>
      <c r="Q3" s="315"/>
      <c r="AA3" s="316"/>
      <c r="AI3" s="316"/>
      <c r="AQ3" s="316"/>
      <c r="AX3" s="316"/>
      <c r="BA3" s="316"/>
    </row>
    <row r="4" customFormat="false" ht="13.8" hidden="false" customHeight="false" outlineLevel="0" collapsed="false">
      <c r="A4" s="13"/>
      <c r="B4" s="12"/>
      <c r="C4" s="313" t="s">
        <v>2</v>
      </c>
      <c r="D4" s="313"/>
      <c r="E4" s="12"/>
      <c r="F4" s="300"/>
      <c r="G4" s="300"/>
      <c r="H4" s="300"/>
      <c r="I4" s="300"/>
      <c r="J4" s="300"/>
      <c r="K4" s="12"/>
      <c r="L4" s="317" t="n">
        <f aca="false">L2/L3</f>
        <v>7.33333333333333</v>
      </c>
      <c r="M4" s="318" t="s">
        <v>371</v>
      </c>
      <c r="N4" s="311"/>
      <c r="O4" s="312"/>
      <c r="P4" s="318"/>
      <c r="Q4" s="318"/>
      <c r="AA4" s="316"/>
      <c r="AI4" s="316"/>
      <c r="AQ4" s="316"/>
      <c r="AX4" s="316"/>
      <c r="BA4" s="316"/>
    </row>
    <row r="5" customFormat="false" ht="13.8" hidden="false" customHeight="false" outlineLevel="0" collapsed="false">
      <c r="A5" s="13"/>
      <c r="B5" s="12"/>
      <c r="C5" s="313" t="s">
        <v>372</v>
      </c>
      <c r="D5" s="313"/>
      <c r="E5" s="12"/>
      <c r="F5" s="319" t="s">
        <v>373</v>
      </c>
      <c r="G5" s="319"/>
      <c r="H5" s="319"/>
      <c r="I5" s="319"/>
      <c r="J5" s="319"/>
      <c r="K5" s="12"/>
      <c r="L5" s="309" t="n">
        <v>30</v>
      </c>
      <c r="M5" s="310" t="s">
        <v>374</v>
      </c>
      <c r="N5" s="311"/>
      <c r="O5" s="312"/>
      <c r="P5" s="311"/>
      <c r="Q5" s="311"/>
      <c r="Y5" s="320"/>
      <c r="Z5" s="320"/>
      <c r="AA5" s="320"/>
      <c r="AB5" s="320"/>
      <c r="AC5" s="320"/>
      <c r="AD5" s="320"/>
      <c r="AE5" s="320"/>
      <c r="AF5" s="320"/>
      <c r="AG5" s="321"/>
      <c r="AH5" s="321"/>
      <c r="AI5" s="321"/>
      <c r="AJ5" s="321"/>
      <c r="AK5" s="321"/>
      <c r="AL5" s="321"/>
      <c r="AM5" s="321"/>
      <c r="AN5" s="321"/>
      <c r="AO5" s="321"/>
      <c r="AP5" s="320"/>
      <c r="AQ5" s="320"/>
      <c r="AR5" s="320"/>
      <c r="AS5" s="320"/>
      <c r="AT5" s="320"/>
      <c r="AU5" s="320"/>
      <c r="AV5" s="320"/>
      <c r="AW5" s="321"/>
      <c r="AX5" s="321"/>
      <c r="AY5" s="321"/>
      <c r="AZ5" s="321"/>
      <c r="BA5" s="320"/>
      <c r="BB5" s="320"/>
    </row>
    <row r="6" customFormat="false" ht="15" hidden="false" customHeight="true" outlineLevel="0" collapsed="false">
      <c r="A6" s="13"/>
      <c r="B6" s="12"/>
      <c r="C6" s="12"/>
      <c r="D6" s="15"/>
      <c r="E6" s="12"/>
      <c r="F6" s="322" t="s">
        <v>375</v>
      </c>
      <c r="G6" s="323" t="s">
        <v>376</v>
      </c>
      <c r="H6" s="324" t="s">
        <v>377</v>
      </c>
      <c r="I6" s="324" t="s">
        <v>378</v>
      </c>
      <c r="J6" s="324" t="s">
        <v>379</v>
      </c>
      <c r="K6" s="12"/>
      <c r="L6" s="325" t="n">
        <f aca="false">TRUNC((L4*L5),2)</f>
        <v>220</v>
      </c>
      <c r="M6" s="326" t="s">
        <v>380</v>
      </c>
      <c r="N6" s="327"/>
      <c r="O6" s="328" t="n">
        <f aca="false">L6/4</f>
        <v>55</v>
      </c>
      <c r="P6" s="311" t="n">
        <f aca="false">ROUND(L5/7*L2,0)</f>
        <v>189</v>
      </c>
      <c r="Q6" s="311" t="s">
        <v>381</v>
      </c>
    </row>
    <row r="7" customFormat="false" ht="13.8" hidden="false" customHeight="false" outlineLevel="0" collapsed="false">
      <c r="A7" s="329" t="s">
        <v>382</v>
      </c>
      <c r="B7" s="329"/>
      <c r="C7" s="329"/>
      <c r="D7" s="329"/>
      <c r="E7" s="12"/>
      <c r="F7" s="322"/>
      <c r="G7" s="323"/>
      <c r="H7" s="324"/>
      <c r="I7" s="324"/>
      <c r="J7" s="324"/>
      <c r="K7" s="12"/>
      <c r="L7" s="330" t="s">
        <v>383</v>
      </c>
      <c r="M7" s="331"/>
      <c r="N7" s="331"/>
      <c r="O7" s="331"/>
      <c r="P7" s="311"/>
      <c r="Q7" s="311" t="n">
        <f aca="false">P6/(30/7)</f>
        <v>44.1</v>
      </c>
    </row>
    <row r="8" customFormat="false" ht="13.8" hidden="false" customHeight="false" outlineLevel="0" collapsed="false">
      <c r="A8" s="332" t="s">
        <v>384</v>
      </c>
      <c r="B8" s="333" t="s">
        <v>385</v>
      </c>
      <c r="C8" s="333"/>
      <c r="D8" s="334" t="s">
        <v>386</v>
      </c>
      <c r="E8" s="12"/>
      <c r="F8" s="335" t="s">
        <v>387</v>
      </c>
      <c r="G8" s="335" t="s">
        <v>388</v>
      </c>
      <c r="H8" s="335" t="s">
        <v>389</v>
      </c>
      <c r="I8" s="335" t="s">
        <v>390</v>
      </c>
      <c r="J8" s="335" t="s">
        <v>391</v>
      </c>
      <c r="K8" s="12"/>
      <c r="L8" s="336" t="s">
        <v>392</v>
      </c>
      <c r="M8" s="337" t="s">
        <v>393</v>
      </c>
      <c r="N8" s="338" t="s">
        <v>394</v>
      </c>
      <c r="O8" s="339" t="s">
        <v>395</v>
      </c>
      <c r="P8" s="311"/>
      <c r="Q8" s="311"/>
    </row>
    <row r="9" customFormat="false" ht="13.8" hidden="false" customHeight="false" outlineLevel="0" collapsed="false">
      <c r="A9" s="340"/>
      <c r="B9" s="341" t="s">
        <v>396</v>
      </c>
      <c r="C9" s="341"/>
      <c r="D9" s="342" t="n">
        <f aca="false">SUM(D10:D12)</f>
        <v>0</v>
      </c>
      <c r="E9" s="12"/>
      <c r="F9" s="343" t="n">
        <f aca="false">SUM(F10:F12)</f>
        <v>0</v>
      </c>
      <c r="G9" s="343" t="n">
        <f aca="false">SUM(G10:G12)</f>
        <v>0</v>
      </c>
      <c r="H9" s="343" t="n">
        <f aca="false">SUM(H10:H12)</f>
        <v>0</v>
      </c>
      <c r="I9" s="343" t="n">
        <f aca="false">SUM(I10:I12)</f>
        <v>0</v>
      </c>
      <c r="J9" s="343" t="n">
        <f aca="false">SUM(J10:J12)</f>
        <v>0</v>
      </c>
      <c r="K9" s="12"/>
      <c r="L9" s="344"/>
      <c r="M9" s="345"/>
      <c r="N9" s="346"/>
      <c r="O9" s="347"/>
      <c r="P9" s="311"/>
      <c r="Q9" s="311"/>
    </row>
    <row r="10" customFormat="false" ht="13.8" hidden="false" customHeight="false" outlineLevel="0" collapsed="false">
      <c r="A10" s="348" t="s">
        <v>397</v>
      </c>
      <c r="B10" s="349" t="s">
        <v>398</v>
      </c>
      <c r="C10" s="349"/>
      <c r="D10" s="350" t="n">
        <f aca="false">ROUND(SUM(F10:J10),2)</f>
        <v>0</v>
      </c>
      <c r="E10" s="12"/>
      <c r="F10" s="351"/>
      <c r="G10" s="351"/>
      <c r="H10" s="351"/>
      <c r="I10" s="351"/>
      <c r="J10" s="351"/>
      <c r="K10" s="12"/>
      <c r="L10" s="344" t="n">
        <f aca="false">D10</f>
        <v>0</v>
      </c>
      <c r="M10" s="352" t="n">
        <f aca="false">L10/N10</f>
        <v>0</v>
      </c>
      <c r="N10" s="353" t="n">
        <f aca="false">$H$30</f>
        <v>270</v>
      </c>
      <c r="O10" s="347" t="n">
        <f aca="false">N10/30</f>
        <v>9</v>
      </c>
      <c r="P10" s="354"/>
      <c r="Q10" s="310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5"/>
      <c r="AO10" s="355"/>
      <c r="AP10" s="355"/>
      <c r="AQ10" s="355"/>
      <c r="AR10" s="355"/>
      <c r="AS10" s="355"/>
      <c r="AT10" s="355"/>
      <c r="AU10" s="355"/>
      <c r="AV10" s="355"/>
      <c r="AW10" s="355"/>
      <c r="AX10" s="355"/>
      <c r="AY10" s="355"/>
      <c r="AZ10" s="355"/>
      <c r="BA10" s="355"/>
      <c r="BB10" s="355"/>
    </row>
    <row r="11" customFormat="false" ht="13.8" hidden="false" customHeight="false" outlineLevel="0" collapsed="false">
      <c r="A11" s="348" t="s">
        <v>399</v>
      </c>
      <c r="B11" s="349" t="s">
        <v>400</v>
      </c>
      <c r="C11" s="349"/>
      <c r="D11" s="350" t="n">
        <f aca="false">ROUND(SUM(F11:J11),2)</f>
        <v>0</v>
      </c>
      <c r="E11" s="12"/>
      <c r="F11" s="351"/>
      <c r="G11" s="351"/>
      <c r="H11" s="351"/>
      <c r="I11" s="351"/>
      <c r="J11" s="351"/>
      <c r="K11" s="12"/>
      <c r="L11" s="344" t="n">
        <f aca="false">D11</f>
        <v>0</v>
      </c>
      <c r="M11" s="352" t="n">
        <f aca="false">L11/N11</f>
        <v>0</v>
      </c>
      <c r="N11" s="353" t="n">
        <f aca="false">$H$30</f>
        <v>270</v>
      </c>
      <c r="O11" s="347" t="n">
        <f aca="false">N11/30</f>
        <v>9</v>
      </c>
      <c r="P11" s="311"/>
      <c r="Q11" s="311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5"/>
      <c r="AT11" s="355"/>
      <c r="AU11" s="355"/>
      <c r="AV11" s="355"/>
      <c r="AW11" s="355"/>
      <c r="AX11" s="355"/>
      <c r="AY11" s="355"/>
      <c r="AZ11" s="355"/>
      <c r="BA11" s="355"/>
      <c r="BB11" s="355"/>
    </row>
    <row r="12" customFormat="false" ht="13.8" hidden="false" customHeight="false" outlineLevel="0" collapsed="false">
      <c r="A12" s="348" t="s">
        <v>401</v>
      </c>
      <c r="B12" s="349" t="s">
        <v>402</v>
      </c>
      <c r="C12" s="349"/>
      <c r="D12" s="350" t="n">
        <f aca="false">ROUND(SUM(F12:J12),2)</f>
        <v>0</v>
      </c>
      <c r="E12" s="12"/>
      <c r="F12" s="351"/>
      <c r="G12" s="351"/>
      <c r="H12" s="351"/>
      <c r="I12" s="351"/>
      <c r="J12" s="351"/>
      <c r="K12" s="12"/>
      <c r="L12" s="344" t="n">
        <f aca="false">D12</f>
        <v>0</v>
      </c>
      <c r="M12" s="352" t="n">
        <f aca="false">L12/N12</f>
        <v>0</v>
      </c>
      <c r="N12" s="353" t="n">
        <f aca="false">$H$30</f>
        <v>270</v>
      </c>
      <c r="O12" s="347" t="n">
        <f aca="false">N12/30</f>
        <v>9</v>
      </c>
      <c r="P12" s="356"/>
      <c r="Q12" s="310"/>
      <c r="Y12" s="355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55"/>
      <c r="AO12" s="355"/>
      <c r="AP12" s="355"/>
      <c r="AQ12" s="355"/>
      <c r="AR12" s="355"/>
      <c r="AS12" s="355"/>
      <c r="AT12" s="355"/>
      <c r="AU12" s="355"/>
      <c r="AV12" s="355"/>
      <c r="AW12" s="355"/>
      <c r="AX12" s="355"/>
      <c r="AY12" s="355"/>
      <c r="AZ12" s="355"/>
      <c r="BA12" s="355"/>
      <c r="BB12" s="355"/>
    </row>
    <row r="13" customFormat="false" ht="13.8" hidden="false" customHeight="false" outlineLevel="0" collapsed="false">
      <c r="A13" s="340"/>
      <c r="B13" s="341" t="s">
        <v>403</v>
      </c>
      <c r="C13" s="341"/>
      <c r="D13" s="342" t="n">
        <f aca="false">SUM(D14:D15)</f>
        <v>0</v>
      </c>
      <c r="E13" s="12"/>
      <c r="F13" s="343" t="n">
        <f aca="false">SUM(F14:F15)</f>
        <v>0</v>
      </c>
      <c r="G13" s="343" t="n">
        <f aca="false">SUM(G14:G15)</f>
        <v>0</v>
      </c>
      <c r="H13" s="343" t="n">
        <f aca="false">SUM(H14:H15)</f>
        <v>0</v>
      </c>
      <c r="I13" s="343" t="n">
        <f aca="false">SUM(I14:I15)</f>
        <v>0</v>
      </c>
      <c r="J13" s="343" t="n">
        <f aca="false">SUM(J14:J15)</f>
        <v>0</v>
      </c>
      <c r="K13" s="12"/>
      <c r="L13" s="344"/>
      <c r="M13" s="352"/>
      <c r="N13" s="353"/>
      <c r="O13" s="347"/>
      <c r="P13" s="356"/>
      <c r="Q13" s="310"/>
    </row>
    <row r="14" customFormat="false" ht="13.8" hidden="false" customHeight="false" outlineLevel="0" collapsed="false">
      <c r="A14" s="348" t="s">
        <v>404</v>
      </c>
      <c r="B14" s="349" t="s">
        <v>405</v>
      </c>
      <c r="C14" s="349"/>
      <c r="D14" s="350" t="n">
        <f aca="false">ROUND(SUM(F14:J14),2)</f>
        <v>0</v>
      </c>
      <c r="E14" s="12"/>
      <c r="F14" s="351"/>
      <c r="G14" s="351"/>
      <c r="H14" s="351"/>
      <c r="I14" s="351"/>
      <c r="J14" s="351"/>
      <c r="K14" s="12"/>
      <c r="L14" s="344" t="n">
        <f aca="false">D14</f>
        <v>0</v>
      </c>
      <c r="M14" s="352" t="n">
        <f aca="false">L14/N14</f>
        <v>0</v>
      </c>
      <c r="N14" s="353" t="n">
        <f aca="false">$H$30</f>
        <v>270</v>
      </c>
      <c r="O14" s="347" t="n">
        <f aca="false">N14/30</f>
        <v>9</v>
      </c>
      <c r="P14" s="356"/>
      <c r="Q14" s="310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  <c r="AO14" s="355"/>
      <c r="AP14" s="355"/>
      <c r="AQ14" s="355"/>
      <c r="AR14" s="355"/>
      <c r="AS14" s="355"/>
      <c r="AT14" s="355"/>
      <c r="AU14" s="355"/>
      <c r="AV14" s="355"/>
      <c r="AW14" s="355"/>
      <c r="AX14" s="355"/>
      <c r="AY14" s="355"/>
      <c r="AZ14" s="355"/>
      <c r="BA14" s="355"/>
      <c r="BB14" s="355"/>
    </row>
    <row r="15" customFormat="false" ht="13.8" hidden="false" customHeight="false" outlineLevel="0" collapsed="false">
      <c r="A15" s="348" t="s">
        <v>406</v>
      </c>
      <c r="B15" s="349" t="s">
        <v>407</v>
      </c>
      <c r="C15" s="349"/>
      <c r="D15" s="350" t="n">
        <f aca="false">ROUND(SUM(F15:J15),2)</f>
        <v>0</v>
      </c>
      <c r="E15" s="12"/>
      <c r="F15" s="351"/>
      <c r="G15" s="351"/>
      <c r="H15" s="351"/>
      <c r="I15" s="351"/>
      <c r="J15" s="351"/>
      <c r="K15" s="12"/>
      <c r="L15" s="344" t="n">
        <f aca="false">D15</f>
        <v>0</v>
      </c>
      <c r="M15" s="352" t="n">
        <f aca="false">L15/N15</f>
        <v>0</v>
      </c>
      <c r="N15" s="353" t="n">
        <f aca="false">$H$30</f>
        <v>270</v>
      </c>
      <c r="O15" s="347" t="n">
        <f aca="false">N15/30</f>
        <v>9</v>
      </c>
      <c r="P15" s="356"/>
      <c r="Q15" s="310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355"/>
      <c r="AS15" s="355"/>
      <c r="AT15" s="355"/>
      <c r="AU15" s="355"/>
      <c r="AV15" s="355"/>
      <c r="AW15" s="355"/>
      <c r="AX15" s="355"/>
      <c r="AY15" s="355"/>
      <c r="AZ15" s="355"/>
      <c r="BA15" s="355"/>
      <c r="BB15" s="355"/>
    </row>
    <row r="16" customFormat="false" ht="13.8" hidden="false" customHeight="false" outlineLevel="0" collapsed="false">
      <c r="A16" s="340"/>
      <c r="B16" s="341" t="s">
        <v>408</v>
      </c>
      <c r="C16" s="341"/>
      <c r="D16" s="342" t="n">
        <f aca="false">SUM(D17:D19)</f>
        <v>0</v>
      </c>
      <c r="E16" s="12"/>
      <c r="F16" s="343" t="n">
        <f aca="false">SUM(F17:F19)</f>
        <v>0</v>
      </c>
      <c r="G16" s="343" t="n">
        <f aca="false">SUM(G17:G19)</f>
        <v>0</v>
      </c>
      <c r="H16" s="343" t="n">
        <f aca="false">SUM(H17:H19)</f>
        <v>0</v>
      </c>
      <c r="I16" s="343" t="n">
        <f aca="false">SUM(I17:I19)</f>
        <v>0</v>
      </c>
      <c r="J16" s="343" t="n">
        <f aca="false">SUM(J17:J19)</f>
        <v>0</v>
      </c>
      <c r="K16" s="12"/>
      <c r="L16" s="344"/>
      <c r="M16" s="352"/>
      <c r="N16" s="353"/>
      <c r="O16" s="347"/>
      <c r="P16" s="356"/>
      <c r="Q16" s="310"/>
    </row>
    <row r="17" customFormat="false" ht="13.8" hidden="false" customHeight="false" outlineLevel="0" collapsed="false">
      <c r="A17" s="348" t="s">
        <v>409</v>
      </c>
      <c r="B17" s="349" t="s">
        <v>410</v>
      </c>
      <c r="C17" s="349"/>
      <c r="D17" s="350" t="n">
        <f aca="false">ROUND(SUM(F17:J17),2)</f>
        <v>0</v>
      </c>
      <c r="E17" s="12"/>
      <c r="F17" s="351"/>
      <c r="G17" s="351"/>
      <c r="H17" s="351"/>
      <c r="I17" s="351"/>
      <c r="J17" s="351"/>
      <c r="K17" s="12"/>
      <c r="L17" s="344" t="n">
        <f aca="false">D17</f>
        <v>0</v>
      </c>
      <c r="M17" s="352" t="n">
        <f aca="false">L17/N17</f>
        <v>0</v>
      </c>
      <c r="N17" s="353" t="n">
        <f aca="false">$H$30</f>
        <v>270</v>
      </c>
      <c r="O17" s="347" t="n">
        <f aca="false">N17/30</f>
        <v>9</v>
      </c>
      <c r="P17" s="356"/>
      <c r="Q17" s="310"/>
      <c r="Y17" s="355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5"/>
      <c r="AR17" s="355"/>
      <c r="AS17" s="355"/>
      <c r="AT17" s="355"/>
      <c r="AU17" s="355"/>
      <c r="AV17" s="355"/>
      <c r="AW17" s="355"/>
      <c r="AX17" s="355"/>
      <c r="AY17" s="355"/>
      <c r="AZ17" s="355"/>
      <c r="BA17" s="355"/>
      <c r="BB17" s="355"/>
    </row>
    <row r="18" customFormat="false" ht="13.8" hidden="false" customHeight="false" outlineLevel="0" collapsed="false">
      <c r="A18" s="348" t="s">
        <v>411</v>
      </c>
      <c r="B18" s="349" t="s">
        <v>412</v>
      </c>
      <c r="C18" s="349"/>
      <c r="D18" s="350" t="n">
        <f aca="false">ROUND(SUM(F18:J18),2)</f>
        <v>0</v>
      </c>
      <c r="E18" s="12"/>
      <c r="F18" s="351"/>
      <c r="G18" s="351"/>
      <c r="H18" s="351"/>
      <c r="I18" s="351"/>
      <c r="J18" s="351"/>
      <c r="K18" s="12"/>
      <c r="L18" s="344" t="n">
        <f aca="false">D18</f>
        <v>0</v>
      </c>
      <c r="M18" s="352" t="n">
        <f aca="false">L18/N18</f>
        <v>0</v>
      </c>
      <c r="N18" s="353" t="n">
        <f aca="false">$H$30</f>
        <v>270</v>
      </c>
      <c r="O18" s="347" t="n">
        <f aca="false">N18/30</f>
        <v>9</v>
      </c>
      <c r="P18" s="356"/>
      <c r="Q18" s="310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5"/>
      <c r="AS18" s="355"/>
      <c r="AT18" s="355"/>
      <c r="AU18" s="355"/>
      <c r="AV18" s="355"/>
      <c r="AW18" s="355"/>
      <c r="AX18" s="355"/>
      <c r="AY18" s="355"/>
      <c r="AZ18" s="355"/>
      <c r="BA18" s="355"/>
      <c r="BB18" s="355"/>
    </row>
    <row r="19" customFormat="false" ht="13.8" hidden="false" customHeight="false" outlineLevel="0" collapsed="false">
      <c r="A19" s="348" t="s">
        <v>413</v>
      </c>
      <c r="B19" s="349" t="s">
        <v>414</v>
      </c>
      <c r="C19" s="349"/>
      <c r="D19" s="350" t="n">
        <f aca="false">ROUND(SUM(F19:J19),2)</f>
        <v>0</v>
      </c>
      <c r="E19" s="12"/>
      <c r="F19" s="351"/>
      <c r="G19" s="351"/>
      <c r="H19" s="351"/>
      <c r="I19" s="351"/>
      <c r="J19" s="351"/>
      <c r="K19" s="12"/>
      <c r="L19" s="344" t="n">
        <f aca="false">D19</f>
        <v>0</v>
      </c>
      <c r="M19" s="352" t="n">
        <f aca="false">L19/N19</f>
        <v>0</v>
      </c>
      <c r="N19" s="353" t="n">
        <f aca="false">$H$30</f>
        <v>270</v>
      </c>
      <c r="O19" s="347" t="n">
        <f aca="false">N19/30</f>
        <v>9</v>
      </c>
      <c r="P19" s="356"/>
      <c r="Q19" s="357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55"/>
      <c r="AW19" s="355"/>
      <c r="AX19" s="355"/>
      <c r="AY19" s="355"/>
      <c r="AZ19" s="355"/>
      <c r="BA19" s="355"/>
      <c r="BB19" s="355"/>
    </row>
    <row r="20" customFormat="false" ht="13.8" hidden="false" customHeight="false" outlineLevel="0" collapsed="false">
      <c r="A20" s="358" t="s">
        <v>102</v>
      </c>
      <c r="B20" s="358"/>
      <c r="C20" s="358"/>
      <c r="D20" s="359" t="n">
        <f aca="false">D9+D13+D16</f>
        <v>0</v>
      </c>
      <c r="E20" s="12"/>
      <c r="F20" s="360" t="n">
        <f aca="false">F10+F11+F12+F14+F15+F17+F18+F19</f>
        <v>0</v>
      </c>
      <c r="G20" s="360" t="n">
        <f aca="false">G10+G11+G12+G14+G15+G17+G18+G19</f>
        <v>0</v>
      </c>
      <c r="H20" s="360" t="n">
        <f aca="false">H10+H11+H12+H14+H15+H17+H18+H19</f>
        <v>0</v>
      </c>
      <c r="I20" s="360" t="n">
        <f aca="false">I10+I11+I12+I14+I15+I17+I18+I19</f>
        <v>0</v>
      </c>
      <c r="J20" s="360" t="n">
        <f aca="false">J10+J11+J12+J14+J15+J17+J18+J19</f>
        <v>0</v>
      </c>
      <c r="K20" s="12"/>
      <c r="L20" s="344"/>
      <c r="M20" s="345"/>
      <c r="N20" s="361"/>
      <c r="O20" s="347"/>
      <c r="P20" s="356"/>
      <c r="Q20" s="357"/>
    </row>
    <row r="21" customFormat="false" ht="13.8" hidden="false" customHeight="false" outlineLevel="0" collapsed="false">
      <c r="A21" s="12"/>
      <c r="B21" s="12"/>
      <c r="C21" s="362"/>
      <c r="D21" s="363"/>
      <c r="E21" s="300"/>
      <c r="F21" s="300"/>
      <c r="G21" s="300"/>
      <c r="H21" s="300"/>
      <c r="I21" s="300"/>
      <c r="J21" s="300"/>
      <c r="K21" s="12"/>
      <c r="L21" s="364"/>
      <c r="M21" s="365"/>
      <c r="N21" s="366"/>
      <c r="O21" s="367"/>
      <c r="P21" s="356"/>
      <c r="Q21" s="357"/>
    </row>
    <row r="22" customFormat="false" ht="13.8" hidden="false" customHeight="false" outlineLevel="0" collapsed="false">
      <c r="A22" s="12"/>
      <c r="B22" s="12"/>
      <c r="C22" s="12"/>
      <c r="D22" s="368"/>
      <c r="E22" s="12"/>
      <c r="F22" s="369"/>
      <c r="G22" s="300"/>
      <c r="H22" s="300"/>
      <c r="I22" s="300"/>
      <c r="J22" s="300"/>
      <c r="K22" s="12"/>
      <c r="L22" s="12"/>
      <c r="M22" s="12"/>
      <c r="N22" s="12"/>
      <c r="O22" s="12"/>
      <c r="P22" s="356"/>
      <c r="Q22" s="311"/>
    </row>
    <row r="23" customFormat="false" ht="13.8" hidden="false" customHeight="false" outlineLevel="0" collapsed="false">
      <c r="A23" s="12"/>
      <c r="B23" s="370"/>
      <c r="C23" s="371" t="s">
        <v>415</v>
      </c>
      <c r="D23" s="12"/>
      <c r="E23" s="12"/>
      <c r="F23" s="372" t="s">
        <v>416</v>
      </c>
      <c r="G23" s="373"/>
      <c r="H23" s="373"/>
      <c r="I23" s="374"/>
      <c r="J23" s="300"/>
      <c r="K23" s="12"/>
      <c r="L23" s="375" t="s">
        <v>417</v>
      </c>
      <c r="M23" s="376"/>
      <c r="N23" s="303" t="s">
        <v>418</v>
      </c>
      <c r="O23" s="304"/>
      <c r="P23" s="356"/>
      <c r="Q23" s="311"/>
    </row>
    <row r="24" customFormat="false" ht="15" hidden="false" customHeight="true" outlineLevel="0" collapsed="false">
      <c r="A24" s="12"/>
      <c r="B24" s="377" t="n">
        <v>1</v>
      </c>
      <c r="C24" s="378" t="s">
        <v>419</v>
      </c>
      <c r="D24" s="12"/>
      <c r="E24" s="12"/>
      <c r="F24" s="379"/>
      <c r="G24" s="300"/>
      <c r="H24" s="380" t="s">
        <v>420</v>
      </c>
      <c r="I24" s="381" t="s">
        <v>421</v>
      </c>
      <c r="J24" s="300"/>
      <c r="K24" s="12"/>
      <c r="L24" s="382" t="n">
        <f aca="false">SUM(L10:L15)</f>
        <v>0</v>
      </c>
      <c r="M24" s="311" t="s">
        <v>422</v>
      </c>
      <c r="N24" s="383" t="n">
        <f aca="false">L24/$P$6/O10</f>
        <v>0</v>
      </c>
      <c r="O24" s="304"/>
      <c r="P24" s="311"/>
      <c r="Q24" s="311"/>
    </row>
    <row r="25" customFormat="false" ht="13.8" hidden="false" customHeight="false" outlineLevel="0" collapsed="false">
      <c r="A25" s="12"/>
      <c r="B25" s="377" t="n">
        <v>3</v>
      </c>
      <c r="C25" s="378" t="s">
        <v>423</v>
      </c>
      <c r="D25" s="12"/>
      <c r="E25" s="12"/>
      <c r="F25" s="384" t="s">
        <v>424</v>
      </c>
      <c r="G25" s="385"/>
      <c r="H25" s="386" t="n">
        <v>75</v>
      </c>
      <c r="I25" s="387" t="n">
        <f aca="false">H25/30</f>
        <v>2.5</v>
      </c>
      <c r="J25" s="300"/>
      <c r="K25" s="12"/>
      <c r="L25" s="382" t="n">
        <f aca="false">SUM(L17:L19)</f>
        <v>0</v>
      </c>
      <c r="M25" s="311" t="s">
        <v>425</v>
      </c>
      <c r="N25" s="388" t="n">
        <f aca="false">L25/$P$6/O18</f>
        <v>0</v>
      </c>
      <c r="O25" s="312"/>
      <c r="P25" s="311"/>
      <c r="Q25" s="311"/>
    </row>
    <row r="26" customFormat="false" ht="13.8" hidden="false" customHeight="false" outlineLevel="0" collapsed="false">
      <c r="A26" s="12"/>
      <c r="B26" s="377" t="n">
        <v>2</v>
      </c>
      <c r="C26" s="378" t="s">
        <v>426</v>
      </c>
      <c r="D26" s="389"/>
      <c r="E26" s="300"/>
      <c r="F26" s="379" t="s">
        <v>427</v>
      </c>
      <c r="G26" s="390"/>
      <c r="H26" s="386" t="n">
        <v>75</v>
      </c>
      <c r="I26" s="381" t="n">
        <f aca="false">H26/30</f>
        <v>2.5</v>
      </c>
      <c r="J26" s="300"/>
      <c r="K26" s="12"/>
      <c r="L26" s="391"/>
      <c r="M26" s="392" t="s">
        <v>428</v>
      </c>
      <c r="N26" s="393" t="n">
        <f aca="false">SUM(N24:N25)</f>
        <v>0</v>
      </c>
      <c r="O26" s="328"/>
      <c r="P26" s="311"/>
      <c r="Q26" s="311"/>
    </row>
    <row r="27" customFormat="false" ht="13.8" hidden="false" customHeight="false" outlineLevel="0" collapsed="false">
      <c r="A27" s="12"/>
      <c r="B27" s="377" t="n">
        <v>2</v>
      </c>
      <c r="C27" s="378" t="s">
        <v>429</v>
      </c>
      <c r="D27" s="12"/>
      <c r="E27" s="300"/>
      <c r="F27" s="379" t="s">
        <v>430</v>
      </c>
      <c r="G27" s="390"/>
      <c r="H27" s="386" t="n">
        <v>60</v>
      </c>
      <c r="I27" s="381" t="n">
        <f aca="false">H27/30</f>
        <v>2</v>
      </c>
      <c r="J27" s="300"/>
      <c r="K27" s="12"/>
      <c r="P27" s="311"/>
      <c r="Q27" s="311"/>
    </row>
    <row r="28" customFormat="false" ht="15" hidden="false" customHeight="true" outlineLevel="0" collapsed="false">
      <c r="A28" s="12"/>
      <c r="B28" s="377" t="n">
        <v>1</v>
      </c>
      <c r="C28" s="394" t="s">
        <v>431</v>
      </c>
      <c r="D28" s="395"/>
      <c r="E28" s="395"/>
      <c r="F28" s="396" t="s">
        <v>432</v>
      </c>
      <c r="G28" s="397"/>
      <c r="H28" s="398" t="n">
        <v>45</v>
      </c>
      <c r="I28" s="399" t="n">
        <f aca="false">H28/30</f>
        <v>1.5</v>
      </c>
      <c r="J28" s="395"/>
      <c r="K28" s="12"/>
    </row>
    <row r="29" customFormat="false" ht="12.8" hidden="false" customHeight="false" outlineLevel="0" collapsed="false">
      <c r="A29" s="12"/>
      <c r="B29" s="377" t="n">
        <v>1</v>
      </c>
      <c r="C29" s="378" t="s">
        <v>433</v>
      </c>
      <c r="D29" s="395"/>
      <c r="E29" s="395"/>
      <c r="F29" s="400" t="s">
        <v>434</v>
      </c>
      <c r="G29" s="401"/>
      <c r="H29" s="398" t="n">
        <v>15</v>
      </c>
      <c r="I29" s="402" t="n">
        <f aca="false">H29/30</f>
        <v>0.5</v>
      </c>
      <c r="J29" s="395"/>
      <c r="K29" s="12"/>
      <c r="L29" s="12"/>
      <c r="M29" s="12"/>
      <c r="N29" s="12"/>
      <c r="O29" s="12"/>
    </row>
    <row r="30" customFormat="false" ht="13.8" hidden="false" customHeight="false" outlineLevel="0" collapsed="false">
      <c r="A30" s="12"/>
      <c r="B30" s="377" t="n">
        <v>0</v>
      </c>
      <c r="C30" s="378" t="s">
        <v>435</v>
      </c>
      <c r="D30" s="389"/>
      <c r="E30" s="300"/>
      <c r="F30" s="403" t="s">
        <v>436</v>
      </c>
      <c r="G30" s="404"/>
      <c r="H30" s="405" t="n">
        <f aca="false">SUM(H25:H29)</f>
        <v>270</v>
      </c>
      <c r="I30" s="300"/>
      <c r="J30" s="300"/>
      <c r="K30" s="12"/>
      <c r="L30" s="12"/>
      <c r="M30" s="12"/>
      <c r="N30" s="12"/>
      <c r="O30" s="12"/>
    </row>
    <row r="31" customFormat="false" ht="13.8" hidden="false" customHeight="false" outlineLevel="0" collapsed="false">
      <c r="A31" s="12"/>
      <c r="B31" s="377" t="n">
        <v>2</v>
      </c>
      <c r="C31" s="378" t="s">
        <v>437</v>
      </c>
      <c r="D31" s="389"/>
      <c r="E31" s="300"/>
      <c r="F31" s="403" t="s">
        <v>421</v>
      </c>
      <c r="G31" s="404"/>
      <c r="H31" s="405" t="n">
        <f aca="false">H30/30</f>
        <v>9</v>
      </c>
      <c r="I31" s="300"/>
      <c r="J31" s="300"/>
      <c r="K31" s="12"/>
      <c r="L31" s="12"/>
      <c r="M31" s="12"/>
      <c r="N31" s="12"/>
      <c r="O31" s="12"/>
    </row>
    <row r="32" customFormat="false" ht="15" hidden="false" customHeight="true" outlineLevel="0" collapsed="false">
      <c r="A32" s="12"/>
      <c r="B32" s="12"/>
      <c r="C32" s="12"/>
      <c r="D32" s="12"/>
      <c r="E32" s="12"/>
      <c r="F32" s="300"/>
      <c r="G32" s="300"/>
      <c r="H32" s="300"/>
      <c r="I32" s="300"/>
      <c r="J32" s="300"/>
      <c r="K32" s="12"/>
      <c r="L32" s="12"/>
      <c r="M32" s="12"/>
      <c r="N32" s="12"/>
      <c r="O32" s="12"/>
    </row>
    <row r="33" customFormat="false" ht="15" hidden="false" customHeight="true" outlineLevel="0" collapsed="false">
      <c r="A33" s="12"/>
      <c r="B33" s="12"/>
      <c r="C33" s="12"/>
      <c r="D33" s="12"/>
      <c r="E33" s="12"/>
      <c r="F33" s="406" t="s">
        <v>438</v>
      </c>
      <c r="G33" s="406"/>
      <c r="H33" s="406"/>
      <c r="I33" s="300"/>
      <c r="J33" s="300"/>
      <c r="K33" s="12"/>
      <c r="L33" s="12"/>
      <c r="M33" s="12"/>
      <c r="N33" s="12"/>
      <c r="O33" s="12"/>
    </row>
    <row r="34" customFormat="false" ht="13.8" hidden="false" customHeight="false" outlineLevel="0" collapsed="false">
      <c r="A34" s="12"/>
      <c r="B34" s="12"/>
      <c r="C34" s="12"/>
      <c r="D34" s="407"/>
      <c r="E34" s="407"/>
      <c r="F34" s="406"/>
      <c r="G34" s="406"/>
      <c r="H34" s="406"/>
      <c r="I34" s="300"/>
      <c r="J34" s="300"/>
      <c r="K34" s="12"/>
      <c r="L34" s="12"/>
      <c r="M34" s="12"/>
      <c r="N34" s="12"/>
      <c r="O34" s="12"/>
    </row>
    <row r="35" customFormat="false" ht="18.75" hidden="false" customHeight="true" outlineLevel="0" collapsed="false">
      <c r="A35" s="12"/>
      <c r="B35" s="12"/>
      <c r="C35" s="12"/>
      <c r="D35" s="12"/>
      <c r="E35" s="12"/>
      <c r="F35" s="406"/>
      <c r="G35" s="406"/>
      <c r="H35" s="406"/>
      <c r="I35" s="300"/>
      <c r="J35" s="300"/>
      <c r="K35" s="12"/>
      <c r="L35" s="12"/>
      <c r="M35" s="12"/>
      <c r="N35" s="12"/>
      <c r="O35" s="12"/>
    </row>
    <row r="36" customFormat="false" ht="15" hidden="false" customHeight="true" outlineLevel="0" collapsed="false">
      <c r="A36" s="12"/>
      <c r="B36" s="12"/>
      <c r="C36" s="12"/>
      <c r="D36" s="12"/>
      <c r="E36" s="12"/>
      <c r="F36" s="406"/>
      <c r="G36" s="406"/>
      <c r="H36" s="406"/>
      <c r="I36" s="300"/>
      <c r="J36" s="300"/>
      <c r="K36" s="12"/>
      <c r="L36" s="12"/>
      <c r="M36" s="12"/>
      <c r="N36" s="12"/>
      <c r="O36" s="12"/>
    </row>
    <row r="37" customFormat="false" ht="12.8" hidden="false" customHeight="false" outlineLevel="0" collapsed="false">
      <c r="B37" s="12"/>
      <c r="C37" s="12"/>
      <c r="D37" s="12"/>
      <c r="E37" s="12"/>
      <c r="F37" s="300"/>
      <c r="G37" s="300"/>
      <c r="H37" s="300"/>
      <c r="I37" s="300"/>
      <c r="J37" s="300"/>
      <c r="K37" s="12"/>
      <c r="L37" s="12"/>
      <c r="M37" s="12"/>
      <c r="N37" s="12"/>
      <c r="O37" s="12"/>
    </row>
    <row r="38" customFormat="false" ht="12.8" hidden="false" customHeight="false" outlineLevel="0" collapsed="false">
      <c r="A38" s="296"/>
      <c r="B38" s="296"/>
      <c r="C38" s="296"/>
      <c r="D38" s="300"/>
      <c r="E38" s="300"/>
      <c r="F38" s="300"/>
      <c r="G38" s="300"/>
      <c r="H38" s="300"/>
      <c r="I38" s="300"/>
    </row>
    <row r="39" customFormat="false" ht="15" hidden="false" customHeight="true" outlineLevel="0" collapsed="false">
      <c r="A39" s="408"/>
      <c r="B39" s="409"/>
      <c r="C39" s="409"/>
      <c r="D39" s="409"/>
      <c r="E39" s="409"/>
      <c r="I39" s="409"/>
      <c r="J39" s="409"/>
    </row>
    <row r="40" customFormat="false" ht="12.8" hidden="false" customHeight="false" outlineLevel="0" collapsed="false">
      <c r="A40" s="409"/>
      <c r="B40" s="409"/>
      <c r="C40" s="409"/>
      <c r="D40" s="409"/>
      <c r="E40" s="409"/>
      <c r="I40" s="409"/>
      <c r="J40" s="409"/>
    </row>
  </sheetData>
  <mergeCells count="30">
    <mergeCell ref="C2:D2"/>
    <mergeCell ref="C3:D3"/>
    <mergeCell ref="C4:D4"/>
    <mergeCell ref="C5:D5"/>
    <mergeCell ref="F5:J5"/>
    <mergeCell ref="Y5:AF5"/>
    <mergeCell ref="AG5:AO5"/>
    <mergeCell ref="AP5:AV5"/>
    <mergeCell ref="AW5:AZ5"/>
    <mergeCell ref="BA5:BB5"/>
    <mergeCell ref="F6:F7"/>
    <mergeCell ref="G6:G7"/>
    <mergeCell ref="H6:H7"/>
    <mergeCell ref="I6:I7"/>
    <mergeCell ref="J6:J7"/>
    <mergeCell ref="A7:D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20:C20"/>
    <mergeCell ref="F33:H3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9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11.70703125" defaultRowHeight="12.8" zeroHeight="false" outlineLevelRow="0" outlineLevelCol="0"/>
  <cols>
    <col collapsed="false" customWidth="true" hidden="false" outlineLevel="0" max="2" min="2" style="410" width="51"/>
    <col collapsed="false" customWidth="true" hidden="false" outlineLevel="0" max="4" min="4" style="0" width="34.86"/>
    <col collapsed="false" customWidth="true" hidden="false" outlineLevel="0" max="8" min="8" style="0" width="16.71"/>
    <col collapsed="false" customWidth="true" hidden="false" outlineLevel="0" max="14" min="14" style="0" width="25.57"/>
    <col collapsed="false" customWidth="true" hidden="false" outlineLevel="0" max="15" min="15" style="0" width="32.29"/>
  </cols>
  <sheetData>
    <row r="1" customFormat="false" ht="12.75" hidden="false" customHeight="true" outlineLevel="0" collapsed="false">
      <c r="A1" s="411" t="s">
        <v>439</v>
      </c>
      <c r="B1" s="411"/>
      <c r="C1" s="411"/>
      <c r="D1" s="411"/>
      <c r="E1" s="411"/>
      <c r="F1" s="411"/>
      <c r="G1" s="411"/>
      <c r="H1" s="411"/>
    </row>
    <row r="2" customFormat="false" ht="12.8" hidden="false" customHeight="false" outlineLevel="0" collapsed="false">
      <c r="A2" s="411"/>
      <c r="B2" s="411"/>
      <c r="C2" s="411"/>
      <c r="D2" s="411"/>
      <c r="E2" s="411"/>
      <c r="F2" s="411"/>
      <c r="G2" s="411"/>
      <c r="H2" s="411"/>
    </row>
    <row r="3" customFormat="false" ht="12.8" hidden="false" customHeight="false" outlineLevel="0" collapsed="false">
      <c r="A3" s="411"/>
      <c r="B3" s="411"/>
      <c r="C3" s="411"/>
      <c r="D3" s="411"/>
      <c r="E3" s="411"/>
      <c r="F3" s="411"/>
      <c r="G3" s="411"/>
      <c r="H3" s="411"/>
    </row>
    <row r="4" customFormat="false" ht="12.75" hidden="false" customHeight="true" outlineLevel="0" collapsed="false">
      <c r="A4" s="412" t="s">
        <v>440</v>
      </c>
      <c r="B4" s="413" t="s">
        <v>441</v>
      </c>
      <c r="C4" s="414" t="s">
        <v>442</v>
      </c>
      <c r="D4" s="414"/>
      <c r="E4" s="414"/>
      <c r="F4" s="415" t="s">
        <v>443</v>
      </c>
      <c r="G4" s="416" t="s">
        <v>444</v>
      </c>
      <c r="H4" s="416"/>
    </row>
    <row r="5" customFormat="false" ht="12.8" hidden="false" customHeight="false" outlineLevel="0" collapsed="false">
      <c r="A5" s="412"/>
      <c r="B5" s="413"/>
      <c r="C5" s="414"/>
      <c r="D5" s="414"/>
      <c r="E5" s="414"/>
      <c r="F5" s="415"/>
      <c r="G5" s="416"/>
      <c r="H5" s="416"/>
    </row>
    <row r="6" customFormat="false" ht="12.75" hidden="false" customHeight="true" outlineLevel="0" collapsed="false">
      <c r="A6" s="412"/>
      <c r="B6" s="413"/>
      <c r="C6" s="414"/>
      <c r="D6" s="414"/>
      <c r="E6" s="414"/>
      <c r="F6" s="415"/>
      <c r="G6" s="417" t="s">
        <v>445</v>
      </c>
      <c r="H6" s="418" t="s">
        <v>446</v>
      </c>
    </row>
    <row r="7" customFormat="false" ht="12.8" hidden="false" customHeight="false" outlineLevel="0" collapsed="false">
      <c r="A7" s="412"/>
      <c r="B7" s="413"/>
      <c r="C7" s="419" t="s">
        <v>447</v>
      </c>
      <c r="D7" s="420" t="s">
        <v>441</v>
      </c>
      <c r="E7" s="420" t="s">
        <v>448</v>
      </c>
      <c r="F7" s="415"/>
      <c r="G7" s="417"/>
      <c r="H7" s="418"/>
    </row>
    <row r="8" customFormat="false" ht="12.8" hidden="false" customHeight="false" outlineLevel="0" collapsed="false">
      <c r="A8" s="421"/>
      <c r="B8" s="422" t="s">
        <v>396</v>
      </c>
      <c r="C8" s="423"/>
      <c r="D8" s="424"/>
      <c r="E8" s="425"/>
      <c r="F8" s="426"/>
      <c r="G8" s="427"/>
      <c r="H8" s="428"/>
    </row>
    <row r="9" customFormat="false" ht="12.8" hidden="false" customHeight="false" outlineLevel="0" collapsed="false">
      <c r="A9" s="429" t="s">
        <v>397</v>
      </c>
      <c r="B9" s="430" t="s">
        <v>398</v>
      </c>
      <c r="C9" s="431" t="n">
        <v>93570</v>
      </c>
      <c r="D9" s="432" t="str">
        <f aca="false">VLOOKUP(C9,$A$37:$E$55,2,0)</f>
        <v>ARQUITETO PLENO COM ENCARGOS COMPLEMENTARES</v>
      </c>
      <c r="E9" s="433" t="n">
        <f aca="false">VLOOKUP(C9,$A$37:$F$55,6,0)</f>
        <v>89.9176363636364</v>
      </c>
      <c r="F9" s="434" t="n">
        <f aca="false">ROUND(E9*220,2)</f>
        <v>19781.88</v>
      </c>
      <c r="G9" s="435" t="n">
        <f aca="false">ROUND(AVERAGE(F9:F9),2)</f>
        <v>19781.88</v>
      </c>
      <c r="H9" s="436" t="s">
        <v>449</v>
      </c>
    </row>
    <row r="10" customFormat="false" ht="17.9" hidden="false" customHeight="false" outlineLevel="0" collapsed="false">
      <c r="A10" s="429" t="s">
        <v>399</v>
      </c>
      <c r="B10" s="430" t="s">
        <v>400</v>
      </c>
      <c r="C10" s="431" t="n">
        <v>93565</v>
      </c>
      <c r="D10" s="432" t="str">
        <f aca="false">VLOOKUP(C10,$A$37:$E$55,2,0)</f>
        <v>ENGENHEIRO CIVIL DE OBRA JUNIOR COM ENCARGOS COMPLEMENTARES</v>
      </c>
      <c r="E10" s="433" t="n">
        <f aca="false">VLOOKUP(C10,$A$37:$F$55,6,0)</f>
        <v>88.4873181818182</v>
      </c>
      <c r="F10" s="434" t="n">
        <f aca="false">ROUND(E10*220,2)</f>
        <v>19467.21</v>
      </c>
      <c r="G10" s="435" t="n">
        <f aca="false">ROUND(AVERAGE(F10:F10),2)</f>
        <v>19467.21</v>
      </c>
      <c r="H10" s="436" t="s">
        <v>450</v>
      </c>
    </row>
    <row r="11" customFormat="false" ht="17.9" hidden="false" customHeight="false" outlineLevel="0" collapsed="false">
      <c r="A11" s="429" t="s">
        <v>401</v>
      </c>
      <c r="B11" s="430" t="s">
        <v>402</v>
      </c>
      <c r="C11" s="431" t="n">
        <v>93567</v>
      </c>
      <c r="D11" s="432" t="str">
        <f aca="false">VLOOKUP(C11,$A$37:$E$55,2,0)</f>
        <v>ENGENHEIRO CIVIL DE OBRA PLENO COM ENCARGOS COMPLEMENTARES</v>
      </c>
      <c r="E11" s="433" t="n">
        <f aca="false">VLOOKUP(C11,$A$37:$F$55,6,0)</f>
        <v>91.4736818181818</v>
      </c>
      <c r="F11" s="434" t="n">
        <f aca="false">ROUND(E11*220,2)</f>
        <v>20124.21</v>
      </c>
      <c r="G11" s="435" t="n">
        <f aca="false">ROUND(AVERAGE(F11:F11),2)</f>
        <v>20124.21</v>
      </c>
      <c r="H11" s="436" t="s">
        <v>450</v>
      </c>
    </row>
    <row r="12" customFormat="false" ht="12.8" hidden="false" customHeight="false" outlineLevel="0" collapsed="false">
      <c r="A12" s="429"/>
      <c r="B12" s="437"/>
      <c r="C12" s="431"/>
      <c r="D12" s="432"/>
      <c r="E12" s="433"/>
      <c r="F12" s="434"/>
      <c r="G12" s="435"/>
      <c r="H12" s="436"/>
    </row>
    <row r="13" customFormat="false" ht="12.8" hidden="false" customHeight="false" outlineLevel="0" collapsed="false">
      <c r="A13" s="438"/>
      <c r="B13" s="439" t="s">
        <v>403</v>
      </c>
      <c r="C13" s="431"/>
      <c r="D13" s="432"/>
      <c r="E13" s="433"/>
      <c r="F13" s="434"/>
      <c r="G13" s="435"/>
      <c r="H13" s="436"/>
    </row>
    <row r="14" customFormat="false" ht="17.9" hidden="false" customHeight="false" outlineLevel="0" collapsed="false">
      <c r="A14" s="429" t="s">
        <v>404</v>
      </c>
      <c r="B14" s="430" t="s">
        <v>405</v>
      </c>
      <c r="C14" s="431" t="n">
        <v>93571</v>
      </c>
      <c r="D14" s="432" t="str">
        <f aca="false">VLOOKUP(C14,$A$37:$E$55,2,0)</f>
        <v>ARQUITETO SENIOR COM ENCARGOS COMPLEMENTARES</v>
      </c>
      <c r="E14" s="433" t="n">
        <f aca="false">VLOOKUP(C14,$A$37:$F$55,6,0)</f>
        <v>92.7008636363636</v>
      </c>
      <c r="F14" s="434" t="n">
        <f aca="false">ROUND(E14*220,2)</f>
        <v>20394.19</v>
      </c>
      <c r="G14" s="435" t="n">
        <f aca="false">ROUND(AVERAGE(F14:F14),2)</f>
        <v>20394.19</v>
      </c>
      <c r="H14" s="436" t="s">
        <v>450</v>
      </c>
    </row>
    <row r="15" customFormat="false" ht="17.9" hidden="false" customHeight="false" outlineLevel="0" collapsed="false">
      <c r="A15" s="429" t="s">
        <v>406</v>
      </c>
      <c r="B15" s="430" t="s">
        <v>407</v>
      </c>
      <c r="C15" s="431" t="n">
        <v>93568</v>
      </c>
      <c r="D15" s="432" t="str">
        <f aca="false">VLOOKUP(C15,$A$37:$E$55,2,0)</f>
        <v>ENGENHEIRO CIVIL DE OBRA SENIOR COM ENCARGOS COMPLEMENTARES</v>
      </c>
      <c r="E15" s="433" t="n">
        <f aca="false">VLOOKUP(C15,$A$37:$F$55,6,0)</f>
        <v>113.974590909091</v>
      </c>
      <c r="F15" s="434" t="n">
        <f aca="false">ROUND(E15*220,2)</f>
        <v>25074.41</v>
      </c>
      <c r="G15" s="435" t="n">
        <f aca="false">ROUND(AVERAGE(F15:F15),2)</f>
        <v>25074.41</v>
      </c>
      <c r="H15" s="436" t="s">
        <v>450</v>
      </c>
    </row>
    <row r="16" customFormat="false" ht="17.9" hidden="false" customHeight="false" outlineLevel="0" collapsed="false">
      <c r="A16" s="429"/>
      <c r="B16" s="430" t="s">
        <v>451</v>
      </c>
      <c r="C16" s="431" t="n">
        <v>93568</v>
      </c>
      <c r="D16" s="432" t="str">
        <f aca="false">VLOOKUP(C16,$A$37:$E$55,2,0)</f>
        <v>ENGENHEIRO CIVIL DE OBRA SENIOR COM ENCARGOS COMPLEMENTARES</v>
      </c>
      <c r="E16" s="433" t="n">
        <f aca="false">VLOOKUP(C16,$A$37:$F$55,6,0)</f>
        <v>113.974590909091</v>
      </c>
      <c r="F16" s="434" t="n">
        <f aca="false">ROUND(E16*220,2)</f>
        <v>25074.41</v>
      </c>
      <c r="G16" s="435" t="n">
        <f aca="false">ROUND(AVERAGE(F16:F16),2)</f>
        <v>25074.41</v>
      </c>
      <c r="H16" s="436" t="s">
        <v>450</v>
      </c>
    </row>
    <row r="17" customFormat="false" ht="12.8" hidden="false" customHeight="false" outlineLevel="0" collapsed="false">
      <c r="A17" s="438" t="s">
        <v>452</v>
      </c>
      <c r="B17" s="440" t="s">
        <v>408</v>
      </c>
      <c r="C17" s="431"/>
      <c r="D17" s="432"/>
      <c r="E17" s="433"/>
      <c r="F17" s="434"/>
      <c r="G17" s="435"/>
      <c r="H17" s="436"/>
    </row>
    <row r="18" customFormat="false" ht="17.9" hidden="false" customHeight="false" outlineLevel="0" collapsed="false">
      <c r="A18" s="429" t="s">
        <v>409</v>
      </c>
      <c r="B18" s="430" t="s">
        <v>410</v>
      </c>
      <c r="C18" s="431" t="n">
        <v>93561</v>
      </c>
      <c r="D18" s="432" t="str">
        <f aca="false">VLOOKUP(C18,$A$37:$E$55,2,0)</f>
        <v>DESENHISTA PROJETISTA COM ENCARGOS COMPLEMENTARES</v>
      </c>
      <c r="E18" s="433" t="n">
        <f aca="false">VLOOKUP(C18,$A$37:$F$55,6,0)</f>
        <v>35.0844545454545</v>
      </c>
      <c r="F18" s="434" t="n">
        <f aca="false">ROUND(E18*220,2)</f>
        <v>7718.58</v>
      </c>
      <c r="G18" s="435" t="n">
        <f aca="false">ROUND(AVERAGE(F18:F18),2)</f>
        <v>7718.58</v>
      </c>
      <c r="H18" s="436" t="s">
        <v>450</v>
      </c>
    </row>
    <row r="19" customFormat="false" ht="17.9" hidden="false" customHeight="false" outlineLevel="0" collapsed="false">
      <c r="A19" s="429" t="s">
        <v>411</v>
      </c>
      <c r="B19" s="430" t="s">
        <v>412</v>
      </c>
      <c r="C19" s="431" t="n">
        <v>93565</v>
      </c>
      <c r="D19" s="432" t="str">
        <f aca="false">VLOOKUP(C19,$A$37:$E$55,2,0)</f>
        <v>ENGENHEIRO CIVIL DE OBRA JUNIOR COM ENCARGOS COMPLEMENTARES</v>
      </c>
      <c r="E19" s="433" t="n">
        <f aca="false">VLOOKUP(C19,$A$37:$F$55,6,0)</f>
        <v>88.4873181818182</v>
      </c>
      <c r="F19" s="434" t="n">
        <f aca="false">ROUND(E19*220,2)</f>
        <v>19467.21</v>
      </c>
      <c r="G19" s="435" t="n">
        <f aca="false">ROUND(AVERAGE(F19:F19),2)</f>
        <v>19467.21</v>
      </c>
      <c r="H19" s="436" t="s">
        <v>450</v>
      </c>
    </row>
    <row r="20" customFormat="false" ht="17.9" hidden="false" customHeight="false" outlineLevel="0" collapsed="false">
      <c r="A20" s="429" t="s">
        <v>413</v>
      </c>
      <c r="B20" s="430" t="s">
        <v>414</v>
      </c>
      <c r="C20" s="431" t="n">
        <v>100534</v>
      </c>
      <c r="D20" s="432" t="str">
        <f aca="false">VLOOKUP(C20,$A$37:$E$55,2,0)</f>
        <v>TECNICO DE EDIFICACOES COM ENCARGOS COMPLEMENTARES</v>
      </c>
      <c r="E20" s="433" t="n">
        <f aca="false">VLOOKUP(C20,$A$37:$F$55,6,0)</f>
        <v>28.0329090909091</v>
      </c>
      <c r="F20" s="434" t="n">
        <f aca="false">ROUND(E20*220,2)</f>
        <v>6167.24</v>
      </c>
      <c r="G20" s="435" t="n">
        <f aca="false">ROUND(AVERAGE(F20:F20),2)</f>
        <v>6167.24</v>
      </c>
      <c r="H20" s="436" t="s">
        <v>450</v>
      </c>
    </row>
    <row r="21" customFormat="false" ht="12.8" hidden="false" customHeight="false" outlineLevel="0" collapsed="false">
      <c r="A21" s="441"/>
      <c r="B21" s="442"/>
      <c r="C21" s="443"/>
      <c r="D21" s="444"/>
      <c r="E21" s="445"/>
      <c r="F21" s="446"/>
      <c r="G21" s="447"/>
      <c r="H21" s="448"/>
    </row>
    <row r="22" customFormat="false" ht="12.8" hidden="false" customHeight="false" outlineLevel="0" collapsed="false">
      <c r="A22" s="449"/>
      <c r="B22" s="450"/>
      <c r="C22" s="449"/>
      <c r="D22" s="449"/>
      <c r="E22" s="449"/>
      <c r="F22" s="449"/>
      <c r="G22" s="449"/>
      <c r="H22" s="449"/>
    </row>
    <row r="23" customFormat="false" ht="12.8" hidden="false" customHeight="false" outlineLevel="0" collapsed="false">
      <c r="A23" s="449"/>
      <c r="B23" s="450"/>
      <c r="C23" s="449"/>
      <c r="D23" s="449"/>
      <c r="E23" s="449"/>
      <c r="F23" s="449"/>
      <c r="G23" s="449"/>
      <c r="H23" s="449"/>
    </row>
    <row r="24" customFormat="false" ht="12.8" hidden="false" customHeight="false" outlineLevel="0" collapsed="false">
      <c r="A24" s="449"/>
      <c r="B24" s="450"/>
      <c r="C24" s="449"/>
      <c r="D24" s="449"/>
      <c r="E24" s="449"/>
      <c r="F24" s="449"/>
      <c r="G24" s="449"/>
      <c r="H24" s="449"/>
    </row>
    <row r="25" customFormat="false" ht="12.8" hidden="false" customHeight="false" outlineLevel="0" collapsed="false">
      <c r="A25" s="449"/>
      <c r="B25" s="450"/>
      <c r="C25" s="449"/>
      <c r="D25" s="449"/>
      <c r="E25" s="449"/>
      <c r="F25" s="449"/>
      <c r="G25" s="449"/>
      <c r="H25" s="449"/>
    </row>
    <row r="26" customFormat="false" ht="12.8" hidden="false" customHeight="false" outlineLevel="0" collapsed="false">
      <c r="A26" s="449"/>
      <c r="B26" s="450"/>
      <c r="C26" s="449"/>
      <c r="D26" s="449"/>
      <c r="E26" s="449"/>
      <c r="F26" s="449"/>
      <c r="G26" s="449"/>
      <c r="H26" s="449"/>
    </row>
    <row r="27" customFormat="false" ht="12.8" hidden="false" customHeight="false" outlineLevel="0" collapsed="false">
      <c r="A27" s="449"/>
      <c r="B27" s="450"/>
      <c r="C27" s="449"/>
      <c r="D27" s="449"/>
      <c r="E27" s="449"/>
      <c r="F27" s="449"/>
      <c r="G27" s="449"/>
      <c r="H27" s="449"/>
    </row>
    <row r="28" customFormat="false" ht="12.8" hidden="false" customHeight="false" outlineLevel="0" collapsed="false">
      <c r="A28" s="449"/>
      <c r="B28" s="450"/>
      <c r="C28" s="449"/>
      <c r="D28" s="449"/>
      <c r="E28" s="449"/>
      <c r="F28" s="449"/>
      <c r="G28" s="449"/>
      <c r="H28" s="449"/>
    </row>
    <row r="29" customFormat="false" ht="12.8" hidden="false" customHeight="false" outlineLevel="0" collapsed="false">
      <c r="A29" s="449"/>
      <c r="B29" s="450"/>
      <c r="C29" s="449"/>
      <c r="D29" s="449"/>
      <c r="E29" s="449"/>
      <c r="F29" s="449"/>
      <c r="G29" s="449"/>
      <c r="H29" s="449"/>
    </row>
    <row r="30" customFormat="false" ht="12.8" hidden="false" customHeight="false" outlineLevel="0" collapsed="false">
      <c r="A30" s="449"/>
      <c r="B30" s="450"/>
      <c r="C30" s="449"/>
      <c r="D30" s="449"/>
      <c r="E30" s="449"/>
      <c r="F30" s="449"/>
      <c r="G30" s="449"/>
      <c r="H30" s="449"/>
    </row>
    <row r="31" customFormat="false" ht="12.8" hidden="false" customHeight="false" outlineLevel="0" collapsed="false">
      <c r="A31" s="449"/>
      <c r="B31" s="450"/>
      <c r="C31" s="449"/>
      <c r="D31" s="449"/>
      <c r="E31" s="449"/>
      <c r="F31" s="449"/>
      <c r="G31" s="449"/>
      <c r="H31" s="449"/>
    </row>
    <row r="32" customFormat="false" ht="12.8" hidden="false" customHeight="false" outlineLevel="0" collapsed="false">
      <c r="A32" s="449"/>
      <c r="B32" s="450"/>
      <c r="C32" s="449"/>
      <c r="D32" s="449"/>
      <c r="E32" s="449"/>
      <c r="F32" s="449"/>
      <c r="G32" s="449"/>
      <c r="H32" s="449"/>
    </row>
    <row r="33" customFormat="false" ht="12.8" hidden="false" customHeight="false" outlineLevel="0" collapsed="false">
      <c r="A33" s="449"/>
      <c r="B33" s="450"/>
      <c r="C33" s="449"/>
      <c r="D33" s="449"/>
      <c r="E33" s="449"/>
      <c r="F33" s="449"/>
      <c r="G33" s="449"/>
      <c r="H33" s="449"/>
    </row>
    <row r="34" customFormat="false" ht="12.8" hidden="false" customHeight="false" outlineLevel="0" collapsed="false">
      <c r="A34" s="449"/>
      <c r="B34" s="450"/>
      <c r="C34" s="449"/>
      <c r="D34" s="449"/>
      <c r="E34" s="449"/>
      <c r="F34" s="449"/>
      <c r="G34" s="449"/>
      <c r="H34" s="449"/>
    </row>
    <row r="35" customFormat="false" ht="12.8" hidden="false" customHeight="false" outlineLevel="0" collapsed="false">
      <c r="A35" s="449" t="s">
        <v>453</v>
      </c>
      <c r="B35" s="450"/>
      <c r="C35" s="449"/>
      <c r="D35" s="451" t="s">
        <v>454</v>
      </c>
      <c r="E35" s="449" t="n">
        <f aca="false">ENC_SOCIAIS!G43</f>
        <v>0</v>
      </c>
      <c r="F35" s="449"/>
      <c r="G35" s="449"/>
      <c r="H35" s="449"/>
    </row>
    <row r="36" customFormat="false" ht="12.8" hidden="false" customHeight="false" outlineLevel="0" collapsed="false">
      <c r="A36" s="449"/>
      <c r="B36" s="450"/>
      <c r="C36" s="449"/>
      <c r="D36" s="449"/>
      <c r="E36" s="449"/>
      <c r="F36" s="449"/>
      <c r="G36" s="449"/>
      <c r="H36" s="449"/>
    </row>
    <row r="37" s="454" customFormat="true" ht="12.8" hidden="false" customHeight="false" outlineLevel="0" collapsed="false">
      <c r="A37" s="452" t="s">
        <v>455</v>
      </c>
      <c r="B37" s="453" t="s">
        <v>456</v>
      </c>
      <c r="C37" s="452" t="s">
        <v>9</v>
      </c>
      <c r="D37" s="452" t="s">
        <v>457</v>
      </c>
      <c r="E37" s="452"/>
      <c r="F37" s="452"/>
      <c r="G37" s="452"/>
      <c r="H37" s="452"/>
    </row>
    <row r="38" customFormat="false" ht="12.8" hidden="false" customHeight="false" outlineLevel="0" collapsed="false">
      <c r="A38" s="236" t="n">
        <v>93559</v>
      </c>
      <c r="B38" s="455" t="s">
        <v>458</v>
      </c>
      <c r="C38" s="449" t="s">
        <v>459</v>
      </c>
      <c r="D38" s="449" t="n">
        <v>5000.7</v>
      </c>
      <c r="E38" s="449" t="n">
        <f aca="false">D38/(1+$E$35)</f>
        <v>5000.7</v>
      </c>
      <c r="F38" s="449" t="n">
        <f aca="false">E38/220</f>
        <v>22.7304545454545</v>
      </c>
      <c r="G38" s="449"/>
      <c r="H38" s="449"/>
    </row>
    <row r="39" customFormat="false" ht="12.8" hidden="false" customHeight="false" outlineLevel="0" collapsed="false">
      <c r="A39" s="236" t="n">
        <v>93560</v>
      </c>
      <c r="B39" s="455" t="s">
        <v>460</v>
      </c>
      <c r="C39" s="449" t="s">
        <v>459</v>
      </c>
      <c r="D39" s="449" t="n">
        <v>6186.83</v>
      </c>
      <c r="E39" s="449" t="n">
        <f aca="false">D39/(1+$E$35)</f>
        <v>6186.83</v>
      </c>
      <c r="F39" s="449" t="n">
        <f aca="false">E39/220</f>
        <v>28.1219545454545</v>
      </c>
      <c r="G39" s="449"/>
      <c r="H39" s="449"/>
    </row>
    <row r="40" customFormat="false" ht="12.8" hidden="false" customHeight="false" outlineLevel="0" collapsed="false">
      <c r="A40" s="236" t="n">
        <v>93561</v>
      </c>
      <c r="B40" s="455" t="s">
        <v>461</v>
      </c>
      <c r="C40" s="449" t="s">
        <v>459</v>
      </c>
      <c r="D40" s="449" t="n">
        <v>7718.58</v>
      </c>
      <c r="E40" s="449" t="n">
        <f aca="false">D40/(1+$E$35)</f>
        <v>7718.58</v>
      </c>
      <c r="F40" s="449" t="n">
        <f aca="false">E40/220</f>
        <v>35.0844545454545</v>
      </c>
      <c r="G40" s="449"/>
      <c r="H40" s="449"/>
    </row>
    <row r="41" customFormat="false" ht="12.8" hidden="false" customHeight="false" outlineLevel="0" collapsed="false">
      <c r="A41" s="236" t="n">
        <v>93562</v>
      </c>
      <c r="B41" s="455" t="s">
        <v>462</v>
      </c>
      <c r="C41" s="449" t="s">
        <v>459</v>
      </c>
      <c r="D41" s="449" t="n">
        <v>5556.19</v>
      </c>
      <c r="E41" s="449" t="n">
        <f aca="false">D41/(1+$E$35)</f>
        <v>5556.19</v>
      </c>
      <c r="F41" s="449" t="n">
        <f aca="false">E41/220</f>
        <v>25.2554090909091</v>
      </c>
      <c r="G41" s="449"/>
      <c r="H41" s="449"/>
    </row>
    <row r="42" customFormat="false" ht="19.4" hidden="false" customHeight="false" outlineLevel="0" collapsed="false">
      <c r="A42" s="236" t="n">
        <v>93565</v>
      </c>
      <c r="B42" s="455" t="s">
        <v>463</v>
      </c>
      <c r="C42" s="449" t="s">
        <v>459</v>
      </c>
      <c r="D42" s="449" t="n">
        <v>19467.21</v>
      </c>
      <c r="E42" s="449" t="n">
        <f aca="false">D42/(1+$E$35)</f>
        <v>19467.21</v>
      </c>
      <c r="F42" s="449" t="n">
        <f aca="false">E42/220</f>
        <v>88.4873181818182</v>
      </c>
      <c r="G42" s="449"/>
      <c r="H42" s="449"/>
    </row>
    <row r="43" customFormat="false" ht="12.8" hidden="false" customHeight="false" outlineLevel="0" collapsed="false">
      <c r="A43" s="236" t="n">
        <v>93566</v>
      </c>
      <c r="B43" s="455" t="s">
        <v>464</v>
      </c>
      <c r="C43" s="449" t="s">
        <v>459</v>
      </c>
      <c r="D43" s="449" t="n">
        <v>3945.08</v>
      </c>
      <c r="E43" s="449" t="n">
        <f aca="false">D43/(1+$E$35)</f>
        <v>3945.08</v>
      </c>
      <c r="F43" s="449" t="n">
        <f aca="false">E43/220</f>
        <v>17.9321818181818</v>
      </c>
      <c r="G43" s="449"/>
      <c r="H43" s="449"/>
    </row>
    <row r="44" customFormat="false" ht="19.4" hidden="false" customHeight="false" outlineLevel="0" collapsed="false">
      <c r="A44" s="236" t="n">
        <v>93567</v>
      </c>
      <c r="B44" s="455" t="s">
        <v>465</v>
      </c>
      <c r="C44" s="449" t="s">
        <v>459</v>
      </c>
      <c r="D44" s="449" t="n">
        <v>20124.21</v>
      </c>
      <c r="E44" s="449" t="n">
        <f aca="false">D44/(1+$E$35)</f>
        <v>20124.21</v>
      </c>
      <c r="F44" s="449" t="n">
        <f aca="false">E44/220</f>
        <v>91.4736818181818</v>
      </c>
      <c r="G44" s="449"/>
      <c r="H44" s="449"/>
    </row>
    <row r="45" customFormat="false" ht="19.4" hidden="false" customHeight="false" outlineLevel="0" collapsed="false">
      <c r="A45" s="236" t="n">
        <v>93568</v>
      </c>
      <c r="B45" s="455" t="s">
        <v>466</v>
      </c>
      <c r="C45" s="449" t="s">
        <v>459</v>
      </c>
      <c r="D45" s="449" t="n">
        <v>25074.41</v>
      </c>
      <c r="E45" s="449" t="n">
        <f aca="false">D45/(1+$E$35)</f>
        <v>25074.41</v>
      </c>
      <c r="F45" s="449" t="n">
        <f aca="false">E45/220</f>
        <v>113.974590909091</v>
      </c>
      <c r="G45" s="449"/>
      <c r="H45" s="449"/>
    </row>
    <row r="46" customFormat="false" ht="12.8" hidden="false" customHeight="false" outlineLevel="0" collapsed="false">
      <c r="A46" s="236" t="n">
        <v>93569</v>
      </c>
      <c r="B46" s="455" t="s">
        <v>467</v>
      </c>
      <c r="C46" s="449" t="s">
        <v>459</v>
      </c>
      <c r="D46" s="449" t="n">
        <v>18770.97</v>
      </c>
      <c r="E46" s="449" t="n">
        <f aca="false">D46/(1+$E$35)</f>
        <v>18770.97</v>
      </c>
      <c r="F46" s="449" t="n">
        <f aca="false">E46/220</f>
        <v>85.3225909090909</v>
      </c>
      <c r="G46" s="449"/>
      <c r="H46" s="449"/>
    </row>
    <row r="47" customFormat="false" ht="12.8" hidden="false" customHeight="false" outlineLevel="0" collapsed="false">
      <c r="A47" s="236" t="n">
        <v>93570</v>
      </c>
      <c r="B47" s="455" t="s">
        <v>468</v>
      </c>
      <c r="C47" s="449" t="s">
        <v>459</v>
      </c>
      <c r="D47" s="449" t="n">
        <v>19781.88</v>
      </c>
      <c r="E47" s="449" t="n">
        <f aca="false">D47/(1+$E$35)</f>
        <v>19781.88</v>
      </c>
      <c r="F47" s="449" t="n">
        <f aca="false">E47/220</f>
        <v>89.9176363636364</v>
      </c>
      <c r="G47" s="449"/>
      <c r="H47" s="449"/>
    </row>
    <row r="48" customFormat="false" ht="12.8" hidden="false" customHeight="false" outlineLevel="0" collapsed="false">
      <c r="A48" s="236" t="n">
        <v>93571</v>
      </c>
      <c r="B48" s="455" t="s">
        <v>469</v>
      </c>
      <c r="C48" s="449" t="s">
        <v>459</v>
      </c>
      <c r="D48" s="449" t="n">
        <v>20394.19</v>
      </c>
      <c r="E48" s="449" t="n">
        <f aca="false">D48/(1+$E$35)</f>
        <v>20394.19</v>
      </c>
      <c r="F48" s="449" t="n">
        <f aca="false">E48/220</f>
        <v>92.7008636363636</v>
      </c>
      <c r="G48" s="449"/>
      <c r="H48" s="449"/>
    </row>
    <row r="49" customFormat="false" ht="12.8" hidden="false" customHeight="false" outlineLevel="0" collapsed="false">
      <c r="A49" s="236" t="n">
        <v>94296</v>
      </c>
      <c r="B49" s="455" t="s">
        <v>470</v>
      </c>
      <c r="C49" s="449" t="s">
        <v>459</v>
      </c>
      <c r="D49" s="449" t="n">
        <v>7621.36</v>
      </c>
      <c r="E49" s="449" t="n">
        <f aca="false">D49/(1+$E$35)</f>
        <v>7621.36</v>
      </c>
      <c r="F49" s="449" t="n">
        <f aca="false">E49/220</f>
        <v>34.6425454545455</v>
      </c>
      <c r="G49" s="449"/>
      <c r="H49" s="449"/>
    </row>
    <row r="50" customFormat="false" ht="12.8" hidden="false" customHeight="false" outlineLevel="0" collapsed="false">
      <c r="A50" s="236" t="n">
        <v>100534</v>
      </c>
      <c r="B50" s="455" t="s">
        <v>471</v>
      </c>
      <c r="C50" s="449" t="s">
        <v>459</v>
      </c>
      <c r="D50" s="449" t="n">
        <v>6167.24</v>
      </c>
      <c r="E50" s="449" t="n">
        <f aca="false">D50/(1+$E$35)</f>
        <v>6167.24</v>
      </c>
      <c r="F50" s="449" t="n">
        <f aca="false">E50/220</f>
        <v>28.0329090909091</v>
      </c>
      <c r="G50" s="449"/>
      <c r="H50" s="449"/>
    </row>
    <row r="51" customFormat="false" ht="19.4" hidden="false" customHeight="false" outlineLevel="0" collapsed="false">
      <c r="A51" s="236" t="n">
        <v>101385</v>
      </c>
      <c r="B51" s="455" t="s">
        <v>472</v>
      </c>
      <c r="C51" s="449" t="s">
        <v>459</v>
      </c>
      <c r="D51" s="449" t="n">
        <v>5921.28</v>
      </c>
      <c r="E51" s="449" t="n">
        <f aca="false">D51/(1+$E$35)</f>
        <v>5921.28</v>
      </c>
      <c r="F51" s="449" t="n">
        <f aca="false">E51/220</f>
        <v>26.9149090909091</v>
      </c>
      <c r="G51" s="449"/>
      <c r="H51" s="449"/>
    </row>
    <row r="52" customFormat="false" ht="12.8" hidden="false" customHeight="false" outlineLevel="0" collapsed="false">
      <c r="A52" s="236" t="n">
        <v>101389</v>
      </c>
      <c r="B52" s="455" t="s">
        <v>473</v>
      </c>
      <c r="C52" s="449" t="s">
        <v>459</v>
      </c>
      <c r="D52" s="449" t="n">
        <v>3652.61</v>
      </c>
      <c r="E52" s="449" t="n">
        <f aca="false">D52/(1+$E$35)</f>
        <v>3652.61</v>
      </c>
      <c r="F52" s="449" t="n">
        <f aca="false">E52/220</f>
        <v>16.6027727272727</v>
      </c>
      <c r="G52" s="449"/>
      <c r="H52" s="449"/>
    </row>
    <row r="53" customFormat="false" ht="19.4" hidden="false" customHeight="false" outlineLevel="0" collapsed="false">
      <c r="A53" s="236" t="n">
        <v>101390</v>
      </c>
      <c r="B53" s="455" t="s">
        <v>474</v>
      </c>
      <c r="C53" s="449" t="s">
        <v>459</v>
      </c>
      <c r="D53" s="449" t="n">
        <v>5999.86</v>
      </c>
      <c r="E53" s="449" t="n">
        <f aca="false">D53/(1+$E$35)</f>
        <v>5999.86</v>
      </c>
      <c r="F53" s="449" t="n">
        <f aca="false">E53/220</f>
        <v>27.2720909090909</v>
      </c>
      <c r="G53" s="449"/>
      <c r="H53" s="449"/>
    </row>
    <row r="54" customFormat="false" ht="19.4" hidden="false" customHeight="false" outlineLevel="0" collapsed="false">
      <c r="A54" s="236" t="n">
        <v>101456</v>
      </c>
      <c r="B54" s="455" t="s">
        <v>475</v>
      </c>
      <c r="C54" s="449" t="s">
        <v>459</v>
      </c>
      <c r="D54" s="449" t="n">
        <v>7467.9</v>
      </c>
      <c r="E54" s="449" t="n">
        <f aca="false">D54/(1+$E$35)</f>
        <v>7467.9</v>
      </c>
      <c r="F54" s="449" t="n">
        <f aca="false">E54/220</f>
        <v>33.945</v>
      </c>
      <c r="G54" s="449"/>
      <c r="H54" s="449"/>
    </row>
    <row r="55" customFormat="false" ht="12.8" hidden="false" customHeight="false" outlineLevel="0" collapsed="false">
      <c r="A55" s="236" t="n">
        <v>101457</v>
      </c>
      <c r="B55" s="455" t="s">
        <v>476</v>
      </c>
      <c r="C55" s="449" t="s">
        <v>459</v>
      </c>
      <c r="D55" s="449" t="n">
        <v>4982.76</v>
      </c>
      <c r="E55" s="449" t="n">
        <f aca="false">D55/(1+$E$35)</f>
        <v>4982.76</v>
      </c>
      <c r="F55" s="449" t="n">
        <f aca="false">E55/220</f>
        <v>22.6489090909091</v>
      </c>
      <c r="G55" s="449"/>
      <c r="H55" s="449"/>
    </row>
    <row r="61" customFormat="false" ht="12.8" hidden="false" customHeight="false" outlineLevel="0" collapsed="false">
      <c r="O61" s="410"/>
    </row>
    <row r="62" customFormat="false" ht="12.8" hidden="false" customHeight="false" outlineLevel="0" collapsed="false">
      <c r="O62" s="410"/>
    </row>
    <row r="63" customFormat="false" ht="12.8" hidden="false" customHeight="false" outlineLevel="0" collapsed="false">
      <c r="O63" s="410"/>
    </row>
    <row r="64" customFormat="false" ht="12.8" hidden="false" customHeight="false" outlineLevel="0" collapsed="false">
      <c r="O64" s="410"/>
    </row>
    <row r="65" customFormat="false" ht="12.8" hidden="false" customHeight="false" outlineLevel="0" collapsed="false">
      <c r="O65" s="410"/>
    </row>
    <row r="66" customFormat="false" ht="12.8" hidden="false" customHeight="false" outlineLevel="0" collapsed="false">
      <c r="O66" s="410"/>
    </row>
    <row r="67" customFormat="false" ht="12.8" hidden="false" customHeight="false" outlineLevel="0" collapsed="false">
      <c r="O67" s="410"/>
    </row>
    <row r="68" customFormat="false" ht="12.8" hidden="false" customHeight="false" outlineLevel="0" collapsed="false">
      <c r="O68" s="410"/>
    </row>
    <row r="69" customFormat="false" ht="12.8" hidden="false" customHeight="false" outlineLevel="0" collapsed="false">
      <c r="O69" s="410"/>
    </row>
    <row r="70" customFormat="false" ht="12.8" hidden="false" customHeight="false" outlineLevel="0" collapsed="false">
      <c r="O70" s="410"/>
    </row>
    <row r="71" customFormat="false" ht="12.8" hidden="false" customHeight="false" outlineLevel="0" collapsed="false">
      <c r="O71" s="410"/>
    </row>
    <row r="72" customFormat="false" ht="12.8" hidden="false" customHeight="false" outlineLevel="0" collapsed="false">
      <c r="O72" s="410"/>
    </row>
    <row r="73" customFormat="false" ht="12.8" hidden="false" customHeight="false" outlineLevel="0" collapsed="false">
      <c r="O73" s="410"/>
    </row>
    <row r="74" customFormat="false" ht="12.8" hidden="false" customHeight="false" outlineLevel="0" collapsed="false">
      <c r="O74" s="410"/>
    </row>
    <row r="75" customFormat="false" ht="12.8" hidden="false" customHeight="false" outlineLevel="0" collapsed="false">
      <c r="O75" s="410"/>
    </row>
    <row r="76" customFormat="false" ht="12.8" hidden="false" customHeight="false" outlineLevel="0" collapsed="false">
      <c r="O76" s="410"/>
    </row>
    <row r="77" customFormat="false" ht="12.8" hidden="false" customHeight="false" outlineLevel="0" collapsed="false">
      <c r="O77" s="410"/>
    </row>
    <row r="78" customFormat="false" ht="12.8" hidden="false" customHeight="false" outlineLevel="0" collapsed="false">
      <c r="O78" s="410"/>
    </row>
    <row r="79" customFormat="false" ht="12.8" hidden="false" customHeight="false" outlineLevel="0" collapsed="false">
      <c r="O79" s="410"/>
    </row>
    <row r="80" customFormat="false" ht="12.8" hidden="false" customHeight="false" outlineLevel="0" collapsed="false">
      <c r="O80" s="410"/>
    </row>
    <row r="81" customFormat="false" ht="12.8" hidden="false" customHeight="false" outlineLevel="0" collapsed="false">
      <c r="O81" s="410"/>
    </row>
    <row r="82" customFormat="false" ht="12.8" hidden="false" customHeight="false" outlineLevel="0" collapsed="false">
      <c r="O82" s="410"/>
    </row>
    <row r="83" customFormat="false" ht="12.8" hidden="false" customHeight="false" outlineLevel="0" collapsed="false">
      <c r="O83" s="410"/>
    </row>
    <row r="84" customFormat="false" ht="12.8" hidden="false" customHeight="false" outlineLevel="0" collapsed="false">
      <c r="O84" s="410"/>
    </row>
    <row r="85" customFormat="false" ht="12.8" hidden="false" customHeight="false" outlineLevel="0" collapsed="false">
      <c r="O85" s="410"/>
    </row>
    <row r="86" customFormat="false" ht="12.8" hidden="false" customHeight="false" outlineLevel="0" collapsed="false">
      <c r="O86" s="410"/>
    </row>
    <row r="87" customFormat="false" ht="12.8" hidden="false" customHeight="false" outlineLevel="0" collapsed="false">
      <c r="O87" s="410"/>
    </row>
    <row r="88" customFormat="false" ht="12.8" hidden="false" customHeight="false" outlineLevel="0" collapsed="false">
      <c r="O88" s="410"/>
    </row>
    <row r="89" customFormat="false" ht="12.8" hidden="false" customHeight="false" outlineLevel="0" collapsed="false">
      <c r="O89" s="410"/>
    </row>
    <row r="90" customFormat="false" ht="12.8" hidden="false" customHeight="false" outlineLevel="0" collapsed="false">
      <c r="O90" s="410"/>
    </row>
    <row r="91" customFormat="false" ht="12.8" hidden="false" customHeight="false" outlineLevel="0" collapsed="false">
      <c r="O91" s="410"/>
    </row>
    <row r="92" customFormat="false" ht="12.8" hidden="false" customHeight="false" outlineLevel="0" collapsed="false">
      <c r="O92" s="410"/>
    </row>
    <row r="93" customFormat="false" ht="12.8" hidden="false" customHeight="false" outlineLevel="0" collapsed="false">
      <c r="O93" s="410"/>
    </row>
    <row r="94" customFormat="false" ht="12.8" hidden="false" customHeight="false" outlineLevel="0" collapsed="false">
      <c r="O94" s="410"/>
    </row>
    <row r="95" customFormat="false" ht="12.8" hidden="false" customHeight="false" outlineLevel="0" collapsed="false">
      <c r="O95" s="410"/>
    </row>
    <row r="96" customFormat="false" ht="12.8" hidden="false" customHeight="false" outlineLevel="0" collapsed="false">
      <c r="O96" s="410"/>
    </row>
    <row r="97" customFormat="false" ht="12.8" hidden="false" customHeight="false" outlineLevel="0" collapsed="false">
      <c r="O97" s="410"/>
    </row>
    <row r="98" customFormat="false" ht="12.8" hidden="false" customHeight="false" outlineLevel="0" collapsed="false">
      <c r="O98" s="410"/>
    </row>
    <row r="99" customFormat="false" ht="12.8" hidden="false" customHeight="false" outlineLevel="0" collapsed="false">
      <c r="O99" s="410"/>
    </row>
    <row r="100" customFormat="false" ht="12.8" hidden="false" customHeight="false" outlineLevel="0" collapsed="false">
      <c r="O100" s="410"/>
    </row>
    <row r="101" customFormat="false" ht="12.8" hidden="false" customHeight="false" outlineLevel="0" collapsed="false">
      <c r="O101" s="410"/>
    </row>
    <row r="102" customFormat="false" ht="12.8" hidden="false" customHeight="false" outlineLevel="0" collapsed="false">
      <c r="O102" s="410"/>
    </row>
    <row r="103" customFormat="false" ht="12.8" hidden="false" customHeight="false" outlineLevel="0" collapsed="false">
      <c r="O103" s="410"/>
    </row>
    <row r="104" customFormat="false" ht="12.8" hidden="false" customHeight="false" outlineLevel="0" collapsed="false">
      <c r="O104" s="410"/>
    </row>
    <row r="105" customFormat="false" ht="12.8" hidden="false" customHeight="false" outlineLevel="0" collapsed="false">
      <c r="O105" s="410"/>
    </row>
    <row r="106" customFormat="false" ht="12.8" hidden="false" customHeight="false" outlineLevel="0" collapsed="false">
      <c r="O106" s="410"/>
    </row>
    <row r="107" customFormat="false" ht="12.8" hidden="false" customHeight="false" outlineLevel="0" collapsed="false">
      <c r="O107" s="410"/>
    </row>
    <row r="108" customFormat="false" ht="12.8" hidden="false" customHeight="false" outlineLevel="0" collapsed="false">
      <c r="O108" s="410"/>
    </row>
    <row r="109" customFormat="false" ht="12.8" hidden="false" customHeight="false" outlineLevel="0" collapsed="false">
      <c r="O109" s="410"/>
    </row>
    <row r="110" customFormat="false" ht="12.8" hidden="false" customHeight="false" outlineLevel="0" collapsed="false">
      <c r="O110" s="410"/>
    </row>
    <row r="111" customFormat="false" ht="12.8" hidden="false" customHeight="false" outlineLevel="0" collapsed="false">
      <c r="O111" s="410"/>
    </row>
    <row r="112" customFormat="false" ht="12.8" hidden="false" customHeight="false" outlineLevel="0" collapsed="false">
      <c r="O112" s="410"/>
    </row>
    <row r="113" customFormat="false" ht="12.8" hidden="false" customHeight="false" outlineLevel="0" collapsed="false">
      <c r="O113" s="410"/>
    </row>
    <row r="114" customFormat="false" ht="12.8" hidden="false" customHeight="false" outlineLevel="0" collapsed="false">
      <c r="O114" s="410"/>
    </row>
    <row r="115" customFormat="false" ht="12.8" hidden="false" customHeight="false" outlineLevel="0" collapsed="false">
      <c r="O115" s="410"/>
    </row>
    <row r="116" customFormat="false" ht="12.8" hidden="false" customHeight="false" outlineLevel="0" collapsed="false">
      <c r="O116" s="410"/>
    </row>
    <row r="117" customFormat="false" ht="12.8" hidden="false" customHeight="false" outlineLevel="0" collapsed="false">
      <c r="O117" s="410"/>
    </row>
    <row r="118" customFormat="false" ht="12.8" hidden="false" customHeight="false" outlineLevel="0" collapsed="false">
      <c r="O118" s="410"/>
    </row>
    <row r="119" customFormat="false" ht="12.8" hidden="false" customHeight="false" outlineLevel="0" collapsed="false">
      <c r="O119" s="410"/>
    </row>
    <row r="120" customFormat="false" ht="12.8" hidden="false" customHeight="false" outlineLevel="0" collapsed="false">
      <c r="O120" s="410"/>
    </row>
    <row r="121" customFormat="false" ht="12.8" hidden="false" customHeight="false" outlineLevel="0" collapsed="false">
      <c r="O121" s="410"/>
    </row>
    <row r="122" customFormat="false" ht="12.8" hidden="false" customHeight="false" outlineLevel="0" collapsed="false">
      <c r="O122" s="410"/>
    </row>
    <row r="123" customFormat="false" ht="12.8" hidden="false" customHeight="false" outlineLevel="0" collapsed="false">
      <c r="O123" s="410"/>
    </row>
    <row r="124" customFormat="false" ht="12.8" hidden="false" customHeight="false" outlineLevel="0" collapsed="false">
      <c r="O124" s="410"/>
    </row>
    <row r="125" customFormat="false" ht="12.8" hidden="false" customHeight="false" outlineLevel="0" collapsed="false">
      <c r="O125" s="410"/>
    </row>
    <row r="126" customFormat="false" ht="12.8" hidden="false" customHeight="false" outlineLevel="0" collapsed="false">
      <c r="O126" s="410"/>
    </row>
    <row r="127" customFormat="false" ht="12.8" hidden="false" customHeight="false" outlineLevel="0" collapsed="false">
      <c r="O127" s="410"/>
    </row>
    <row r="128" customFormat="false" ht="12.8" hidden="false" customHeight="false" outlineLevel="0" collapsed="false">
      <c r="O128" s="410"/>
    </row>
    <row r="129" customFormat="false" ht="12.8" hidden="false" customHeight="false" outlineLevel="0" collapsed="false">
      <c r="O129" s="410"/>
    </row>
    <row r="130" customFormat="false" ht="12.8" hidden="false" customHeight="false" outlineLevel="0" collapsed="false">
      <c r="O130" s="410"/>
    </row>
    <row r="131" customFormat="false" ht="12.8" hidden="false" customHeight="false" outlineLevel="0" collapsed="false">
      <c r="O131" s="410"/>
    </row>
    <row r="132" customFormat="false" ht="12.8" hidden="false" customHeight="false" outlineLevel="0" collapsed="false">
      <c r="O132" s="410"/>
    </row>
    <row r="133" customFormat="false" ht="12.8" hidden="false" customHeight="false" outlineLevel="0" collapsed="false">
      <c r="O133" s="410"/>
    </row>
    <row r="134" customFormat="false" ht="12.8" hidden="false" customHeight="false" outlineLevel="0" collapsed="false">
      <c r="O134" s="410"/>
    </row>
    <row r="135" customFormat="false" ht="12.8" hidden="false" customHeight="false" outlineLevel="0" collapsed="false">
      <c r="O135" s="410"/>
    </row>
    <row r="136" customFormat="false" ht="12.8" hidden="false" customHeight="false" outlineLevel="0" collapsed="false">
      <c r="O136" s="410"/>
    </row>
    <row r="137" customFormat="false" ht="12.8" hidden="false" customHeight="false" outlineLevel="0" collapsed="false">
      <c r="O137" s="410"/>
    </row>
    <row r="138" customFormat="false" ht="12.8" hidden="false" customHeight="false" outlineLevel="0" collapsed="false">
      <c r="O138" s="410"/>
    </row>
    <row r="139" customFormat="false" ht="12.8" hidden="false" customHeight="false" outlineLevel="0" collapsed="false">
      <c r="O139" s="410"/>
    </row>
    <row r="140" customFormat="false" ht="12.8" hidden="false" customHeight="false" outlineLevel="0" collapsed="false">
      <c r="O140" s="410"/>
    </row>
    <row r="141" customFormat="false" ht="12.8" hidden="false" customHeight="false" outlineLevel="0" collapsed="false">
      <c r="O141" s="410"/>
    </row>
    <row r="142" customFormat="false" ht="12.8" hidden="false" customHeight="false" outlineLevel="0" collapsed="false">
      <c r="O142" s="410"/>
    </row>
    <row r="143" customFormat="false" ht="12.8" hidden="false" customHeight="false" outlineLevel="0" collapsed="false">
      <c r="O143" s="410"/>
    </row>
    <row r="144" customFormat="false" ht="12.8" hidden="false" customHeight="false" outlineLevel="0" collapsed="false">
      <c r="O144" s="410"/>
    </row>
    <row r="145" customFormat="false" ht="12.8" hidden="false" customHeight="false" outlineLevel="0" collapsed="false">
      <c r="O145" s="410"/>
    </row>
    <row r="146" customFormat="false" ht="12.8" hidden="false" customHeight="false" outlineLevel="0" collapsed="false">
      <c r="O146" s="410"/>
    </row>
    <row r="147" customFormat="false" ht="12.8" hidden="false" customHeight="false" outlineLevel="0" collapsed="false">
      <c r="O147" s="410"/>
    </row>
    <row r="148" customFormat="false" ht="12.8" hidden="false" customHeight="false" outlineLevel="0" collapsed="false">
      <c r="O148" s="410"/>
    </row>
    <row r="149" customFormat="false" ht="12.8" hidden="false" customHeight="false" outlineLevel="0" collapsed="false">
      <c r="O149" s="410"/>
    </row>
    <row r="150" customFormat="false" ht="12.8" hidden="false" customHeight="false" outlineLevel="0" collapsed="false">
      <c r="O150" s="410"/>
    </row>
    <row r="151" customFormat="false" ht="12.8" hidden="false" customHeight="false" outlineLevel="0" collapsed="false">
      <c r="O151" s="410"/>
    </row>
    <row r="152" customFormat="false" ht="12.8" hidden="false" customHeight="false" outlineLevel="0" collapsed="false">
      <c r="O152" s="410"/>
    </row>
    <row r="153" customFormat="false" ht="12.8" hidden="false" customHeight="false" outlineLevel="0" collapsed="false">
      <c r="O153" s="410"/>
    </row>
    <row r="154" customFormat="false" ht="12.8" hidden="false" customHeight="false" outlineLevel="0" collapsed="false">
      <c r="O154" s="410"/>
    </row>
    <row r="155" customFormat="false" ht="12.8" hidden="false" customHeight="false" outlineLevel="0" collapsed="false">
      <c r="O155" s="410"/>
    </row>
    <row r="156" customFormat="false" ht="12.8" hidden="false" customHeight="false" outlineLevel="0" collapsed="false">
      <c r="O156" s="410"/>
    </row>
    <row r="157" customFormat="false" ht="12.8" hidden="false" customHeight="false" outlineLevel="0" collapsed="false">
      <c r="O157" s="410"/>
    </row>
    <row r="158" customFormat="false" ht="12.8" hidden="false" customHeight="false" outlineLevel="0" collapsed="false">
      <c r="O158" s="410"/>
    </row>
    <row r="159" customFormat="false" ht="12.8" hidden="false" customHeight="false" outlineLevel="0" collapsed="false">
      <c r="O159" s="410"/>
    </row>
    <row r="160" customFormat="false" ht="12.8" hidden="false" customHeight="false" outlineLevel="0" collapsed="false">
      <c r="O160" s="410"/>
    </row>
    <row r="161" customFormat="false" ht="12.8" hidden="false" customHeight="false" outlineLevel="0" collapsed="false">
      <c r="O161" s="410"/>
    </row>
    <row r="162" customFormat="false" ht="12.8" hidden="false" customHeight="false" outlineLevel="0" collapsed="false">
      <c r="O162" s="410"/>
    </row>
    <row r="163" customFormat="false" ht="12.8" hidden="false" customHeight="false" outlineLevel="0" collapsed="false">
      <c r="O163" s="410"/>
    </row>
    <row r="164" customFormat="false" ht="12.8" hidden="false" customHeight="false" outlineLevel="0" collapsed="false">
      <c r="O164" s="410"/>
    </row>
    <row r="165" customFormat="false" ht="12.8" hidden="false" customHeight="false" outlineLevel="0" collapsed="false">
      <c r="O165" s="410"/>
    </row>
    <row r="166" customFormat="false" ht="12.8" hidden="false" customHeight="false" outlineLevel="0" collapsed="false">
      <c r="O166" s="410"/>
    </row>
    <row r="167" customFormat="false" ht="12.8" hidden="false" customHeight="false" outlineLevel="0" collapsed="false">
      <c r="O167" s="410"/>
    </row>
    <row r="168" customFormat="false" ht="12.8" hidden="false" customHeight="false" outlineLevel="0" collapsed="false">
      <c r="O168" s="410"/>
    </row>
    <row r="169" customFormat="false" ht="12.8" hidden="false" customHeight="false" outlineLevel="0" collapsed="false">
      <c r="O169" s="410"/>
    </row>
    <row r="170" customFormat="false" ht="12.8" hidden="false" customHeight="false" outlineLevel="0" collapsed="false">
      <c r="O170" s="410"/>
    </row>
    <row r="171" customFormat="false" ht="12.8" hidden="false" customHeight="false" outlineLevel="0" collapsed="false">
      <c r="O171" s="410"/>
    </row>
    <row r="172" customFormat="false" ht="12.8" hidden="false" customHeight="false" outlineLevel="0" collapsed="false">
      <c r="O172" s="410"/>
    </row>
    <row r="173" customFormat="false" ht="12.8" hidden="false" customHeight="false" outlineLevel="0" collapsed="false">
      <c r="O173" s="410"/>
    </row>
    <row r="174" customFormat="false" ht="12.8" hidden="false" customHeight="false" outlineLevel="0" collapsed="false">
      <c r="O174" s="410"/>
    </row>
    <row r="175" customFormat="false" ht="12.8" hidden="false" customHeight="false" outlineLevel="0" collapsed="false">
      <c r="O175" s="410"/>
    </row>
    <row r="176" customFormat="false" ht="12.8" hidden="false" customHeight="false" outlineLevel="0" collapsed="false">
      <c r="O176" s="410"/>
    </row>
    <row r="177" customFormat="false" ht="12.8" hidden="false" customHeight="false" outlineLevel="0" collapsed="false">
      <c r="O177" s="410"/>
    </row>
    <row r="178" customFormat="false" ht="12.8" hidden="false" customHeight="false" outlineLevel="0" collapsed="false">
      <c r="O178" s="410"/>
    </row>
    <row r="179" customFormat="false" ht="12.8" hidden="false" customHeight="false" outlineLevel="0" collapsed="false">
      <c r="O179" s="410"/>
    </row>
    <row r="180" customFormat="false" ht="12.8" hidden="false" customHeight="false" outlineLevel="0" collapsed="false">
      <c r="O180" s="410"/>
    </row>
    <row r="181" customFormat="false" ht="12.8" hidden="false" customHeight="false" outlineLevel="0" collapsed="false">
      <c r="O181" s="410"/>
    </row>
    <row r="182" customFormat="false" ht="12.8" hidden="false" customHeight="false" outlineLevel="0" collapsed="false">
      <c r="O182" s="410"/>
    </row>
    <row r="183" customFormat="false" ht="12.8" hidden="false" customHeight="false" outlineLevel="0" collapsed="false">
      <c r="O183" s="410"/>
    </row>
    <row r="184" customFormat="false" ht="12.8" hidden="false" customHeight="false" outlineLevel="0" collapsed="false">
      <c r="O184" s="410"/>
    </row>
    <row r="185" customFormat="false" ht="12.8" hidden="false" customHeight="false" outlineLevel="0" collapsed="false">
      <c r="O185" s="410"/>
    </row>
    <row r="186" customFormat="false" ht="12.8" hidden="false" customHeight="false" outlineLevel="0" collapsed="false">
      <c r="O186" s="410"/>
    </row>
    <row r="187" customFormat="false" ht="12.8" hidden="false" customHeight="false" outlineLevel="0" collapsed="false">
      <c r="O187" s="410"/>
    </row>
    <row r="188" customFormat="false" ht="12.8" hidden="false" customHeight="false" outlineLevel="0" collapsed="false">
      <c r="O188" s="410"/>
    </row>
    <row r="189" customFormat="false" ht="12.8" hidden="false" customHeight="false" outlineLevel="0" collapsed="false">
      <c r="O189" s="410"/>
    </row>
    <row r="190" customFormat="false" ht="12.8" hidden="false" customHeight="false" outlineLevel="0" collapsed="false">
      <c r="O190" s="410"/>
    </row>
  </sheetData>
  <mergeCells count="8">
    <mergeCell ref="A1:H3"/>
    <mergeCell ref="A4:A7"/>
    <mergeCell ref="B4:B7"/>
    <mergeCell ref="C4:E6"/>
    <mergeCell ref="F4:F7"/>
    <mergeCell ref="G4:H5"/>
    <mergeCell ref="G6:G7"/>
    <mergeCell ref="H6:H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1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7" activeCellId="0" sqref="D7"/>
    </sheetView>
  </sheetViews>
  <sheetFormatPr defaultColWidth="9.13671875" defaultRowHeight="12.8" zeroHeight="false" outlineLevelRow="0" outlineLevelCol="0"/>
  <cols>
    <col collapsed="false" customWidth="true" hidden="false" outlineLevel="0" max="1" min="1" style="114" width="7"/>
    <col collapsed="false" customWidth="true" hidden="false" outlineLevel="0" max="2" min="2" style="114" width="37.76"/>
    <col collapsed="false" customWidth="true" hidden="false" outlineLevel="0" max="4" min="3" style="115" width="7.87"/>
    <col collapsed="false" customWidth="true" hidden="false" outlineLevel="0" max="5" min="5" style="116" width="11.3"/>
    <col collapsed="false" customWidth="true" hidden="false" outlineLevel="0" max="9" min="6" style="117" width="11.3"/>
    <col collapsed="false" customWidth="true" hidden="false" outlineLevel="0" max="10" min="10" style="117" width="6.57"/>
    <col collapsed="false" customWidth="false" hidden="false" outlineLevel="0" max="1011" min="11" style="114" width="9.13"/>
  </cols>
  <sheetData>
    <row r="1" customFormat="false" ht="20.25" hidden="false" customHeight="true" outlineLevel="0" collapsed="false">
      <c r="A1" s="456"/>
      <c r="B1" s="457"/>
      <c r="C1" s="457"/>
      <c r="D1" s="457"/>
      <c r="E1" s="457"/>
      <c r="F1" s="457"/>
      <c r="G1" s="458" t="s">
        <v>477</v>
      </c>
      <c r="H1" s="458"/>
      <c r="I1" s="458"/>
      <c r="J1" s="114"/>
    </row>
    <row r="2" customFormat="false" ht="20.25" hidden="false" customHeight="true" outlineLevel="0" collapsed="false">
      <c r="A2" s="459"/>
      <c r="B2" s="460"/>
      <c r="C2" s="461" t="s">
        <v>0</v>
      </c>
      <c r="D2" s="461"/>
      <c r="E2" s="462"/>
      <c r="F2" s="462"/>
      <c r="G2" s="458"/>
      <c r="H2" s="458"/>
      <c r="I2" s="458"/>
      <c r="J2" s="114"/>
    </row>
    <row r="3" customFormat="false" ht="20.25" hidden="false" customHeight="true" outlineLevel="0" collapsed="false">
      <c r="A3" s="459"/>
      <c r="B3" s="460"/>
      <c r="C3" s="463" t="s">
        <v>1</v>
      </c>
      <c r="D3" s="463"/>
      <c r="E3" s="463"/>
      <c r="F3" s="462"/>
      <c r="G3" s="458"/>
      <c r="H3" s="458"/>
      <c r="I3" s="458"/>
      <c r="J3" s="114"/>
    </row>
    <row r="4" customFormat="false" ht="20.25" hidden="false" customHeight="true" outlineLevel="0" collapsed="false">
      <c r="A4" s="459"/>
      <c r="B4" s="460"/>
      <c r="C4" s="463" t="s">
        <v>2</v>
      </c>
      <c r="D4" s="463"/>
      <c r="E4" s="462"/>
      <c r="F4" s="462"/>
      <c r="G4" s="458"/>
      <c r="H4" s="458"/>
      <c r="I4" s="458"/>
      <c r="J4" s="114"/>
    </row>
    <row r="5" customFormat="false" ht="33.75" hidden="false" customHeight="true" outlineLevel="0" collapsed="false">
      <c r="A5" s="464"/>
      <c r="B5" s="465"/>
      <c r="C5" s="466" t="s">
        <v>372</v>
      </c>
      <c r="D5" s="466"/>
      <c r="E5" s="467"/>
      <c r="F5" s="465"/>
      <c r="G5" s="458"/>
      <c r="H5" s="458"/>
      <c r="I5" s="458"/>
      <c r="J5" s="114"/>
    </row>
    <row r="6" customFormat="false" ht="34.5" hidden="false" customHeight="true" outlineLevel="0" collapsed="false">
      <c r="A6" s="468" t="s">
        <v>478</v>
      </c>
      <c r="B6" s="468"/>
      <c r="C6" s="468"/>
      <c r="D6" s="468"/>
      <c r="E6" s="468"/>
      <c r="F6" s="468"/>
      <c r="G6" s="468"/>
      <c r="H6" s="468"/>
      <c r="I6" s="468"/>
      <c r="J6" s="114"/>
    </row>
    <row r="7" s="146" customFormat="true" ht="22.5" hidden="false" customHeight="true" outlineLevel="0" collapsed="false">
      <c r="A7" s="469" t="s">
        <v>21</v>
      </c>
      <c r="B7" s="470" t="s">
        <v>25</v>
      </c>
      <c r="C7" s="471" t="s">
        <v>479</v>
      </c>
      <c r="D7" s="472" t="s">
        <v>480</v>
      </c>
      <c r="E7" s="473" t="n">
        <f aca="false">'[1]DIMENS-EQUIPE'!I25</f>
        <v>0</v>
      </c>
      <c r="F7" s="474" t="n">
        <f aca="false">'[1]DIMENS-EQUIPE'!I26</f>
        <v>0</v>
      </c>
      <c r="G7" s="474" t="n">
        <f aca="false">'[1]DIMENS-EQUIPE'!I27</f>
        <v>0</v>
      </c>
      <c r="H7" s="474" t="n">
        <f aca="false">'[1]DIMENS-EQUIPE'!I28</f>
        <v>0</v>
      </c>
      <c r="I7" s="475" t="n">
        <f aca="false">'[1]DIMENS-EQUIPE'!I29</f>
        <v>0</v>
      </c>
    </row>
    <row r="8" customFormat="false" ht="36.75" hidden="false" customHeight="true" outlineLevel="0" collapsed="false">
      <c r="A8" s="476" t="n">
        <v>1</v>
      </c>
      <c r="B8" s="477" t="s">
        <v>481</v>
      </c>
      <c r="C8" s="471"/>
      <c r="D8" s="478" t="s">
        <v>482</v>
      </c>
      <c r="E8" s="479" t="n">
        <f aca="false">'[1]DIMENS-EQUIPE'!F6</f>
        <v>0</v>
      </c>
      <c r="F8" s="479" t="n">
        <f aca="false">'[1]DIMENS-EQUIPE'!G6</f>
        <v>0</v>
      </c>
      <c r="G8" s="479" t="n">
        <f aca="false">'[1]DIMENS-EQUIPE'!H6</f>
        <v>0</v>
      </c>
      <c r="H8" s="479" t="n">
        <f aca="false">'[1]DIMENS-EQUIPE'!I6</f>
        <v>0</v>
      </c>
      <c r="I8" s="480" t="n">
        <f aca="false">'[1]DIMENS-EQUIPE'!J6</f>
        <v>0</v>
      </c>
      <c r="J8" s="114"/>
    </row>
    <row r="9" customFormat="false" ht="17.9" hidden="false" customHeight="false" outlineLevel="0" collapsed="false">
      <c r="A9" s="481" t="s">
        <v>30</v>
      </c>
      <c r="B9" s="482" t="str">
        <f aca="false">PL_ORC_ANALIT!F12</f>
        <v>SERVIÇO 1: REPARAÇÃO DE VAZAMENTO NA PRUMADA, EM SANITÁRIO 3º/4º ANDAR DO EDIFÍCIO AFP (SECRIM)</v>
      </c>
      <c r="C9" s="483" t="n">
        <f aca="false">SUM(CPUs!K8:K121)</f>
        <v>166.234256</v>
      </c>
      <c r="D9" s="484" t="n">
        <f aca="false">C9/(44/5)</f>
        <v>18.8902563636364</v>
      </c>
      <c r="E9" s="485" t="e">
        <f aca="false">VLOOKUP($A9,#REF!,6,0)/E$7/220</f>
        <v>#VALUE!</v>
      </c>
      <c r="F9" s="485" t="e">
        <f aca="false">VLOOKUP($A9,#REF!,7,0)/F$7/220</f>
        <v>#VALUE!</v>
      </c>
      <c r="G9" s="485" t="e">
        <f aca="false">VLOOKUP($A9,#REF!,8,0)/G$7/220</f>
        <v>#VALUE!</v>
      </c>
      <c r="H9" s="485" t="e">
        <f aca="false">VLOOKUP($A9,#REF!,9,0)/H$7/220</f>
        <v>#VALUE!</v>
      </c>
      <c r="I9" s="486" t="e">
        <f aca="false">VLOOKUP($A9,#REF!,10,0)/I$7/220</f>
        <v>#VALUE!</v>
      </c>
      <c r="J9" s="114"/>
    </row>
    <row r="10" customFormat="false" ht="18.5" hidden="false" customHeight="false" outlineLevel="0" collapsed="false">
      <c r="A10" s="481" t="s">
        <v>34</v>
      </c>
      <c r="B10" s="482" t="str">
        <f aca="false">PL_ORC_ANALIT!F24</f>
        <v>SERVIÇO 2: TROCA DOS REGISTROS DA PRUMADA DA CAIXA D'ÁGUA DO EDIFÍCIO ERA - PROBLEMA DE VAZAMENTO</v>
      </c>
      <c r="C10" s="483" t="n">
        <f aca="false">SUM(CPUs!K124:K211)</f>
        <v>16.1368</v>
      </c>
      <c r="D10" s="484" t="n">
        <f aca="false">C10/(44/5)</f>
        <v>1.83372727272727</v>
      </c>
      <c r="E10" s="485" t="e">
        <f aca="false">VLOOKUP($A10,#REF!,6,0)/E$7/220</f>
        <v>#VALUE!</v>
      </c>
      <c r="F10" s="485" t="e">
        <f aca="false">VLOOKUP($A10,#REF!,7,0)/F$7/220</f>
        <v>#VALUE!</v>
      </c>
      <c r="G10" s="485" t="e">
        <f aca="false">VLOOKUP($A10,#REF!,8,0)/G$7/220</f>
        <v>#VALUE!</v>
      </c>
      <c r="H10" s="485" t="e">
        <f aca="false">VLOOKUP($A10,#REF!,9,0)/H$7/220</f>
        <v>#VALUE!</v>
      </c>
      <c r="I10" s="486" t="e">
        <f aca="false">VLOOKUP($A10,#REF!,10,0)/I$7/220</f>
        <v>#VALUE!</v>
      </c>
      <c r="J10" s="114"/>
    </row>
    <row r="11" customFormat="false" ht="21" hidden="false" customHeight="true" outlineLevel="0" collapsed="false">
      <c r="A11" s="481" t="s">
        <v>37</v>
      </c>
      <c r="B11" s="482" t="str">
        <f aca="false">PL_ORC_ANALIT!F34</f>
        <v>SERVIÇO 3: APLICAÇÃO DE MANTA NO 12º ANDAR DO ED. ERA - PROBLEMA DE INFILTRAÇÃO.</v>
      </c>
      <c r="C11" s="483" t="n">
        <f aca="false">SUM(CPUs!K215:K250)</f>
        <v>40.96476</v>
      </c>
      <c r="D11" s="484" t="n">
        <f aca="false">C11/(44/5)</f>
        <v>4.65508636363636</v>
      </c>
      <c r="E11" s="485" t="e">
        <f aca="false">VLOOKUP($A11,#REF!,6,0)/E$7/220</f>
        <v>#VALUE!</v>
      </c>
      <c r="F11" s="485" t="e">
        <f aca="false">VLOOKUP($A11,#REF!,7,0)/F$7/220</f>
        <v>#VALUE!</v>
      </c>
      <c r="G11" s="485" t="e">
        <f aca="false">VLOOKUP($A11,#REF!,8,0)/G$7/220</f>
        <v>#VALUE!</v>
      </c>
      <c r="H11" s="485" t="e">
        <f aca="false">VLOOKUP($A11,#REF!,9,0)/H$7/220</f>
        <v>#VALUE!</v>
      </c>
      <c r="I11" s="486" t="e">
        <f aca="false">VLOOKUP($A11,#REF!,10,0)/I$7/220</f>
        <v>#VALUE!</v>
      </c>
      <c r="J11" s="114"/>
    </row>
    <row r="12" customFormat="false" ht="18.5" hidden="false" customHeight="false" outlineLevel="0" collapsed="false">
      <c r="A12" s="481" t="s">
        <v>40</v>
      </c>
      <c r="B12" s="482" t="str">
        <f aca="false">PL_ORC_ANALIT!F40</f>
        <v>SERVIÇO 4: TROCA DA TUBULAÇÃO DA DESCIDA DA PRUMADA DE UMA TORRE DE RESFRIAMENTO DO ED. ODC</v>
      </c>
      <c r="C12" s="483" t="n">
        <f aca="false">SUM(CPUs!K268:K300)</f>
        <v>3.5918</v>
      </c>
      <c r="D12" s="484" t="n">
        <f aca="false">C12/(44/5)</f>
        <v>0.408159090909091</v>
      </c>
      <c r="E12" s="485" t="e">
        <f aca="false">VLOOKUP($A12,#REF!,6,0)/E$7/220</f>
        <v>#VALUE!</v>
      </c>
      <c r="F12" s="485" t="e">
        <f aca="false">VLOOKUP($A12,#REF!,7,0)/F$7/220</f>
        <v>#VALUE!</v>
      </c>
      <c r="G12" s="485" t="e">
        <f aca="false">VLOOKUP($A12,#REF!,8,0)/G$7/220</f>
        <v>#VALUE!</v>
      </c>
      <c r="H12" s="485" t="e">
        <f aca="false">VLOOKUP($A12,#REF!,9,0)/H$7/220</f>
        <v>#VALUE!</v>
      </c>
      <c r="I12" s="486" t="e">
        <f aca="false">VLOOKUP($A12,#REF!,10,0)/I$7/220</f>
        <v>#VALUE!</v>
      </c>
      <c r="J12" s="114"/>
    </row>
    <row r="13" customFormat="false" ht="21" hidden="false" customHeight="true" outlineLevel="0" collapsed="false">
      <c r="A13" s="481"/>
      <c r="B13" s="482"/>
      <c r="C13" s="483"/>
      <c r="D13" s="484"/>
      <c r="E13" s="485"/>
      <c r="F13" s="485"/>
      <c r="G13" s="485"/>
      <c r="H13" s="485"/>
      <c r="I13" s="486"/>
      <c r="J13" s="114"/>
    </row>
    <row r="14" customFormat="false" ht="15" hidden="false" customHeight="true" outlineLevel="0" collapsed="false">
      <c r="A14" s="487"/>
      <c r="B14" s="488" t="s">
        <v>483</v>
      </c>
      <c r="C14" s="489" t="n">
        <f aca="false">SUM(C9:C13)</f>
        <v>226.927616</v>
      </c>
      <c r="D14" s="490" t="n">
        <f aca="false">SUM(D9:D13)</f>
        <v>25.7872290909091</v>
      </c>
      <c r="E14" s="490" t="e">
        <f aca="false">SUM(E9:E13)</f>
        <v>#VALUE!</v>
      </c>
      <c r="F14" s="490" t="e">
        <f aca="false">SUM(F9:F13)</f>
        <v>#VALUE!</v>
      </c>
      <c r="G14" s="490" t="e">
        <f aca="false">SUM(G9:G13)</f>
        <v>#VALUE!</v>
      </c>
      <c r="H14" s="490" t="e">
        <f aca="false">SUM(H9:H13)</f>
        <v>#VALUE!</v>
      </c>
      <c r="I14" s="491" t="e">
        <f aca="false">SUM(I9:I13)</f>
        <v>#VALUE!</v>
      </c>
      <c r="J14" s="114"/>
    </row>
  </sheetData>
  <mergeCells count="3">
    <mergeCell ref="G1:I5"/>
    <mergeCell ref="A6:I6"/>
    <mergeCell ref="C7:C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8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371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2024-02-06T14:02:20Z</dcterms:created>
  <dc:creator/>
  <dc:description/>
  <dc:language>pt-BR</dc:language>
  <cp:lastModifiedBy/>
  <cp:lastPrinted>2024-06-10T17:10:32Z</cp:lastPrinted>
  <dcterms:modified xsi:type="dcterms:W3CDTF">2024-06-10T17:11:12Z</dcterms:modified>
  <cp:revision>74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ProgId">
    <vt:lpwstr>Excel.Sheet</vt:lpwstr>
  </property>
</Properties>
</file>