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Users\JFMG\Downloads\"/>
    </mc:Choice>
  </mc:AlternateContent>
  <xr:revisionPtr revIDLastSave="0" documentId="13_ncr:1_{505C2F91-828F-4DA6-B1F2-86BE68FA7398}" xr6:coauthVersionLast="47" xr6:coauthVersionMax="47" xr10:uidLastSave="{00000000-0000-0000-0000-000000000000}"/>
  <bookViews>
    <workbookView xWindow="-120" yWindow="-120" windowWidth="29040" windowHeight="15840" tabRatio="904" firstSheet="1" activeTab="1" xr2:uid="{00000000-000D-0000-FFFF-FFFF00000000}"/>
  </bookViews>
  <sheets>
    <sheet name="Ocorrências Mensais - FAT" sheetId="1" state="hidden" r:id="rId1"/>
    <sheet name="INSTRUÇÕES" sheetId="2" r:id="rId2"/>
    <sheet name="Dados" sheetId="3" r:id="rId3"/>
    <sheet name="Encargos" sheetId="4" r:id="rId4"/>
    <sheet name="Resumo" sheetId="14" r:id="rId5"/>
    <sheet name="Materiais" sheetId="5" r:id="rId6"/>
    <sheet name="EPI" sheetId="17" r:id="rId7"/>
    <sheet name="Equipamentos" sheetId="6" r:id="rId8"/>
    <sheet name="Uniformes" sheetId="7" r:id="rId9"/>
    <sheet name="Servente Insalubridade" sheetId="9" r:id="rId10"/>
    <sheet name="Servente" sheetId="10" r:id="rId11"/>
    <sheet name="Servente acúm. Jardineiro" sheetId="19" r:id="rId12"/>
    <sheet name="Servente acúm. Copeira" sheetId="11" r:id="rId13"/>
    <sheet name="Zelador acúm. Lavador Carros" sheetId="12" r:id="rId14"/>
    <sheet name="Encarregado" sheetId="18" r:id="rId15"/>
    <sheet name="Auxiliar Adm" sheetId="13" r:id="rId16"/>
    <sheet name="Custo Estimado Substituto" sheetId="15" r:id="rId17"/>
    <sheet name="IPCA" sheetId="16" state="hidden" r:id="rId18"/>
  </sheets>
  <definedNames>
    <definedName name="_xlnm.Print_Area" localSheetId="15">'Auxiliar Adm'!$A$1:$J$46</definedName>
    <definedName name="_xlnm.Print_Area" localSheetId="2">Dados!$A$1:$T$58</definedName>
    <definedName name="_xlnm.Print_Area" localSheetId="3">Encargos!$A$1:$H$59</definedName>
    <definedName name="_xlnm.Print_Area" localSheetId="14">Encarregado!$A$1:$J$46</definedName>
    <definedName name="_xlnm.Print_Area" localSheetId="6">EPI!$A$1:$F$13</definedName>
    <definedName name="_xlnm.Print_Area" localSheetId="5">Materiais!$A$1:$L$89</definedName>
    <definedName name="_xlnm.Print_Area" localSheetId="10">Servente!$A$1:$J$46</definedName>
    <definedName name="_xlnm.Print_Area" localSheetId="12">'Servente acúm. Copeira'!$A$1:$J$46</definedName>
    <definedName name="_xlnm.Print_Area" localSheetId="11">'Servente acúm. Jardineiro'!$A$1:$J$46</definedName>
    <definedName name="_xlnm.Print_Area" localSheetId="9">'Servente Insalubridade'!$A$1:$J$46</definedName>
    <definedName name="_xlnm.Print_Area" localSheetId="8">Uniformes!$A$1:$H$42</definedName>
    <definedName name="_xlnm.Print_Area" localSheetId="13">'Zelador acúm. Lavador Carros'!$A$1:$J$46</definedName>
    <definedName name="BS">NA()</definedName>
    <definedName name="BT">NA()</definedName>
    <definedName name="CIDADE">NA()</definedName>
    <definedName name="CIDADES">NA()</definedName>
    <definedName name="CPMF">NA()</definedName>
    <definedName name="d">NA()</definedName>
    <definedName name="ENCARGOS">NA()</definedName>
    <definedName name="Excel_BuiltIn_Print_Area_1_1">"$#REF!.$A$2:$C$99"</definedName>
    <definedName name="Excel_BuiltIn_Print_Area_6_1">NA()</definedName>
    <definedName name="Excel_BuiltIn_Print_Area_7_1">NA()</definedName>
    <definedName name="Excel_BuiltIn_Print_Area_8_1">NA()</definedName>
    <definedName name="Excel_BuiltIn_Print_Area_9_1">NA()</definedName>
    <definedName name="ISS">NA()</definedName>
    <definedName name="Jornada">NA()</definedName>
    <definedName name="Print_Area_0" localSheetId="15">'Auxiliar Adm'!$A$1:$J$46</definedName>
    <definedName name="Print_Area_0" localSheetId="2">Dados!$A$1:$T$58</definedName>
    <definedName name="Print_Area_0" localSheetId="3">Encargos!$A$1:$H$59</definedName>
    <definedName name="Print_Area_0" localSheetId="14">Encarregado!$A$1:$J$46</definedName>
    <definedName name="Print_Area_0" localSheetId="5">Materiais!$A$1:$L$89</definedName>
    <definedName name="Print_Area_0" localSheetId="10">Servente!$A$1:$J$46</definedName>
    <definedName name="Print_Area_0" localSheetId="12">'Servente acúm. Copeira'!$A$1:$J$46</definedName>
    <definedName name="Print_Area_0" localSheetId="11">'Servente acúm. Jardineiro'!$A$1:$J$46</definedName>
    <definedName name="Print_Area_0" localSheetId="9">'Servente Insalubridade'!$A$1:$J$46</definedName>
    <definedName name="Print_Area_0" localSheetId="8">Uniformes!$A$1:$H$42</definedName>
    <definedName name="Print_Area_0" localSheetId="13">'Zelador acúm. Lavador Carros'!$A$1:$J$46</definedName>
    <definedName name="TERRIT">NA()</definedName>
    <definedName name="Tipo_de_Joranda_de_Trabalho">NA()</definedName>
    <definedName name="TP_SERV">NA()</definedName>
    <definedName name="TP_SERVPERC">NA()</definedName>
    <definedName name="VRSELEC">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30" i="6" l="1"/>
  <c r="F30" i="6" s="1"/>
  <c r="G30" i="6" s="1"/>
  <c r="G31" i="6" s="1"/>
  <c r="B14" i="14" l="1"/>
  <c r="C34" i="4"/>
  <c r="D13" i="19" l="1"/>
  <c r="E11" i="18"/>
  <c r="G96" i="1"/>
  <c r="H96" i="1" s="1"/>
  <c r="M90" i="1"/>
  <c r="N90" i="1"/>
  <c r="O90" i="1" s="1"/>
  <c r="M91" i="1"/>
  <c r="N91" i="1"/>
  <c r="O91" i="1" s="1"/>
  <c r="L91" i="1" s="1"/>
  <c r="G91" i="1" s="1"/>
  <c r="M92" i="1"/>
  <c r="N92" i="1"/>
  <c r="O92" i="1" s="1"/>
  <c r="L92" i="1" s="1"/>
  <c r="G92" i="1" s="1"/>
  <c r="M93" i="1"/>
  <c r="N93" i="1"/>
  <c r="O93" i="1" s="1"/>
  <c r="M94" i="1"/>
  <c r="N94" i="1"/>
  <c r="O94" i="1" s="1"/>
  <c r="M95" i="1"/>
  <c r="N95" i="1"/>
  <c r="O95" i="1" s="1"/>
  <c r="L95" i="1" s="1"/>
  <c r="G95" i="1" s="1"/>
  <c r="M96" i="1"/>
  <c r="N96" i="1"/>
  <c r="O96" i="1" s="1"/>
  <c r="L96" i="1" s="1"/>
  <c r="M97" i="1"/>
  <c r="N97" i="1"/>
  <c r="O97" i="1" s="1"/>
  <c r="M98" i="1"/>
  <c r="N98" i="1"/>
  <c r="O98" i="1" s="1"/>
  <c r="F95" i="1"/>
  <c r="F96" i="1"/>
  <c r="F97" i="1"/>
  <c r="F98" i="1"/>
  <c r="F94" i="1"/>
  <c r="B98" i="1"/>
  <c r="B97" i="1"/>
  <c r="B96" i="1"/>
  <c r="E98" i="1"/>
  <c r="E97" i="1"/>
  <c r="E96" i="1"/>
  <c r="A19" i="7"/>
  <c r="E38" i="6"/>
  <c r="F38" i="6" s="1"/>
  <c r="G38" i="6" s="1"/>
  <c r="E37" i="6"/>
  <c r="F37" i="6" s="1"/>
  <c r="G37" i="6" s="1"/>
  <c r="E36" i="6"/>
  <c r="F36" i="6" s="1"/>
  <c r="G36" i="6" s="1"/>
  <c r="E35" i="6"/>
  <c r="E22" i="6"/>
  <c r="F22" i="6" s="1"/>
  <c r="G22" i="6" s="1"/>
  <c r="E23" i="6"/>
  <c r="F23" i="6" s="1"/>
  <c r="G23" i="6" s="1"/>
  <c r="E24" i="6"/>
  <c r="F24" i="6" s="1"/>
  <c r="G24" i="6" s="1"/>
  <c r="E10" i="6"/>
  <c r="F10" i="6" s="1"/>
  <c r="G10" i="6" s="1"/>
  <c r="E11" i="6"/>
  <c r="F11" i="6" s="1"/>
  <c r="G11" i="6" s="1"/>
  <c r="E12" i="6"/>
  <c r="F12" i="6" s="1"/>
  <c r="G12" i="6" s="1"/>
  <c r="E13" i="6"/>
  <c r="F13" i="6" s="1"/>
  <c r="G13" i="6" s="1"/>
  <c r="E14" i="6"/>
  <c r="F14" i="6" s="1"/>
  <c r="G14" i="6" s="1"/>
  <c r="E15" i="6"/>
  <c r="F15" i="6" s="1"/>
  <c r="G15" i="6" s="1"/>
  <c r="N108" i="1"/>
  <c r="O108" i="1" s="1"/>
  <c r="N109" i="1"/>
  <c r="O109" i="1" s="1"/>
  <c r="N110" i="1"/>
  <c r="O110" i="1" s="1"/>
  <c r="N111" i="1"/>
  <c r="O111" i="1" s="1"/>
  <c r="N112" i="1"/>
  <c r="O112" i="1" s="1"/>
  <c r="M108" i="1"/>
  <c r="M109" i="1"/>
  <c r="M110" i="1"/>
  <c r="M111" i="1"/>
  <c r="M112" i="1"/>
  <c r="E108" i="1"/>
  <c r="E109" i="1"/>
  <c r="E110" i="1"/>
  <c r="E111" i="1"/>
  <c r="E112" i="1"/>
  <c r="B108" i="1"/>
  <c r="B109" i="1"/>
  <c r="B110" i="1"/>
  <c r="B111" i="1"/>
  <c r="B112" i="1"/>
  <c r="B95" i="1"/>
  <c r="E95"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O69" i="1" s="1"/>
  <c r="N70" i="1"/>
  <c r="O70" i="1" s="1"/>
  <c r="N71" i="1"/>
  <c r="O71" i="1" s="1"/>
  <c r="N72" i="1"/>
  <c r="O72" i="1" s="1"/>
  <c r="N73" i="1"/>
  <c r="O73" i="1" s="1"/>
  <c r="N74" i="1"/>
  <c r="O74" i="1" s="1"/>
  <c r="N75" i="1"/>
  <c r="O75" i="1" s="1"/>
  <c r="N76" i="1"/>
  <c r="O76" i="1" s="1"/>
  <c r="N77" i="1"/>
  <c r="O77" i="1" s="1"/>
  <c r="N78" i="1"/>
  <c r="O78" i="1" s="1"/>
  <c r="N79" i="1"/>
  <c r="O79" i="1" s="1"/>
  <c r="N80" i="1"/>
  <c r="O80" i="1" s="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F69" i="1"/>
  <c r="F70" i="1"/>
  <c r="F71" i="1"/>
  <c r="F72" i="1"/>
  <c r="F73" i="1"/>
  <c r="F74" i="1"/>
  <c r="F75" i="1"/>
  <c r="F76" i="1"/>
  <c r="F77" i="1"/>
  <c r="F78" i="1"/>
  <c r="F79" i="1"/>
  <c r="F80" i="1"/>
  <c r="E69" i="1"/>
  <c r="E70" i="1"/>
  <c r="E71" i="1"/>
  <c r="E72" i="1"/>
  <c r="E73" i="1"/>
  <c r="E74" i="1"/>
  <c r="E75" i="1"/>
  <c r="E76" i="1"/>
  <c r="E77" i="1"/>
  <c r="E78" i="1"/>
  <c r="E79" i="1"/>
  <c r="E80" i="1"/>
  <c r="B69" i="1"/>
  <c r="B70" i="1"/>
  <c r="B71" i="1"/>
  <c r="B72" i="1"/>
  <c r="B73" i="1"/>
  <c r="B74" i="1"/>
  <c r="B75" i="1"/>
  <c r="B76" i="1"/>
  <c r="B77" i="1"/>
  <c r="B78" i="1"/>
  <c r="B79" i="1"/>
  <c r="B80" i="1"/>
  <c r="A25" i="7"/>
  <c r="K24" i="7"/>
  <c r="L24" i="7" s="1"/>
  <c r="M24" i="7" s="1"/>
  <c r="N24" i="7" s="1"/>
  <c r="O24" i="7" s="1"/>
  <c r="K23" i="7"/>
  <c r="L23" i="7" s="1"/>
  <c r="M23" i="7" s="1"/>
  <c r="N23" i="7" s="1"/>
  <c r="O23" i="7" s="1"/>
  <c r="A33" i="7"/>
  <c r="F32" i="7" s="1"/>
  <c r="H32" i="7" s="1"/>
  <c r="A40" i="7"/>
  <c r="A12" i="7"/>
  <c r="F11" i="7" s="1"/>
  <c r="O6" i="3"/>
  <c r="S6" i="3"/>
  <c r="E20" i="6"/>
  <c r="F20" i="6" s="1"/>
  <c r="G20" i="6" s="1"/>
  <c r="E21" i="6"/>
  <c r="F21" i="6" s="1"/>
  <c r="G21" i="6" s="1"/>
  <c r="K14" i="1"/>
  <c r="K15" i="14" s="1"/>
  <c r="F14" i="1"/>
  <c r="H15" i="14" s="1"/>
  <c r="C14" i="1"/>
  <c r="B14" i="1"/>
  <c r="A14" i="1"/>
  <c r="Q15" i="14"/>
  <c r="N15" i="14"/>
  <c r="D15" i="14"/>
  <c r="C15" i="14"/>
  <c r="B15" i="14"/>
  <c r="I5" i="15"/>
  <c r="F27" i="19"/>
  <c r="E11" i="19"/>
  <c r="A7" i="19"/>
  <c r="B11" i="19" s="1"/>
  <c r="D42" i="19"/>
  <c r="D41" i="19"/>
  <c r="D40" i="19"/>
  <c r="D39" i="19"/>
  <c r="D35" i="19"/>
  <c r="D33" i="19"/>
  <c r="D36" i="19" s="1"/>
  <c r="J29" i="19"/>
  <c r="F25" i="19"/>
  <c r="E23" i="19"/>
  <c r="D23" i="19"/>
  <c r="E22" i="19"/>
  <c r="D22" i="19"/>
  <c r="C22" i="19"/>
  <c r="F21" i="19"/>
  <c r="G21" i="19" s="1"/>
  <c r="F20" i="19"/>
  <c r="G20" i="19" s="1"/>
  <c r="I14" i="19"/>
  <c r="I16" i="19" s="1"/>
  <c r="H14" i="19"/>
  <c r="H16" i="19" s="1"/>
  <c r="C13" i="19"/>
  <c r="E12" i="19"/>
  <c r="D12" i="19"/>
  <c r="D11" i="19"/>
  <c r="B3" i="19"/>
  <c r="B2" i="19"/>
  <c r="B1" i="19"/>
  <c r="A7" i="18"/>
  <c r="F10" i="3"/>
  <c r="K10" i="3" s="1"/>
  <c r="H91" i="1" l="1"/>
  <c r="J69" i="5"/>
  <c r="K69" i="5" s="1"/>
  <c r="H92" i="1"/>
  <c r="J70" i="5"/>
  <c r="K70" i="5" s="1"/>
  <c r="H95" i="1"/>
  <c r="J73" i="5"/>
  <c r="K73" i="5" s="1"/>
  <c r="J74" i="5"/>
  <c r="K74" i="5" s="1"/>
  <c r="F35" i="6"/>
  <c r="G35" i="6" s="1"/>
  <c r="G39" i="6" s="1"/>
  <c r="L97" i="1"/>
  <c r="G97" i="1" s="1"/>
  <c r="L94" i="1"/>
  <c r="G94" i="1" s="1"/>
  <c r="L93" i="1"/>
  <c r="G93" i="1" s="1"/>
  <c r="L98" i="1"/>
  <c r="G98" i="1" s="1"/>
  <c r="L90" i="1"/>
  <c r="G90" i="1" s="1"/>
  <c r="I96" i="1"/>
  <c r="D43" i="19"/>
  <c r="F23" i="7"/>
  <c r="H23" i="7" s="1"/>
  <c r="H25" i="7" s="1"/>
  <c r="H26" i="7" s="1"/>
  <c r="F12" i="19"/>
  <c r="G12" i="19" s="1"/>
  <c r="L10" i="3"/>
  <c r="M10" i="3" s="1"/>
  <c r="L110" i="1"/>
  <c r="G110" i="1" s="1"/>
  <c r="L111" i="1"/>
  <c r="G111" i="1" s="1"/>
  <c r="L71" i="1"/>
  <c r="G71" i="1" s="1"/>
  <c r="J51" i="5" s="1"/>
  <c r="K51" i="5" s="1"/>
  <c r="L78" i="1"/>
  <c r="G78" i="1" s="1"/>
  <c r="H78" i="1" s="1"/>
  <c r="L70" i="1"/>
  <c r="G70" i="1" s="1"/>
  <c r="J50" i="5" s="1"/>
  <c r="K50" i="5" s="1"/>
  <c r="L79" i="1"/>
  <c r="G79" i="1" s="1"/>
  <c r="H79" i="1" s="1"/>
  <c r="L73" i="1"/>
  <c r="G73" i="1" s="1"/>
  <c r="H73" i="1" s="1"/>
  <c r="L72" i="1"/>
  <c r="G72" i="1" s="1"/>
  <c r="J52" i="5" s="1"/>
  <c r="K52" i="5" s="1"/>
  <c r="L80" i="1"/>
  <c r="G80" i="1" s="1"/>
  <c r="H80" i="1" s="1"/>
  <c r="L74" i="1"/>
  <c r="G74" i="1" s="1"/>
  <c r="J54" i="5" s="1"/>
  <c r="K54" i="5" s="1"/>
  <c r="L77" i="1"/>
  <c r="G77" i="1" s="1"/>
  <c r="H77" i="1" s="1"/>
  <c r="L69" i="1"/>
  <c r="G69" i="1" s="1"/>
  <c r="H69" i="1" s="1"/>
  <c r="L76" i="1"/>
  <c r="G76" i="1" s="1"/>
  <c r="I76" i="1" s="1"/>
  <c r="L75" i="1"/>
  <c r="G75" i="1" s="1"/>
  <c r="J55" i="5" s="1"/>
  <c r="K55" i="5" s="1"/>
  <c r="F11" i="19"/>
  <c r="F22" i="19" s="1"/>
  <c r="A45" i="19"/>
  <c r="A44" i="19"/>
  <c r="S9" i="3" l="1"/>
  <c r="S7" i="3"/>
  <c r="S8" i="3"/>
  <c r="H94" i="1"/>
  <c r="J72" i="5"/>
  <c r="K72" i="5" s="1"/>
  <c r="H97" i="1"/>
  <c r="J75" i="5"/>
  <c r="K75" i="5" s="1"/>
  <c r="I97" i="1"/>
  <c r="J68" i="5"/>
  <c r="K68" i="5" s="1"/>
  <c r="H90" i="1"/>
  <c r="H98" i="1"/>
  <c r="J76" i="5"/>
  <c r="K76" i="5" s="1"/>
  <c r="H93" i="1"/>
  <c r="J71" i="5"/>
  <c r="K71" i="5" s="1"/>
  <c r="I98" i="1"/>
  <c r="H71" i="1"/>
  <c r="I70" i="1"/>
  <c r="H70" i="1"/>
  <c r="I7" i="15"/>
  <c r="J12" i="19"/>
  <c r="J14" i="19" s="1"/>
  <c r="I69" i="1"/>
  <c r="H111" i="1"/>
  <c r="J87" i="5"/>
  <c r="K87" i="5" s="1"/>
  <c r="H110" i="1"/>
  <c r="J86" i="5"/>
  <c r="K86" i="5" s="1"/>
  <c r="I110" i="1"/>
  <c r="I111" i="1"/>
  <c r="I73" i="1"/>
  <c r="J53" i="5"/>
  <c r="K53" i="5" s="1"/>
  <c r="I80" i="1"/>
  <c r="J58" i="5"/>
  <c r="K58" i="5" s="1"/>
  <c r="H72" i="1"/>
  <c r="I77" i="1"/>
  <c r="I72" i="1"/>
  <c r="I78" i="1"/>
  <c r="I71" i="1"/>
  <c r="I95" i="1"/>
  <c r="I79" i="1"/>
  <c r="J60" i="5"/>
  <c r="K60" i="5" s="1"/>
  <c r="J59" i="5"/>
  <c r="K59" i="5" s="1"/>
  <c r="H74" i="1"/>
  <c r="I74" i="1"/>
  <c r="J56" i="5"/>
  <c r="K56" i="5" s="1"/>
  <c r="H76" i="1"/>
  <c r="H75" i="1"/>
  <c r="I75" i="1"/>
  <c r="J49" i="5"/>
  <c r="K49" i="5" s="1"/>
  <c r="J57" i="5"/>
  <c r="K57" i="5" s="1"/>
  <c r="G11" i="19"/>
  <c r="I22" i="19"/>
  <c r="I29" i="19" s="1"/>
  <c r="I30" i="19" s="1"/>
  <c r="G22" i="19"/>
  <c r="I14" i="15" l="1"/>
  <c r="I33" i="19"/>
  <c r="E19" i="6"/>
  <c r="F19" i="6" s="1"/>
  <c r="G19" i="6" s="1"/>
  <c r="G25" i="6" s="1"/>
  <c r="S11" i="3" s="1"/>
  <c r="P15" i="1"/>
  <c r="K13" i="1"/>
  <c r="E23" i="18"/>
  <c r="F12" i="3"/>
  <c r="M12" i="3" s="1"/>
  <c r="K7" i="15" s="1"/>
  <c r="F13" i="3"/>
  <c r="C17" i="1"/>
  <c r="C16" i="1"/>
  <c r="C15" i="1"/>
  <c r="E12" i="18"/>
  <c r="Q17" i="14"/>
  <c r="N17" i="14"/>
  <c r="D17" i="14"/>
  <c r="C17" i="14"/>
  <c r="B17" i="14"/>
  <c r="R17" i="1"/>
  <c r="R16" i="1"/>
  <c r="K16" i="1"/>
  <c r="K17" i="14" s="1"/>
  <c r="F16" i="1"/>
  <c r="H17" i="14" s="1"/>
  <c r="B16" i="1"/>
  <c r="A16" i="1"/>
  <c r="K5" i="15"/>
  <c r="D11" i="18"/>
  <c r="D42" i="18"/>
  <c r="D41" i="18"/>
  <c r="D40" i="18"/>
  <c r="D39" i="18"/>
  <c r="D35" i="18"/>
  <c r="D33" i="18"/>
  <c r="J29" i="18"/>
  <c r="F25" i="18"/>
  <c r="F24" i="18"/>
  <c r="D23" i="18"/>
  <c r="E22" i="18"/>
  <c r="D22" i="18"/>
  <c r="C22" i="18"/>
  <c r="F21" i="18"/>
  <c r="G21" i="18" s="1"/>
  <c r="F20" i="18"/>
  <c r="G20" i="18" s="1"/>
  <c r="I14" i="18"/>
  <c r="I16" i="18" s="1"/>
  <c r="H14" i="18"/>
  <c r="H16" i="18" s="1"/>
  <c r="E13" i="18"/>
  <c r="D13" i="18"/>
  <c r="C13" i="18"/>
  <c r="D12" i="18"/>
  <c r="A45" i="18"/>
  <c r="B3" i="18"/>
  <c r="B2" i="18"/>
  <c r="B1" i="18"/>
  <c r="D12" i="9"/>
  <c r="I34" i="19" l="1"/>
  <c r="I35" i="19" s="1"/>
  <c r="I36" i="19" s="1"/>
  <c r="I37" i="19" s="1"/>
  <c r="I44" i="19" s="1"/>
  <c r="I45" i="19" s="1"/>
  <c r="G15" i="14" s="1"/>
  <c r="F11" i="18"/>
  <c r="F22" i="18" s="1"/>
  <c r="D43" i="18"/>
  <c r="F16" i="7"/>
  <c r="F17" i="7"/>
  <c r="F13" i="18"/>
  <c r="G13" i="18" s="1"/>
  <c r="D36" i="18"/>
  <c r="A44" i="18"/>
  <c r="B11" i="18"/>
  <c r="F12" i="18"/>
  <c r="G12" i="18" s="1"/>
  <c r="I40" i="19" l="1"/>
  <c r="I41" i="19"/>
  <c r="I42" i="19"/>
  <c r="I39" i="19"/>
  <c r="G11" i="18"/>
  <c r="G14" i="18" s="1"/>
  <c r="J12" i="18"/>
  <c r="J14" i="18" s="1"/>
  <c r="F14" i="18"/>
  <c r="G22" i="18"/>
  <c r="K14" i="15"/>
  <c r="I22" i="18"/>
  <c r="I29" i="18" s="1"/>
  <c r="I30" i="18" s="1"/>
  <c r="I33" i="18" s="1"/>
  <c r="I43" i="19" l="1"/>
  <c r="I34" i="18"/>
  <c r="I35" i="18" s="1"/>
  <c r="I36" i="18" s="1"/>
  <c r="I37" i="18" s="1"/>
  <c r="I44" i="18" s="1"/>
  <c r="I45" i="18" s="1"/>
  <c r="L108" i="1"/>
  <c r="G108" i="1" s="1"/>
  <c r="H108" i="1" s="1"/>
  <c r="L109" i="1"/>
  <c r="G109" i="1" s="1"/>
  <c r="H109" i="1" s="1"/>
  <c r="L112" i="1"/>
  <c r="G112" i="1" s="1"/>
  <c r="N107" i="1"/>
  <c r="O107" i="1" s="1"/>
  <c r="M107" i="1"/>
  <c r="L84" i="5"/>
  <c r="L85" i="5"/>
  <c r="L88" i="5"/>
  <c r="L83" i="5"/>
  <c r="N89" i="1"/>
  <c r="O89" i="1" s="1"/>
  <c r="M89" i="1"/>
  <c r="L68" i="5"/>
  <c r="L69" i="5"/>
  <c r="L70" i="5"/>
  <c r="L71" i="5"/>
  <c r="L74" i="5"/>
  <c r="L76" i="5"/>
  <c r="L67" i="5"/>
  <c r="O30" i="1"/>
  <c r="L30" i="1" s="1"/>
  <c r="G30" i="1" s="1"/>
  <c r="H30" i="1" s="1"/>
  <c r="O31" i="1"/>
  <c r="L31" i="1" s="1"/>
  <c r="G31" i="1" s="1"/>
  <c r="H31" i="1" s="1"/>
  <c r="O32" i="1"/>
  <c r="L32" i="1" s="1"/>
  <c r="G32" i="1" s="1"/>
  <c r="H32" i="1" s="1"/>
  <c r="O33" i="1"/>
  <c r="L33" i="1" s="1"/>
  <c r="G33" i="1" s="1"/>
  <c r="H33" i="1" s="1"/>
  <c r="O34" i="1"/>
  <c r="L34" i="1" s="1"/>
  <c r="G34" i="1" s="1"/>
  <c r="H34" i="1" s="1"/>
  <c r="O35" i="1"/>
  <c r="L35" i="1" s="1"/>
  <c r="G35" i="1" s="1"/>
  <c r="H35" i="1" s="1"/>
  <c r="O36" i="1"/>
  <c r="L36" i="1" s="1"/>
  <c r="G36" i="1" s="1"/>
  <c r="H36" i="1" s="1"/>
  <c r="O37" i="1"/>
  <c r="L37" i="1" s="1"/>
  <c r="G37" i="1" s="1"/>
  <c r="H37" i="1" s="1"/>
  <c r="O38" i="1"/>
  <c r="L38" i="1" s="1"/>
  <c r="G38" i="1" s="1"/>
  <c r="H38" i="1" s="1"/>
  <c r="O39" i="1"/>
  <c r="L39" i="1" s="1"/>
  <c r="G39" i="1" s="1"/>
  <c r="H39" i="1" s="1"/>
  <c r="O40" i="1"/>
  <c r="L40" i="1" s="1"/>
  <c r="G40" i="1" s="1"/>
  <c r="H40" i="1" s="1"/>
  <c r="O41" i="1"/>
  <c r="L41" i="1" s="1"/>
  <c r="G41" i="1" s="1"/>
  <c r="H41" i="1" s="1"/>
  <c r="O42" i="1"/>
  <c r="L42" i="1" s="1"/>
  <c r="G42" i="1" s="1"/>
  <c r="H42" i="1" s="1"/>
  <c r="O43" i="1"/>
  <c r="L43" i="1" s="1"/>
  <c r="G43" i="1" s="1"/>
  <c r="H43" i="1" s="1"/>
  <c r="O44" i="1"/>
  <c r="L44" i="1" s="1"/>
  <c r="G44" i="1" s="1"/>
  <c r="H44" i="1" s="1"/>
  <c r="O45" i="1"/>
  <c r="L45" i="1" s="1"/>
  <c r="G45" i="1" s="1"/>
  <c r="H45" i="1" s="1"/>
  <c r="O46" i="1"/>
  <c r="L46" i="1" s="1"/>
  <c r="G46" i="1" s="1"/>
  <c r="H46" i="1" s="1"/>
  <c r="O47" i="1"/>
  <c r="L47" i="1" s="1"/>
  <c r="G47" i="1" s="1"/>
  <c r="H47" i="1" s="1"/>
  <c r="O48" i="1"/>
  <c r="L48" i="1" s="1"/>
  <c r="G48" i="1" s="1"/>
  <c r="H48" i="1" s="1"/>
  <c r="O49" i="1"/>
  <c r="L49" i="1" s="1"/>
  <c r="G49" i="1" s="1"/>
  <c r="H49" i="1" s="1"/>
  <c r="O50" i="1"/>
  <c r="L50" i="1" s="1"/>
  <c r="G50" i="1" s="1"/>
  <c r="H50" i="1" s="1"/>
  <c r="O51" i="1"/>
  <c r="L51" i="1" s="1"/>
  <c r="G51" i="1" s="1"/>
  <c r="H51" i="1" s="1"/>
  <c r="O52" i="1"/>
  <c r="L52" i="1" s="1"/>
  <c r="G52" i="1" s="1"/>
  <c r="H52" i="1" s="1"/>
  <c r="O53" i="1"/>
  <c r="L53" i="1" s="1"/>
  <c r="G53" i="1" s="1"/>
  <c r="H53" i="1" s="1"/>
  <c r="O54" i="1"/>
  <c r="L54" i="1" s="1"/>
  <c r="G54" i="1" s="1"/>
  <c r="H54" i="1" s="1"/>
  <c r="O55" i="1"/>
  <c r="L55" i="1" s="1"/>
  <c r="G55" i="1" s="1"/>
  <c r="H55" i="1" s="1"/>
  <c r="O56" i="1"/>
  <c r="L56" i="1" s="1"/>
  <c r="G56" i="1" s="1"/>
  <c r="H56" i="1" s="1"/>
  <c r="O57" i="1"/>
  <c r="L57" i="1" s="1"/>
  <c r="G57" i="1" s="1"/>
  <c r="H57" i="1" s="1"/>
  <c r="O58" i="1"/>
  <c r="L58" i="1" s="1"/>
  <c r="G58" i="1" s="1"/>
  <c r="H58" i="1" s="1"/>
  <c r="O59" i="1"/>
  <c r="L59" i="1" s="1"/>
  <c r="G59" i="1" s="1"/>
  <c r="H59" i="1" s="1"/>
  <c r="O60" i="1"/>
  <c r="L60" i="1" s="1"/>
  <c r="G60" i="1" s="1"/>
  <c r="H60" i="1" s="1"/>
  <c r="O61" i="1"/>
  <c r="L61" i="1" s="1"/>
  <c r="G61" i="1" s="1"/>
  <c r="H61" i="1" s="1"/>
  <c r="O62" i="1"/>
  <c r="L62" i="1" s="1"/>
  <c r="G62" i="1" s="1"/>
  <c r="H62" i="1" s="1"/>
  <c r="O63" i="1"/>
  <c r="L63" i="1" s="1"/>
  <c r="G63" i="1" s="1"/>
  <c r="H63" i="1" s="1"/>
  <c r="O64" i="1"/>
  <c r="L64" i="1" s="1"/>
  <c r="G64" i="1" s="1"/>
  <c r="H64" i="1" s="1"/>
  <c r="O65" i="1"/>
  <c r="L65" i="1" s="1"/>
  <c r="G65" i="1" s="1"/>
  <c r="H65" i="1" s="1"/>
  <c r="O66" i="1"/>
  <c r="L66" i="1" s="1"/>
  <c r="G66" i="1" s="1"/>
  <c r="H66" i="1" s="1"/>
  <c r="O67" i="1"/>
  <c r="L67" i="1" s="1"/>
  <c r="G67" i="1" s="1"/>
  <c r="H67" i="1" s="1"/>
  <c r="O68" i="1"/>
  <c r="L68" i="1" s="1"/>
  <c r="G68" i="1" s="1"/>
  <c r="H68" i="1" s="1"/>
  <c r="N29" i="1"/>
  <c r="M29" i="1"/>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9" i="5"/>
  <c r="E107" i="1"/>
  <c r="B107"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F32" i="1"/>
  <c r="F33" i="1"/>
  <c r="F34" i="1"/>
  <c r="F35" i="1"/>
  <c r="F36" i="1"/>
  <c r="F37" i="1"/>
  <c r="F38" i="1"/>
  <c r="F42" i="1"/>
  <c r="F46" i="1"/>
  <c r="F49" i="1"/>
  <c r="F50" i="1"/>
  <c r="F52" i="1"/>
  <c r="F53" i="1"/>
  <c r="F54" i="1"/>
  <c r="F55" i="1"/>
  <c r="F56" i="1"/>
  <c r="F59" i="1"/>
  <c r="F60" i="1"/>
  <c r="F61" i="1"/>
  <c r="F62" i="1"/>
  <c r="F63" i="1"/>
  <c r="F65" i="1"/>
  <c r="F66" i="1"/>
  <c r="F67" i="1"/>
  <c r="F68" i="1"/>
  <c r="F90" i="1"/>
  <c r="F92" i="1"/>
  <c r="F93" i="1"/>
  <c r="F89" i="1"/>
  <c r="E91" i="1"/>
  <c r="E92" i="1"/>
  <c r="E93" i="1"/>
  <c r="E94" i="1"/>
  <c r="E90" i="1"/>
  <c r="E89" i="1"/>
  <c r="B91" i="1"/>
  <c r="B92" i="1"/>
  <c r="B93" i="1"/>
  <c r="B94" i="1"/>
  <c r="B90" i="1"/>
  <c r="B89" i="1"/>
  <c r="E29" i="1"/>
  <c r="B29" i="1"/>
  <c r="E12" i="17"/>
  <c r="F12" i="17" s="1"/>
  <c r="E9" i="17"/>
  <c r="F9" i="17" s="1"/>
  <c r="B3" i="17"/>
  <c r="B2" i="17"/>
  <c r="B1" i="17"/>
  <c r="AG22" i="16"/>
  <c r="AH22" i="16" s="1"/>
  <c r="AE22" i="16"/>
  <c r="Z22" i="16"/>
  <c r="AA22" i="16" s="1"/>
  <c r="X22" i="16"/>
  <c r="S22" i="16"/>
  <c r="T22" i="16" s="1"/>
  <c r="Q22" i="16"/>
  <c r="L22" i="16"/>
  <c r="M22" i="16" s="1"/>
  <c r="J22" i="16"/>
  <c r="I22" i="16"/>
  <c r="P22" i="16" s="1"/>
  <c r="W22" i="16" s="1"/>
  <c r="AD22" i="16" s="1"/>
  <c r="F22" i="16"/>
  <c r="AH21" i="16"/>
  <c r="AE21" i="16"/>
  <c r="AA21" i="16"/>
  <c r="X21" i="16"/>
  <c r="T21" i="16"/>
  <c r="Q21" i="16"/>
  <c r="M21" i="16"/>
  <c r="J21" i="16"/>
  <c r="I21" i="16"/>
  <c r="P21" i="16" s="1"/>
  <c r="W21" i="16" s="1"/>
  <c r="AD21" i="16" s="1"/>
  <c r="F21" i="16"/>
  <c r="AH20" i="16"/>
  <c r="AE20" i="16"/>
  <c r="AA20" i="16"/>
  <c r="X20" i="16"/>
  <c r="T20" i="16"/>
  <c r="Q20" i="16"/>
  <c r="M20" i="16"/>
  <c r="J20" i="16"/>
  <c r="I20" i="16"/>
  <c r="P20" i="16" s="1"/>
  <c r="W20" i="16" s="1"/>
  <c r="AD20" i="16" s="1"/>
  <c r="F20" i="16"/>
  <c r="AH19" i="16"/>
  <c r="AE19" i="16"/>
  <c r="AA19" i="16"/>
  <c r="X19" i="16"/>
  <c r="T19" i="16"/>
  <c r="Q19" i="16"/>
  <c r="M19" i="16"/>
  <c r="J19" i="16"/>
  <c r="I19" i="16"/>
  <c r="P19" i="16" s="1"/>
  <c r="W19" i="16" s="1"/>
  <c r="AD19" i="16" s="1"/>
  <c r="F19" i="16"/>
  <c r="AH18" i="16"/>
  <c r="AE18" i="16"/>
  <c r="AA18" i="16"/>
  <c r="X18" i="16"/>
  <c r="T18" i="16"/>
  <c r="Q18" i="16"/>
  <c r="M18" i="16"/>
  <c r="J18" i="16"/>
  <c r="I18" i="16"/>
  <c r="P18" i="16" s="1"/>
  <c r="W18" i="16" s="1"/>
  <c r="AD18" i="16" s="1"/>
  <c r="F18" i="16"/>
  <c r="AH17" i="16"/>
  <c r="AE17" i="16"/>
  <c r="AA17" i="16"/>
  <c r="X17" i="16"/>
  <c r="T17" i="16"/>
  <c r="Q17" i="16"/>
  <c r="M17" i="16"/>
  <c r="J17" i="16"/>
  <c r="I17" i="16"/>
  <c r="P17" i="16" s="1"/>
  <c r="W17" i="16" s="1"/>
  <c r="AD17" i="16" s="1"/>
  <c r="F17" i="16"/>
  <c r="AH16" i="16"/>
  <c r="AE16" i="16"/>
  <c r="AA16" i="16"/>
  <c r="X16" i="16"/>
  <c r="T16" i="16"/>
  <c r="Q16" i="16"/>
  <c r="M16" i="16"/>
  <c r="J16" i="16"/>
  <c r="I16" i="16"/>
  <c r="P16" i="16" s="1"/>
  <c r="W16" i="16" s="1"/>
  <c r="AD16" i="16" s="1"/>
  <c r="F16" i="16"/>
  <c r="AH15" i="16"/>
  <c r="AE15" i="16"/>
  <c r="AA15" i="16"/>
  <c r="X15" i="16"/>
  <c r="T15" i="16"/>
  <c r="Q15" i="16"/>
  <c r="M15" i="16"/>
  <c r="J15" i="16"/>
  <c r="I15" i="16"/>
  <c r="P15" i="16" s="1"/>
  <c r="W15" i="16" s="1"/>
  <c r="AD15" i="16" s="1"/>
  <c r="F15" i="16"/>
  <c r="AH14" i="16"/>
  <c r="AE14" i="16"/>
  <c r="AA14" i="16"/>
  <c r="X14" i="16"/>
  <c r="T14" i="16"/>
  <c r="Q14" i="16"/>
  <c r="M14" i="16"/>
  <c r="J14" i="16"/>
  <c r="I14" i="16"/>
  <c r="P14" i="16" s="1"/>
  <c r="W14" i="16" s="1"/>
  <c r="AD14" i="16" s="1"/>
  <c r="F14" i="16"/>
  <c r="AH13" i="16"/>
  <c r="AE13" i="16"/>
  <c r="AA13" i="16"/>
  <c r="X13" i="16"/>
  <c r="T13" i="16"/>
  <c r="Q13" i="16"/>
  <c r="M13" i="16"/>
  <c r="J13" i="16"/>
  <c r="I13" i="16"/>
  <c r="P13" i="16" s="1"/>
  <c r="W13" i="16" s="1"/>
  <c r="AD13" i="16" s="1"/>
  <c r="F13" i="16"/>
  <c r="AH12" i="16"/>
  <c r="AE12" i="16"/>
  <c r="AA12" i="16"/>
  <c r="X12" i="16"/>
  <c r="T12" i="16"/>
  <c r="Q12" i="16"/>
  <c r="M12" i="16"/>
  <c r="J12" i="16"/>
  <c r="I12" i="16"/>
  <c r="P12" i="16" s="1"/>
  <c r="W12" i="16" s="1"/>
  <c r="AD12" i="16" s="1"/>
  <c r="F12" i="16"/>
  <c r="AH11" i="16"/>
  <c r="AE11" i="16"/>
  <c r="AA11" i="16"/>
  <c r="X11" i="16"/>
  <c r="T11" i="16"/>
  <c r="Q11" i="16"/>
  <c r="M11" i="16"/>
  <c r="J11" i="16"/>
  <c r="I11" i="16"/>
  <c r="P11" i="16" s="1"/>
  <c r="W11" i="16" s="1"/>
  <c r="AD11" i="16" s="1"/>
  <c r="F11" i="16"/>
  <c r="AG10" i="16"/>
  <c r="AH10" i="16" s="1"/>
  <c r="AI10" i="16" s="1"/>
  <c r="AE10" i="16"/>
  <c r="Z10" i="16"/>
  <c r="AA10" i="16" s="1"/>
  <c r="AB10" i="16" s="1"/>
  <c r="X10" i="16"/>
  <c r="S10" i="16"/>
  <c r="T10" i="16" s="1"/>
  <c r="U10" i="16" s="1"/>
  <c r="Q10" i="16"/>
  <c r="L10" i="16"/>
  <c r="M10" i="16" s="1"/>
  <c r="N10" i="16" s="1"/>
  <c r="J10" i="16"/>
  <c r="I10" i="16"/>
  <c r="P10" i="16" s="1"/>
  <c r="W10" i="16" s="1"/>
  <c r="AD10" i="16" s="1"/>
  <c r="F10" i="16"/>
  <c r="G10" i="16" s="1"/>
  <c r="E24" i="15"/>
  <c r="B24" i="15"/>
  <c r="E23" i="15"/>
  <c r="E21" i="15"/>
  <c r="E19" i="15"/>
  <c r="E18" i="15"/>
  <c r="L5" i="15"/>
  <c r="J5" i="15"/>
  <c r="H5" i="15"/>
  <c r="G5" i="15"/>
  <c r="F5" i="15"/>
  <c r="B3" i="15"/>
  <c r="B2" i="15"/>
  <c r="B1" i="15"/>
  <c r="Q18" i="14"/>
  <c r="N18" i="14"/>
  <c r="C18" i="14"/>
  <c r="B18" i="14"/>
  <c r="Q16" i="14"/>
  <c r="N16" i="14"/>
  <c r="D16" i="14"/>
  <c r="C16" i="14"/>
  <c r="B16" i="14"/>
  <c r="Q14" i="14"/>
  <c r="N14" i="14"/>
  <c r="D14" i="14"/>
  <c r="C14" i="14"/>
  <c r="A7" i="11"/>
  <c r="U13" i="14"/>
  <c r="U19" i="14" s="1"/>
  <c r="Q13" i="14"/>
  <c r="N13" i="14"/>
  <c r="D13" i="14"/>
  <c r="C13" i="14"/>
  <c r="B13" i="14"/>
  <c r="Q12" i="14"/>
  <c r="N12" i="14"/>
  <c r="D12" i="14"/>
  <c r="C12" i="14"/>
  <c r="B12" i="14"/>
  <c r="B3" i="14"/>
  <c r="A5" i="14" s="1"/>
  <c r="B2" i="14"/>
  <c r="B1" i="14"/>
  <c r="D42" i="13"/>
  <c r="D41" i="13"/>
  <c r="D40" i="13"/>
  <c r="D39" i="13"/>
  <c r="D35" i="13"/>
  <c r="D33" i="13"/>
  <c r="J29" i="13"/>
  <c r="F25" i="13"/>
  <c r="F24" i="13"/>
  <c r="E23" i="13"/>
  <c r="D23" i="13"/>
  <c r="E22" i="13"/>
  <c r="D22" i="13"/>
  <c r="C22" i="13"/>
  <c r="F21" i="13"/>
  <c r="G21" i="13" s="1"/>
  <c r="F20" i="13"/>
  <c r="G20" i="13" s="1"/>
  <c r="I14" i="13"/>
  <c r="I16" i="13" s="1"/>
  <c r="H14" i="13"/>
  <c r="H16" i="13" s="1"/>
  <c r="E13" i="13"/>
  <c r="D13" i="13"/>
  <c r="C13" i="13"/>
  <c r="E12" i="13"/>
  <c r="D12" i="13"/>
  <c r="E11" i="13"/>
  <c r="D11" i="13"/>
  <c r="A7" i="13"/>
  <c r="A45" i="13" s="1"/>
  <c r="B3" i="13"/>
  <c r="B2" i="13"/>
  <c r="B1" i="13"/>
  <c r="D42" i="12"/>
  <c r="D41" i="12"/>
  <c r="D40" i="12"/>
  <c r="D39" i="12"/>
  <c r="D35" i="12"/>
  <c r="D33" i="12"/>
  <c r="J29" i="12"/>
  <c r="F25" i="12"/>
  <c r="E23" i="12"/>
  <c r="D23" i="12"/>
  <c r="E22" i="12"/>
  <c r="D22" i="12"/>
  <c r="C22" i="12"/>
  <c r="F21" i="12"/>
  <c r="G21" i="12" s="1"/>
  <c r="F20" i="12"/>
  <c r="G20" i="12" s="1"/>
  <c r="I14" i="12"/>
  <c r="I16" i="12" s="1"/>
  <c r="H14" i="12"/>
  <c r="H16" i="12" s="1"/>
  <c r="D13" i="12"/>
  <c r="C13" i="12"/>
  <c r="E12" i="12"/>
  <c r="D12" i="12"/>
  <c r="E11" i="12"/>
  <c r="D11" i="12"/>
  <c r="A7" i="12"/>
  <c r="A45" i="12" s="1"/>
  <c r="B3" i="12"/>
  <c r="B2" i="12"/>
  <c r="B1" i="12"/>
  <c r="D42" i="11"/>
  <c r="D41" i="11"/>
  <c r="D40" i="11"/>
  <c r="D39" i="11"/>
  <c r="D35" i="11"/>
  <c r="D33" i="11"/>
  <c r="J29" i="11"/>
  <c r="F25" i="11"/>
  <c r="E23" i="11"/>
  <c r="D23" i="11"/>
  <c r="E22" i="11"/>
  <c r="D22" i="11"/>
  <c r="C22" i="11"/>
  <c r="F21" i="11"/>
  <c r="G21" i="11" s="1"/>
  <c r="F20" i="11"/>
  <c r="G20" i="11" s="1"/>
  <c r="I14" i="11"/>
  <c r="I16" i="11" s="1"/>
  <c r="H14" i="11"/>
  <c r="H16" i="11" s="1"/>
  <c r="D13" i="11"/>
  <c r="C13" i="11"/>
  <c r="E12" i="11"/>
  <c r="D12" i="11"/>
  <c r="E11" i="11"/>
  <c r="D11" i="11"/>
  <c r="B3" i="11"/>
  <c r="B2" i="11"/>
  <c r="B1" i="11"/>
  <c r="D42" i="10"/>
  <c r="D41" i="10"/>
  <c r="D40" i="10"/>
  <c r="D39" i="10"/>
  <c r="D35" i="10"/>
  <c r="D33" i="10"/>
  <c r="J29" i="10"/>
  <c r="F25" i="10"/>
  <c r="E23" i="10"/>
  <c r="D23" i="10"/>
  <c r="E22" i="10"/>
  <c r="D22" i="10"/>
  <c r="C22" i="10"/>
  <c r="F21" i="10"/>
  <c r="G21" i="10" s="1"/>
  <c r="F20" i="10"/>
  <c r="G20" i="10" s="1"/>
  <c r="I14" i="10"/>
  <c r="I16" i="10" s="1"/>
  <c r="H14" i="10"/>
  <c r="H16" i="10" s="1"/>
  <c r="E13" i="10"/>
  <c r="D13" i="10"/>
  <c r="C13" i="10"/>
  <c r="E12" i="10"/>
  <c r="D12" i="10"/>
  <c r="E11" i="10"/>
  <c r="D11" i="10"/>
  <c r="A7" i="10"/>
  <c r="A44" i="10" s="1"/>
  <c r="B3" i="10"/>
  <c r="B2" i="10"/>
  <c r="B1" i="10"/>
  <c r="D42" i="9"/>
  <c r="D41" i="9"/>
  <c r="D40" i="9"/>
  <c r="D39" i="9"/>
  <c r="D35" i="9"/>
  <c r="D33" i="9"/>
  <c r="J29" i="9"/>
  <c r="F24" i="9"/>
  <c r="E23" i="9"/>
  <c r="D23" i="9"/>
  <c r="E22" i="9"/>
  <c r="D22" i="9"/>
  <c r="C22" i="9"/>
  <c r="F21" i="9"/>
  <c r="G21" i="9" s="1"/>
  <c r="F20" i="9"/>
  <c r="G20" i="9" s="1"/>
  <c r="I14" i="9"/>
  <c r="I16" i="9" s="1"/>
  <c r="H14" i="9"/>
  <c r="H16" i="9" s="1"/>
  <c r="D13" i="9"/>
  <c r="C13" i="9"/>
  <c r="E12" i="9"/>
  <c r="E11" i="9"/>
  <c r="D11" i="9"/>
  <c r="A7" i="9"/>
  <c r="A45" i="9" s="1"/>
  <c r="B3" i="9"/>
  <c r="B2" i="9"/>
  <c r="B1" i="9"/>
  <c r="K40" i="7"/>
  <c r="L40" i="7" s="1"/>
  <c r="M40" i="7" s="1"/>
  <c r="N40" i="7" s="1"/>
  <c r="O40" i="7" s="1"/>
  <c r="F38" i="7"/>
  <c r="H38" i="7" s="1"/>
  <c r="K39" i="7"/>
  <c r="L39" i="7" s="1"/>
  <c r="M39" i="7" s="1"/>
  <c r="N39" i="7" s="1"/>
  <c r="O39" i="7" s="1"/>
  <c r="K38" i="7"/>
  <c r="L38" i="7" s="1"/>
  <c r="M38" i="7" s="1"/>
  <c r="N38" i="7" s="1"/>
  <c r="O38" i="7" s="1"/>
  <c r="K33" i="7"/>
  <c r="L33" i="7" s="1"/>
  <c r="M33" i="7" s="1"/>
  <c r="N33" i="7" s="1"/>
  <c r="O33" i="7" s="1"/>
  <c r="K30" i="7"/>
  <c r="L30" i="7" s="1"/>
  <c r="M30" i="7" s="1"/>
  <c r="N30" i="7" s="1"/>
  <c r="O30" i="7" s="1"/>
  <c r="K29" i="7"/>
  <c r="L29" i="7" s="1"/>
  <c r="M29" i="7" s="1"/>
  <c r="N29" i="7" s="1"/>
  <c r="O29" i="7" s="1"/>
  <c r="K18" i="7"/>
  <c r="L18" i="7" s="1"/>
  <c r="M18" i="7" s="1"/>
  <c r="N18" i="7" s="1"/>
  <c r="O18" i="7" s="1"/>
  <c r="K17" i="7"/>
  <c r="L17" i="7" s="1"/>
  <c r="M17" i="7" s="1"/>
  <c r="N17" i="7" s="1"/>
  <c r="O17" i="7" s="1"/>
  <c r="K16" i="7"/>
  <c r="L16" i="7" s="1"/>
  <c r="M16" i="7" s="1"/>
  <c r="N16" i="7" s="1"/>
  <c r="O16" i="7" s="1"/>
  <c r="K10" i="7"/>
  <c r="L10" i="7" s="1"/>
  <c r="M10" i="7" s="1"/>
  <c r="N10" i="7" s="1"/>
  <c r="O10" i="7" s="1"/>
  <c r="K9" i="7"/>
  <c r="L9" i="7" s="1"/>
  <c r="M9" i="7" s="1"/>
  <c r="N9" i="7" s="1"/>
  <c r="O9" i="7" s="1"/>
  <c r="B3" i="7"/>
  <c r="B2" i="7"/>
  <c r="B1" i="7"/>
  <c r="E9" i="6"/>
  <c r="F9" i="6" s="1"/>
  <c r="G9" i="6" s="1"/>
  <c r="G16" i="6" s="1"/>
  <c r="S10" i="3" s="1"/>
  <c r="B3" i="6"/>
  <c r="B2" i="6"/>
  <c r="B1" i="6"/>
  <c r="O88" i="5"/>
  <c r="P88" i="5" s="1"/>
  <c r="Q88" i="5" s="1"/>
  <c r="R88" i="5" s="1"/>
  <c r="S88" i="5" s="1"/>
  <c r="O85" i="5"/>
  <c r="P85" i="5" s="1"/>
  <c r="Q85" i="5" s="1"/>
  <c r="R85" i="5" s="1"/>
  <c r="S85" i="5" s="1"/>
  <c r="O84" i="5"/>
  <c r="P84" i="5" s="1"/>
  <c r="Q84" i="5" s="1"/>
  <c r="R84" i="5" s="1"/>
  <c r="S84" i="5" s="1"/>
  <c r="O83" i="5"/>
  <c r="P83" i="5" s="1"/>
  <c r="Q83" i="5" s="1"/>
  <c r="R83" i="5" s="1"/>
  <c r="S83" i="5" s="1"/>
  <c r="O76" i="5"/>
  <c r="P76" i="5" s="1"/>
  <c r="Q76" i="5" s="1"/>
  <c r="R76" i="5" s="1"/>
  <c r="S76" i="5" s="1"/>
  <c r="O74" i="5"/>
  <c r="P74" i="5" s="1"/>
  <c r="Q74" i="5" s="1"/>
  <c r="R74" i="5" s="1"/>
  <c r="S74" i="5" s="1"/>
  <c r="O71" i="5"/>
  <c r="P71" i="5" s="1"/>
  <c r="Q71" i="5" s="1"/>
  <c r="R71" i="5" s="1"/>
  <c r="S71" i="5" s="1"/>
  <c r="O70" i="5"/>
  <c r="P70" i="5" s="1"/>
  <c r="Q70" i="5" s="1"/>
  <c r="R70" i="5" s="1"/>
  <c r="S70" i="5" s="1"/>
  <c r="O69" i="5"/>
  <c r="P69" i="5" s="1"/>
  <c r="Q69" i="5" s="1"/>
  <c r="R69" i="5" s="1"/>
  <c r="S69" i="5" s="1"/>
  <c r="O68" i="5"/>
  <c r="P68" i="5" s="1"/>
  <c r="Q68" i="5" s="1"/>
  <c r="R68" i="5" s="1"/>
  <c r="S68" i="5" s="1"/>
  <c r="O67" i="5"/>
  <c r="P67" i="5" s="1"/>
  <c r="Q67" i="5" s="1"/>
  <c r="R67" i="5" s="1"/>
  <c r="S67" i="5" s="1"/>
  <c r="O48" i="5"/>
  <c r="P48" i="5" s="1"/>
  <c r="Q48" i="5" s="1"/>
  <c r="R48" i="5" s="1"/>
  <c r="S48" i="5" s="1"/>
  <c r="O47" i="5"/>
  <c r="P47" i="5" s="1"/>
  <c r="Q47" i="5" s="1"/>
  <c r="R47" i="5" s="1"/>
  <c r="S47" i="5" s="1"/>
  <c r="O46" i="5"/>
  <c r="P46" i="5" s="1"/>
  <c r="Q46" i="5" s="1"/>
  <c r="R46" i="5" s="1"/>
  <c r="S46" i="5" s="1"/>
  <c r="O45" i="5"/>
  <c r="P45" i="5" s="1"/>
  <c r="Q45" i="5" s="1"/>
  <c r="R45" i="5" s="1"/>
  <c r="S45" i="5" s="1"/>
  <c r="O44" i="5"/>
  <c r="P44" i="5" s="1"/>
  <c r="Q44" i="5" s="1"/>
  <c r="R44" i="5" s="1"/>
  <c r="S44" i="5" s="1"/>
  <c r="O43" i="5"/>
  <c r="P43" i="5" s="1"/>
  <c r="Q43" i="5" s="1"/>
  <c r="R43" i="5" s="1"/>
  <c r="S43" i="5" s="1"/>
  <c r="O42" i="5"/>
  <c r="P42" i="5" s="1"/>
  <c r="Q42" i="5" s="1"/>
  <c r="R42" i="5" s="1"/>
  <c r="S42" i="5" s="1"/>
  <c r="O41" i="5"/>
  <c r="P41" i="5" s="1"/>
  <c r="Q41" i="5" s="1"/>
  <c r="R41" i="5" s="1"/>
  <c r="S41" i="5" s="1"/>
  <c r="O40" i="5"/>
  <c r="P40" i="5" s="1"/>
  <c r="Q40" i="5" s="1"/>
  <c r="R40" i="5" s="1"/>
  <c r="S40" i="5" s="1"/>
  <c r="O39" i="5"/>
  <c r="P39" i="5" s="1"/>
  <c r="Q39" i="5" s="1"/>
  <c r="R39" i="5" s="1"/>
  <c r="S39" i="5" s="1"/>
  <c r="O38" i="5"/>
  <c r="P38" i="5" s="1"/>
  <c r="Q38" i="5" s="1"/>
  <c r="R38" i="5" s="1"/>
  <c r="S38" i="5" s="1"/>
  <c r="O37" i="5"/>
  <c r="P37" i="5" s="1"/>
  <c r="Q37" i="5" s="1"/>
  <c r="R37" i="5" s="1"/>
  <c r="S37" i="5" s="1"/>
  <c r="O36" i="5"/>
  <c r="P36" i="5" s="1"/>
  <c r="Q36" i="5" s="1"/>
  <c r="R36" i="5" s="1"/>
  <c r="S36" i="5" s="1"/>
  <c r="O35" i="5"/>
  <c r="P35" i="5" s="1"/>
  <c r="Q35" i="5" s="1"/>
  <c r="R35" i="5" s="1"/>
  <c r="S35" i="5" s="1"/>
  <c r="O34" i="5"/>
  <c r="P34" i="5" s="1"/>
  <c r="Q34" i="5" s="1"/>
  <c r="R34" i="5" s="1"/>
  <c r="S34" i="5" s="1"/>
  <c r="O33" i="5"/>
  <c r="P33" i="5" s="1"/>
  <c r="Q33" i="5" s="1"/>
  <c r="R33" i="5" s="1"/>
  <c r="S33" i="5" s="1"/>
  <c r="O32" i="5"/>
  <c r="P32" i="5" s="1"/>
  <c r="Q32" i="5" s="1"/>
  <c r="R32" i="5" s="1"/>
  <c r="S32" i="5" s="1"/>
  <c r="O31" i="5"/>
  <c r="P31" i="5" s="1"/>
  <c r="Q31" i="5" s="1"/>
  <c r="R31" i="5" s="1"/>
  <c r="S31" i="5" s="1"/>
  <c r="O30" i="5"/>
  <c r="P30" i="5" s="1"/>
  <c r="Q30" i="5" s="1"/>
  <c r="R30" i="5" s="1"/>
  <c r="S30" i="5" s="1"/>
  <c r="O29" i="5"/>
  <c r="P29" i="5" s="1"/>
  <c r="Q29" i="5" s="1"/>
  <c r="R29" i="5" s="1"/>
  <c r="S29" i="5" s="1"/>
  <c r="O28" i="5"/>
  <c r="P28" i="5" s="1"/>
  <c r="Q28" i="5" s="1"/>
  <c r="R28" i="5" s="1"/>
  <c r="S28" i="5" s="1"/>
  <c r="O27" i="5"/>
  <c r="P27" i="5" s="1"/>
  <c r="Q27" i="5" s="1"/>
  <c r="R27" i="5" s="1"/>
  <c r="S27" i="5" s="1"/>
  <c r="O26" i="5"/>
  <c r="P26" i="5" s="1"/>
  <c r="Q26" i="5" s="1"/>
  <c r="R26" i="5" s="1"/>
  <c r="S26" i="5" s="1"/>
  <c r="O25" i="5"/>
  <c r="P25" i="5" s="1"/>
  <c r="Q25" i="5" s="1"/>
  <c r="R25" i="5" s="1"/>
  <c r="S25" i="5" s="1"/>
  <c r="O24" i="5"/>
  <c r="P24" i="5" s="1"/>
  <c r="Q24" i="5" s="1"/>
  <c r="R24" i="5" s="1"/>
  <c r="S24" i="5" s="1"/>
  <c r="O23" i="5"/>
  <c r="P23" i="5" s="1"/>
  <c r="Q23" i="5" s="1"/>
  <c r="R23" i="5" s="1"/>
  <c r="S23" i="5" s="1"/>
  <c r="O22" i="5"/>
  <c r="P22" i="5" s="1"/>
  <c r="Q22" i="5" s="1"/>
  <c r="R22" i="5" s="1"/>
  <c r="S22" i="5" s="1"/>
  <c r="O21" i="5"/>
  <c r="P21" i="5" s="1"/>
  <c r="Q21" i="5" s="1"/>
  <c r="R21" i="5" s="1"/>
  <c r="S21" i="5" s="1"/>
  <c r="O20" i="5"/>
  <c r="P20" i="5" s="1"/>
  <c r="Q20" i="5" s="1"/>
  <c r="R20" i="5" s="1"/>
  <c r="S20" i="5" s="1"/>
  <c r="O19" i="5"/>
  <c r="P19" i="5" s="1"/>
  <c r="Q19" i="5" s="1"/>
  <c r="R19" i="5" s="1"/>
  <c r="S19" i="5" s="1"/>
  <c r="O18" i="5"/>
  <c r="P18" i="5" s="1"/>
  <c r="Q18" i="5" s="1"/>
  <c r="R18" i="5" s="1"/>
  <c r="S18" i="5" s="1"/>
  <c r="O17" i="5"/>
  <c r="P17" i="5" s="1"/>
  <c r="Q17" i="5" s="1"/>
  <c r="R17" i="5" s="1"/>
  <c r="S17" i="5" s="1"/>
  <c r="O15" i="5"/>
  <c r="P15" i="5" s="1"/>
  <c r="Q15" i="5" s="1"/>
  <c r="R15" i="5" s="1"/>
  <c r="S15" i="5" s="1"/>
  <c r="O14" i="5"/>
  <c r="P14" i="5" s="1"/>
  <c r="Q14" i="5" s="1"/>
  <c r="R14" i="5" s="1"/>
  <c r="S14" i="5" s="1"/>
  <c r="O13" i="5"/>
  <c r="P13" i="5" s="1"/>
  <c r="Q13" i="5" s="1"/>
  <c r="R13" i="5" s="1"/>
  <c r="S13" i="5" s="1"/>
  <c r="O12" i="5"/>
  <c r="P12" i="5" s="1"/>
  <c r="Q12" i="5" s="1"/>
  <c r="R12" i="5" s="1"/>
  <c r="S12" i="5" s="1"/>
  <c r="O11" i="5"/>
  <c r="P11" i="5" s="1"/>
  <c r="Q11" i="5" s="1"/>
  <c r="R11" i="5" s="1"/>
  <c r="S11" i="5" s="1"/>
  <c r="O10" i="5"/>
  <c r="P10" i="5" s="1"/>
  <c r="Q10" i="5" s="1"/>
  <c r="R10" i="5" s="1"/>
  <c r="S10" i="5" s="1"/>
  <c r="O9" i="5"/>
  <c r="P9" i="5" s="1"/>
  <c r="Q9" i="5" s="1"/>
  <c r="R9" i="5" s="1"/>
  <c r="S9" i="5" s="1"/>
  <c r="B3" i="5"/>
  <c r="B2" i="5"/>
  <c r="B1" i="5"/>
  <c r="C48" i="4"/>
  <c r="C49" i="4" s="1"/>
  <c r="C56" i="4" s="1"/>
  <c r="C43" i="4"/>
  <c r="C42" i="4"/>
  <c r="C41" i="4"/>
  <c r="C39" i="4"/>
  <c r="E8" i="15" s="1"/>
  <c r="C36" i="4"/>
  <c r="C33" i="4"/>
  <c r="H56" i="4" s="1"/>
  <c r="C31" i="4"/>
  <c r="C32" i="4" s="1"/>
  <c r="C27" i="4"/>
  <c r="C21" i="4"/>
  <c r="C22" i="4" s="1"/>
  <c r="F53" i="4" s="1"/>
  <c r="B3" i="4"/>
  <c r="B2" i="4"/>
  <c r="B1" i="4"/>
  <c r="F76" i="3"/>
  <c r="G76" i="3" s="1"/>
  <c r="H76" i="3" s="1"/>
  <c r="I76" i="3" s="1"/>
  <c r="J76" i="3" s="1"/>
  <c r="G58" i="3"/>
  <c r="G102" i="1" s="1"/>
  <c r="B50" i="3"/>
  <c r="G40" i="3"/>
  <c r="G25" i="3"/>
  <c r="C16" i="4" s="1"/>
  <c r="C18" i="4" s="1"/>
  <c r="H49" i="4" s="1"/>
  <c r="M13" i="3"/>
  <c r="L7" i="15" s="1"/>
  <c r="F11" i="3"/>
  <c r="K11" i="3" s="1"/>
  <c r="F9" i="3"/>
  <c r="F8" i="3"/>
  <c r="M8" i="3" s="1"/>
  <c r="H7" i="3"/>
  <c r="F7" i="3"/>
  <c r="Q6" i="3"/>
  <c r="P6" i="3"/>
  <c r="A4" i="3"/>
  <c r="B3" i="3"/>
  <c r="B2" i="3"/>
  <c r="B1" i="3"/>
  <c r="G115" i="1"/>
  <c r="G114" i="1"/>
  <c r="G101" i="1"/>
  <c r="G100" i="1"/>
  <c r="G83" i="1"/>
  <c r="G82" i="1"/>
  <c r="F22" i="1"/>
  <c r="S17" i="1"/>
  <c r="P17" i="1"/>
  <c r="K17" i="1"/>
  <c r="K18" i="14" s="1"/>
  <c r="F17" i="1"/>
  <c r="H18" i="14" s="1"/>
  <c r="B17" i="1"/>
  <c r="A17" i="1"/>
  <c r="S15" i="1"/>
  <c r="K15" i="1"/>
  <c r="K16" i="14" s="1"/>
  <c r="F15" i="1"/>
  <c r="H16" i="14" s="1"/>
  <c r="B15" i="1"/>
  <c r="A15" i="1"/>
  <c r="P13" i="1"/>
  <c r="K14" i="14"/>
  <c r="F13" i="1"/>
  <c r="H14" i="14" s="1"/>
  <c r="C13" i="1"/>
  <c r="B13" i="1"/>
  <c r="A13" i="1"/>
  <c r="K12" i="1"/>
  <c r="K13" i="14" s="1"/>
  <c r="F12" i="1"/>
  <c r="H13" i="14" s="1"/>
  <c r="C12" i="1"/>
  <c r="B12" i="1"/>
  <c r="A12" i="1"/>
  <c r="P11" i="1"/>
  <c r="K11" i="1"/>
  <c r="K12" i="14" s="1"/>
  <c r="F11" i="1"/>
  <c r="H12" i="14" s="1"/>
  <c r="C11" i="1"/>
  <c r="B11" i="1"/>
  <c r="A11" i="1"/>
  <c r="F5" i="1"/>
  <c r="E5" i="1"/>
  <c r="B3" i="1"/>
  <c r="B2" i="1"/>
  <c r="B1" i="1"/>
  <c r="D19" i="14" l="1"/>
  <c r="K8" i="15"/>
  <c r="I8" i="15"/>
  <c r="A6" i="18"/>
  <c r="A6" i="19"/>
  <c r="C23" i="18"/>
  <c r="F23" i="18" s="1"/>
  <c r="K13" i="15" s="1"/>
  <c r="K16" i="15" s="1"/>
  <c r="K30" i="15" s="1"/>
  <c r="C23" i="19"/>
  <c r="F23" i="19" s="1"/>
  <c r="H112" i="1"/>
  <c r="J88" i="5"/>
  <c r="K88" i="5" s="1"/>
  <c r="I15" i="14"/>
  <c r="W17" i="1"/>
  <c r="V14" i="1"/>
  <c r="V15" i="1"/>
  <c r="W14" i="1"/>
  <c r="V16" i="1"/>
  <c r="V17" i="1"/>
  <c r="W15" i="1"/>
  <c r="W16" i="1"/>
  <c r="D36" i="13"/>
  <c r="G116" i="1"/>
  <c r="K9" i="3"/>
  <c r="N11" i="16"/>
  <c r="N12" i="16" s="1"/>
  <c r="N13" i="16" s="1"/>
  <c r="N14" i="16" s="1"/>
  <c r="N15" i="16" s="1"/>
  <c r="N16" i="16" s="1"/>
  <c r="N17" i="16" s="1"/>
  <c r="N18" i="16" s="1"/>
  <c r="N19" i="16" s="1"/>
  <c r="N20" i="16" s="1"/>
  <c r="N21" i="16" s="1"/>
  <c r="N22" i="16" s="1"/>
  <c r="N23" i="16" s="1"/>
  <c r="D64" i="3" s="1"/>
  <c r="N64" i="3" s="1"/>
  <c r="G17" i="14"/>
  <c r="I17" i="14" s="1"/>
  <c r="I42" i="18"/>
  <c r="I40" i="18"/>
  <c r="I41" i="18"/>
  <c r="I39" i="18"/>
  <c r="F29" i="7"/>
  <c r="H29" i="7" s="1"/>
  <c r="F31" i="7"/>
  <c r="H31" i="7" s="1"/>
  <c r="F10" i="7"/>
  <c r="H10" i="7" s="1"/>
  <c r="H11" i="7"/>
  <c r="F12" i="13"/>
  <c r="J12" i="13" s="1"/>
  <c r="J14" i="13" s="1"/>
  <c r="AI11" i="16"/>
  <c r="AI12" i="16" s="1"/>
  <c r="AI13" i="16" s="1"/>
  <c r="AI14" i="16" s="1"/>
  <c r="AI15" i="16" s="1"/>
  <c r="AI16" i="16" s="1"/>
  <c r="AI17" i="16" s="1"/>
  <c r="AI18" i="16" s="1"/>
  <c r="AI19" i="16" s="1"/>
  <c r="AI20" i="16" s="1"/>
  <c r="AI21" i="16" s="1"/>
  <c r="AI22" i="16" s="1"/>
  <c r="AI23" i="16" s="1"/>
  <c r="D67" i="3" s="1"/>
  <c r="N67" i="3" s="1"/>
  <c r="F12" i="11"/>
  <c r="J12" i="11" s="1"/>
  <c r="J14" i="11" s="1"/>
  <c r="F13" i="17"/>
  <c r="F10" i="17"/>
  <c r="G84" i="1"/>
  <c r="M7" i="3"/>
  <c r="F7" i="15" s="1"/>
  <c r="AB11" i="16"/>
  <c r="AB12" i="16" s="1"/>
  <c r="AB13" i="16" s="1"/>
  <c r="AB14" i="16" s="1"/>
  <c r="AB15" i="16" s="1"/>
  <c r="AB16" i="16" s="1"/>
  <c r="AB17" i="16" s="1"/>
  <c r="AB18" i="16" s="1"/>
  <c r="AB19" i="16" s="1"/>
  <c r="AB20" i="16" s="1"/>
  <c r="AB21" i="16" s="1"/>
  <c r="AB22" i="16" s="1"/>
  <c r="AB23" i="16" s="1"/>
  <c r="D66" i="3" s="1"/>
  <c r="N66" i="3" s="1"/>
  <c r="D43" i="10"/>
  <c r="F11" i="11"/>
  <c r="G11" i="11" s="1"/>
  <c r="E20" i="15"/>
  <c r="D36" i="11"/>
  <c r="F9" i="7"/>
  <c r="H9" i="7" s="1"/>
  <c r="F12" i="10"/>
  <c r="J12" i="10" s="1"/>
  <c r="J14" i="10" s="1"/>
  <c r="F11" i="10"/>
  <c r="G11" i="10" s="1"/>
  <c r="Q19" i="14"/>
  <c r="H16" i="7"/>
  <c r="H17" i="7"/>
  <c r="D36" i="9"/>
  <c r="D36" i="10"/>
  <c r="L107" i="1"/>
  <c r="G107" i="1" s="1"/>
  <c r="J83" i="5" s="1"/>
  <c r="K83" i="5" s="1"/>
  <c r="A45" i="10"/>
  <c r="J84" i="5"/>
  <c r="K84" i="5" s="1"/>
  <c r="F30" i="7"/>
  <c r="H30" i="7" s="1"/>
  <c r="B11" i="10"/>
  <c r="F11" i="13"/>
  <c r="F22" i="13" s="1"/>
  <c r="A44" i="9"/>
  <c r="C35" i="4"/>
  <c r="C37" i="4" s="1"/>
  <c r="C54" i="4" s="1"/>
  <c r="N19" i="14"/>
  <c r="H50" i="4"/>
  <c r="D43" i="11"/>
  <c r="B11" i="12"/>
  <c r="B11" i="9"/>
  <c r="F11" i="12"/>
  <c r="G11" i="12" s="1"/>
  <c r="F13" i="13"/>
  <c r="G13" i="13" s="1"/>
  <c r="F33" i="7"/>
  <c r="H33" i="7" s="1"/>
  <c r="F11" i="9"/>
  <c r="G11" i="9" s="1"/>
  <c r="A44" i="12"/>
  <c r="U11" i="16"/>
  <c r="U12" i="16" s="1"/>
  <c r="U13" i="16" s="1"/>
  <c r="U14" i="16" s="1"/>
  <c r="U15" i="16" s="1"/>
  <c r="U16" i="16" s="1"/>
  <c r="U17" i="16" s="1"/>
  <c r="U18" i="16" s="1"/>
  <c r="U19" i="16" s="1"/>
  <c r="U20" i="16" s="1"/>
  <c r="U21" i="16" s="1"/>
  <c r="D43" i="9"/>
  <c r="D43" i="13"/>
  <c r="F12" i="9"/>
  <c r="J12" i="9" s="1"/>
  <c r="J14" i="9" s="1"/>
  <c r="D36" i="12"/>
  <c r="G11" i="16"/>
  <c r="G12" i="16" s="1"/>
  <c r="G13" i="16" s="1"/>
  <c r="G14" i="16" s="1"/>
  <c r="G15" i="16" s="1"/>
  <c r="G16" i="16" s="1"/>
  <c r="G17" i="16" s="1"/>
  <c r="G18" i="16" s="1"/>
  <c r="G19" i="16" s="1"/>
  <c r="G20" i="16" s="1"/>
  <c r="G21" i="16" s="1"/>
  <c r="G22" i="16" s="1"/>
  <c r="G23" i="16" s="1"/>
  <c r="D63" i="3" s="1"/>
  <c r="N63" i="3" s="1"/>
  <c r="G53" i="4"/>
  <c r="H53" i="4"/>
  <c r="G7" i="15"/>
  <c r="C23" i="12"/>
  <c r="F23" i="12" s="1"/>
  <c r="C23" i="10"/>
  <c r="F23" i="10" s="1"/>
  <c r="C23" i="9"/>
  <c r="F23" i="9" s="1"/>
  <c r="C23" i="13"/>
  <c r="F23" i="13" s="1"/>
  <c r="V13" i="1"/>
  <c r="K19" i="14"/>
  <c r="A6" i="14"/>
  <c r="A6" i="11"/>
  <c r="A6" i="13"/>
  <c r="A6" i="12"/>
  <c r="A6" i="10"/>
  <c r="A6" i="9"/>
  <c r="C51" i="4"/>
  <c r="C28" i="4"/>
  <c r="C29" i="4" s="1"/>
  <c r="C53" i="4" s="1"/>
  <c r="H19" i="14"/>
  <c r="D43" i="12"/>
  <c r="C23" i="4"/>
  <c r="F51" i="4"/>
  <c r="W13" i="1"/>
  <c r="C23" i="11"/>
  <c r="F23" i="11" s="1"/>
  <c r="E13" i="9"/>
  <c r="F13" i="9" s="1"/>
  <c r="G13" i="9" s="1"/>
  <c r="L11" i="3"/>
  <c r="M11" i="3" s="1"/>
  <c r="L8" i="15"/>
  <c r="E13" i="12"/>
  <c r="F13" i="12" s="1"/>
  <c r="G13" i="12" s="1"/>
  <c r="F12" i="12"/>
  <c r="E9" i="15"/>
  <c r="I9" i="15" s="1"/>
  <c r="C44" i="4"/>
  <c r="F52" i="4"/>
  <c r="U22" i="16"/>
  <c r="U23" i="16" s="1"/>
  <c r="D65" i="3" s="1"/>
  <c r="N65" i="3" s="1"/>
  <c r="F40" i="7"/>
  <c r="H40" i="7" s="1"/>
  <c r="F39" i="7"/>
  <c r="H39" i="7" s="1"/>
  <c r="A44" i="11"/>
  <c r="A45" i="11"/>
  <c r="B11" i="11"/>
  <c r="F13" i="10"/>
  <c r="G13" i="10" s="1"/>
  <c r="A44" i="13"/>
  <c r="B11" i="13"/>
  <c r="I10" i="15" l="1"/>
  <c r="I11" i="15" s="1"/>
  <c r="I29" i="15" s="1"/>
  <c r="E13" i="19"/>
  <c r="F13" i="19" s="1"/>
  <c r="L9" i="3"/>
  <c r="M9" i="3" s="1"/>
  <c r="H7" i="15" s="1"/>
  <c r="H8" i="15" s="1"/>
  <c r="R8" i="3"/>
  <c r="R9" i="3"/>
  <c r="F24" i="11" s="1"/>
  <c r="G24" i="11" s="1"/>
  <c r="R10" i="3"/>
  <c r="F24" i="19" s="1"/>
  <c r="G24" i="19" s="1"/>
  <c r="R7" i="3"/>
  <c r="F25" i="9" s="1"/>
  <c r="G25" i="9" s="1"/>
  <c r="F28" i="19"/>
  <c r="G28" i="19" s="1"/>
  <c r="F28" i="11"/>
  <c r="G28" i="11" s="1"/>
  <c r="R11" i="3"/>
  <c r="F24" i="12" s="1"/>
  <c r="G24" i="12" s="1"/>
  <c r="G23" i="18"/>
  <c r="H23" i="18"/>
  <c r="H29" i="18" s="1"/>
  <c r="H30" i="18" s="1"/>
  <c r="H33" i="18" s="1"/>
  <c r="H34" i="18" s="1"/>
  <c r="H35" i="18" s="1"/>
  <c r="H23" i="19"/>
  <c r="H29" i="19" s="1"/>
  <c r="H30" i="19" s="1"/>
  <c r="I13" i="15"/>
  <c r="I16" i="15" s="1"/>
  <c r="I30" i="15" s="1"/>
  <c r="I31" i="15" s="1"/>
  <c r="G23" i="19"/>
  <c r="E13" i="11"/>
  <c r="F13" i="11" s="1"/>
  <c r="G13" i="11" s="1"/>
  <c r="G12" i="9"/>
  <c r="G14" i="9" s="1"/>
  <c r="F28" i="12"/>
  <c r="G28" i="12" s="1"/>
  <c r="G12" i="13"/>
  <c r="G12" i="10"/>
  <c r="G14" i="10" s="1"/>
  <c r="F24" i="10"/>
  <c r="G24" i="10" s="1"/>
  <c r="K9" i="15"/>
  <c r="K10" i="15" s="1"/>
  <c r="K11" i="15" s="1"/>
  <c r="K29" i="15" s="1"/>
  <c r="K31" i="15" s="1"/>
  <c r="I43" i="18"/>
  <c r="G12" i="11"/>
  <c r="G11" i="13"/>
  <c r="F22" i="11"/>
  <c r="H14" i="15" s="1"/>
  <c r="F14" i="13"/>
  <c r="H12" i="7"/>
  <c r="H13" i="7" s="1"/>
  <c r="N10" i="3" s="1"/>
  <c r="J85" i="5"/>
  <c r="K85" i="5" s="1"/>
  <c r="I107" i="1"/>
  <c r="H107" i="1"/>
  <c r="F14" i="9"/>
  <c r="F14" i="10"/>
  <c r="F22" i="10"/>
  <c r="I112" i="1"/>
  <c r="I108" i="1"/>
  <c r="I109" i="1"/>
  <c r="H34" i="7"/>
  <c r="H35" i="7" s="1"/>
  <c r="N11" i="3" s="1"/>
  <c r="G22" i="13"/>
  <c r="L14" i="15"/>
  <c r="I22" i="13"/>
  <c r="I29" i="13" s="1"/>
  <c r="I30" i="13" s="1"/>
  <c r="I33" i="13" s="1"/>
  <c r="F22" i="12"/>
  <c r="H41" i="7"/>
  <c r="F22" i="9"/>
  <c r="F14" i="12"/>
  <c r="H13" i="15"/>
  <c r="H23" i="11"/>
  <c r="H29" i="11" s="1"/>
  <c r="H30" i="11" s="1"/>
  <c r="G23" i="11"/>
  <c r="F8" i="15"/>
  <c r="F9" i="15"/>
  <c r="G23" i="9"/>
  <c r="F13" i="15"/>
  <c r="H23" i="9"/>
  <c r="H29" i="9" s="1"/>
  <c r="H30" i="9" s="1"/>
  <c r="C45" i="4"/>
  <c r="C46" i="4" s="1"/>
  <c r="C55" i="4" s="1"/>
  <c r="L13" i="15"/>
  <c r="G23" i="13"/>
  <c r="H23" i="13"/>
  <c r="H29" i="13" s="1"/>
  <c r="H30" i="13" s="1"/>
  <c r="L9" i="15"/>
  <c r="L10" i="15" s="1"/>
  <c r="L11" i="15" s="1"/>
  <c r="L29" i="15" s="1"/>
  <c r="E10" i="15"/>
  <c r="J13" i="15"/>
  <c r="G23" i="12"/>
  <c r="H23" i="12"/>
  <c r="H29" i="12" s="1"/>
  <c r="H30" i="12" s="1"/>
  <c r="G8" i="15"/>
  <c r="G9" i="15"/>
  <c r="J12" i="12"/>
  <c r="J14" i="12" s="1"/>
  <c r="G12" i="12"/>
  <c r="G14" i="12" s="1"/>
  <c r="H52" i="4"/>
  <c r="G52" i="4"/>
  <c r="J7" i="15"/>
  <c r="F28" i="9"/>
  <c r="G28" i="9" s="1"/>
  <c r="F28" i="10"/>
  <c r="G28" i="10" s="1"/>
  <c r="F54" i="4"/>
  <c r="G51" i="4"/>
  <c r="H51" i="4"/>
  <c r="G23" i="10"/>
  <c r="G13" i="15"/>
  <c r="H23" i="10"/>
  <c r="H29" i="10" s="1"/>
  <c r="H30" i="10" s="1"/>
  <c r="H19" i="7"/>
  <c r="H20" i="7" s="1"/>
  <c r="C24" i="4"/>
  <c r="C25" i="4" s="1"/>
  <c r="C52" i="4" s="1"/>
  <c r="G13" i="19" l="1"/>
  <c r="G14" i="19" s="1"/>
  <c r="F14" i="19"/>
  <c r="F14" i="11"/>
  <c r="G14" i="11"/>
  <c r="H36" i="18"/>
  <c r="H37" i="18" s="1"/>
  <c r="H44" i="18" s="1"/>
  <c r="H45" i="18" s="1"/>
  <c r="H41" i="18" s="1"/>
  <c r="I18" i="15"/>
  <c r="I19" i="15" s="1"/>
  <c r="F19" i="19"/>
  <c r="N7" i="3"/>
  <c r="F19" i="9" s="1"/>
  <c r="H33" i="19"/>
  <c r="H34" i="19" s="1"/>
  <c r="H35" i="19" s="1"/>
  <c r="M14" i="3"/>
  <c r="H9" i="15"/>
  <c r="H10" i="15" s="1"/>
  <c r="H11" i="15" s="1"/>
  <c r="H29" i="15" s="1"/>
  <c r="G22" i="11"/>
  <c r="I22" i="11"/>
  <c r="I29" i="11" s="1"/>
  <c r="I30" i="11" s="1"/>
  <c r="I33" i="11" s="1"/>
  <c r="L16" i="15"/>
  <c r="L30" i="15" s="1"/>
  <c r="L31" i="15" s="1"/>
  <c r="G14" i="13"/>
  <c r="K89" i="5"/>
  <c r="K18" i="15"/>
  <c r="N8" i="3"/>
  <c r="F19" i="10" s="1"/>
  <c r="G54" i="4"/>
  <c r="I22" i="10"/>
  <c r="I29" i="10" s="1"/>
  <c r="I30" i="10" s="1"/>
  <c r="I33" i="10" s="1"/>
  <c r="G22" i="10"/>
  <c r="G14" i="15"/>
  <c r="G16" i="15" s="1"/>
  <c r="G30" i="15" s="1"/>
  <c r="H113" i="1"/>
  <c r="H114" i="1" s="1"/>
  <c r="H115" i="1" s="1"/>
  <c r="H117" i="1" s="1"/>
  <c r="H116" i="1" s="1"/>
  <c r="C57" i="4"/>
  <c r="E15" i="19" s="1"/>
  <c r="F19" i="12"/>
  <c r="F10" i="15"/>
  <c r="F11" i="15" s="1"/>
  <c r="F29" i="15" s="1"/>
  <c r="H42" i="7"/>
  <c r="N12" i="3" s="1"/>
  <c r="F19" i="18" s="1"/>
  <c r="I22" i="12"/>
  <c r="I29" i="12" s="1"/>
  <c r="I30" i="12" s="1"/>
  <c r="I33" i="12" s="1"/>
  <c r="J14" i="15"/>
  <c r="J16" i="15" s="1"/>
  <c r="J30" i="15" s="1"/>
  <c r="G22" i="12"/>
  <c r="H54" i="4"/>
  <c r="H55" i="4" s="1"/>
  <c r="H57" i="4" s="1"/>
  <c r="H59" i="4" s="1"/>
  <c r="G10" i="15"/>
  <c r="G11" i="15" s="1"/>
  <c r="G29" i="15" s="1"/>
  <c r="H16" i="15"/>
  <c r="H30" i="15" s="1"/>
  <c r="I22" i="9"/>
  <c r="I29" i="9" s="1"/>
  <c r="I30" i="9" s="1"/>
  <c r="F14" i="15"/>
  <c r="F16" i="15" s="1"/>
  <c r="F30" i="15" s="1"/>
  <c r="G22" i="9"/>
  <c r="J9" i="15"/>
  <c r="J8" i="15"/>
  <c r="H33" i="13"/>
  <c r="H34" i="13" s="1"/>
  <c r="H35" i="13" s="1"/>
  <c r="H33" i="12"/>
  <c r="H33" i="11"/>
  <c r="I34" i="13"/>
  <c r="I35" i="13" s="1"/>
  <c r="I36" i="13" s="1"/>
  <c r="I37" i="13" s="1"/>
  <c r="I44" i="13" s="1"/>
  <c r="I45" i="13" s="1"/>
  <c r="H33" i="10"/>
  <c r="H34" i="10" s="1"/>
  <c r="H35" i="10" s="1"/>
  <c r="F55" i="4"/>
  <c r="F57" i="4" s="1"/>
  <c r="F59" i="4" s="1"/>
  <c r="G55" i="4"/>
  <c r="G57" i="4" s="1"/>
  <c r="G59" i="4" s="1"/>
  <c r="H33" i="9"/>
  <c r="Q11" i="3" l="1"/>
  <c r="F26" i="12" s="1"/>
  <c r="F29" i="12" s="1"/>
  <c r="H31" i="15"/>
  <c r="H18" i="15" s="1"/>
  <c r="P17" i="14"/>
  <c r="R17" i="14" s="1"/>
  <c r="H39" i="18"/>
  <c r="H42" i="18"/>
  <c r="H40" i="18"/>
  <c r="H36" i="19"/>
  <c r="H37" i="19" s="1"/>
  <c r="H44" i="19" s="1"/>
  <c r="H45" i="19" s="1"/>
  <c r="J15" i="19"/>
  <c r="J16" i="19" s="1"/>
  <c r="J30" i="19" s="1"/>
  <c r="F15" i="19"/>
  <c r="G19" i="19"/>
  <c r="G29" i="19" s="1"/>
  <c r="I20" i="15"/>
  <c r="I25" i="15" s="1"/>
  <c r="I32" i="15" s="1"/>
  <c r="I33" i="15" s="1"/>
  <c r="T16" i="1"/>
  <c r="T14" i="1"/>
  <c r="N9" i="3"/>
  <c r="F19" i="11" s="1"/>
  <c r="G19" i="11" s="1"/>
  <c r="G29" i="11" s="1"/>
  <c r="E15" i="11"/>
  <c r="J15" i="11" s="1"/>
  <c r="J16" i="11" s="1"/>
  <c r="J30" i="11" s="1"/>
  <c r="E15" i="18"/>
  <c r="K19" i="15"/>
  <c r="K20" i="15" s="1"/>
  <c r="E15" i="9"/>
  <c r="J15" i="9" s="1"/>
  <c r="J16" i="9" s="1"/>
  <c r="J30" i="9" s="1"/>
  <c r="G23" i="3"/>
  <c r="E15" i="13"/>
  <c r="J15" i="13" s="1"/>
  <c r="J16" i="13" s="1"/>
  <c r="J30" i="13" s="1"/>
  <c r="N13" i="3"/>
  <c r="E15" i="10"/>
  <c r="F15" i="10" s="1"/>
  <c r="E15" i="12"/>
  <c r="J15" i="12" s="1"/>
  <c r="J16" i="12" s="1"/>
  <c r="J30" i="12" s="1"/>
  <c r="I34" i="10"/>
  <c r="I35" i="10" s="1"/>
  <c r="I36" i="10" s="1"/>
  <c r="I37" i="10" s="1"/>
  <c r="I44" i="10" s="1"/>
  <c r="I45" i="10" s="1"/>
  <c r="G31" i="15"/>
  <c r="G18" i="15" s="1"/>
  <c r="G19" i="15" s="1"/>
  <c r="G19" i="12"/>
  <c r="G29" i="12" s="1"/>
  <c r="I34" i="12"/>
  <c r="I35" i="12" s="1"/>
  <c r="I36" i="12" s="1"/>
  <c r="I37" i="12" s="1"/>
  <c r="I44" i="12" s="1"/>
  <c r="I45" i="12" s="1"/>
  <c r="I41" i="12" s="1"/>
  <c r="I33" i="9"/>
  <c r="I34" i="9" s="1"/>
  <c r="I35" i="9" s="1"/>
  <c r="F31" i="15"/>
  <c r="F18" i="15" s="1"/>
  <c r="F19" i="15" s="1"/>
  <c r="F20" i="15" s="1"/>
  <c r="I41" i="13"/>
  <c r="I39" i="13"/>
  <c r="G18" i="14"/>
  <c r="I18" i="14" s="1"/>
  <c r="I42" i="13"/>
  <c r="I40" i="13"/>
  <c r="T17" i="1"/>
  <c r="T11" i="1"/>
  <c r="T13" i="1"/>
  <c r="T12" i="1"/>
  <c r="T15" i="1"/>
  <c r="F15" i="9"/>
  <c r="I34" i="11"/>
  <c r="I35" i="11" s="1"/>
  <c r="I36" i="11" s="1"/>
  <c r="I37" i="11" s="1"/>
  <c r="I44" i="11" s="1"/>
  <c r="I45" i="11" s="1"/>
  <c r="H34" i="12"/>
  <c r="H35" i="12" s="1"/>
  <c r="H36" i="12" s="1"/>
  <c r="H37" i="12" s="1"/>
  <c r="H44" i="12" s="1"/>
  <c r="H45" i="12" s="1"/>
  <c r="G19" i="10"/>
  <c r="G29" i="10" s="1"/>
  <c r="H36" i="13"/>
  <c r="H37" i="13" s="1"/>
  <c r="H44" i="13" s="1"/>
  <c r="H45" i="13" s="1"/>
  <c r="L18" i="15"/>
  <c r="G19" i="9"/>
  <c r="G29" i="9" s="1"/>
  <c r="H19" i="15"/>
  <c r="H20" i="15" s="1"/>
  <c r="H34" i="9"/>
  <c r="H35" i="9" s="1"/>
  <c r="H36" i="9" s="1"/>
  <c r="H37" i="9" s="1"/>
  <c r="H44" i="9" s="1"/>
  <c r="H45" i="9" s="1"/>
  <c r="H36" i="10"/>
  <c r="H37" i="10" s="1"/>
  <c r="H44" i="10" s="1"/>
  <c r="H45" i="10" s="1"/>
  <c r="H34" i="11"/>
  <c r="H35" i="11" s="1"/>
  <c r="H36" i="11" s="1"/>
  <c r="H37" i="11" s="1"/>
  <c r="H44" i="11" s="1"/>
  <c r="H45" i="11" s="1"/>
  <c r="J10" i="15"/>
  <c r="J11" i="15" s="1"/>
  <c r="J29" i="15" s="1"/>
  <c r="J31" i="15" s="1"/>
  <c r="H43" i="18" l="1"/>
  <c r="R15" i="1"/>
  <c r="W11" i="1"/>
  <c r="J15" i="10"/>
  <c r="J16" i="10" s="1"/>
  <c r="J30" i="10" s="1"/>
  <c r="I24" i="15"/>
  <c r="M15" i="14"/>
  <c r="O15" i="14" s="1"/>
  <c r="I22" i="15"/>
  <c r="I21" i="15"/>
  <c r="I23" i="15"/>
  <c r="G15" i="19"/>
  <c r="G16" i="19" s="1"/>
  <c r="G30" i="19" s="1"/>
  <c r="G33" i="19" s="1"/>
  <c r="F16" i="19"/>
  <c r="J33" i="19"/>
  <c r="J34" i="19" s="1"/>
  <c r="J35" i="19" s="1"/>
  <c r="J36" i="19" s="1"/>
  <c r="J37" i="19" s="1"/>
  <c r="J44" i="19" s="1"/>
  <c r="J45" i="19" s="1"/>
  <c r="P15" i="14"/>
  <c r="R15" i="14" s="1"/>
  <c r="H40" i="19"/>
  <c r="H42" i="19"/>
  <c r="H41" i="19"/>
  <c r="H39" i="19"/>
  <c r="F15" i="13"/>
  <c r="G15" i="13" s="1"/>
  <c r="G16" i="13" s="1"/>
  <c r="F15" i="11"/>
  <c r="G15" i="11" s="1"/>
  <c r="G16" i="11" s="1"/>
  <c r="G30" i="11" s="1"/>
  <c r="F15" i="12"/>
  <c r="G15" i="12" s="1"/>
  <c r="G16" i="12" s="1"/>
  <c r="G30" i="12" s="1"/>
  <c r="F15" i="18"/>
  <c r="J15" i="18"/>
  <c r="J16" i="18" s="1"/>
  <c r="J30" i="18" s="1"/>
  <c r="J33" i="18" s="1"/>
  <c r="K25" i="15"/>
  <c r="K32" i="15" s="1"/>
  <c r="K33" i="15" s="1"/>
  <c r="F19" i="13"/>
  <c r="G19" i="13" s="1"/>
  <c r="G29" i="13" s="1"/>
  <c r="G13" i="14"/>
  <c r="I13" i="14" s="1"/>
  <c r="I41" i="10"/>
  <c r="I42" i="10"/>
  <c r="I39" i="10"/>
  <c r="I40" i="10"/>
  <c r="I39" i="12"/>
  <c r="I36" i="9"/>
  <c r="I37" i="9" s="1"/>
  <c r="I44" i="9" s="1"/>
  <c r="I45" i="9" s="1"/>
  <c r="I40" i="12"/>
  <c r="I42" i="12"/>
  <c r="G16" i="14"/>
  <c r="I16" i="14" s="1"/>
  <c r="P14" i="14"/>
  <c r="R14" i="14" s="1"/>
  <c r="H42" i="11"/>
  <c r="H41" i="11"/>
  <c r="H40" i="11"/>
  <c r="H39" i="11"/>
  <c r="I42" i="11"/>
  <c r="I40" i="11"/>
  <c r="G14" i="14"/>
  <c r="I14" i="14" s="1"/>
  <c r="I41" i="11"/>
  <c r="I39" i="11"/>
  <c r="H41" i="9"/>
  <c r="H39" i="9"/>
  <c r="P12" i="14"/>
  <c r="R12" i="14" s="1"/>
  <c r="H42" i="9"/>
  <c r="H40" i="9"/>
  <c r="G15" i="9"/>
  <c r="G16" i="9" s="1"/>
  <c r="G30" i="9" s="1"/>
  <c r="F16" i="9"/>
  <c r="T18" i="1"/>
  <c r="W12" i="1"/>
  <c r="W18" i="1" s="1"/>
  <c r="J33" i="11"/>
  <c r="J33" i="9"/>
  <c r="J34" i="9" s="1"/>
  <c r="J35" i="9" s="1"/>
  <c r="H25" i="15"/>
  <c r="H32" i="15" s="1"/>
  <c r="H33" i="15" s="1"/>
  <c r="F25" i="15"/>
  <c r="F32" i="15" s="1"/>
  <c r="F33" i="15" s="1"/>
  <c r="G20" i="15"/>
  <c r="G25" i="15" s="1"/>
  <c r="G32" i="15" s="1"/>
  <c r="G33" i="15" s="1"/>
  <c r="J18" i="15"/>
  <c r="J33" i="12"/>
  <c r="J33" i="13"/>
  <c r="J34" i="13" s="1"/>
  <c r="J35" i="13" s="1"/>
  <c r="J33" i="10"/>
  <c r="H42" i="12"/>
  <c r="H40" i="12"/>
  <c r="P16" i="14"/>
  <c r="R16" i="14" s="1"/>
  <c r="H41" i="12"/>
  <c r="H39" i="12"/>
  <c r="L19" i="15"/>
  <c r="L20" i="15" s="1"/>
  <c r="L25" i="15" s="1"/>
  <c r="L32" i="15" s="1"/>
  <c r="L33" i="15" s="1"/>
  <c r="H41" i="10"/>
  <c r="H39" i="10"/>
  <c r="P13" i="14"/>
  <c r="R13" i="14" s="1"/>
  <c r="H42" i="10"/>
  <c r="H40" i="10"/>
  <c r="G15" i="10"/>
  <c r="G16" i="10" s="1"/>
  <c r="G30" i="10" s="1"/>
  <c r="F16" i="10"/>
  <c r="H42" i="13"/>
  <c r="H40" i="13"/>
  <c r="P18" i="14"/>
  <c r="R18" i="14" s="1"/>
  <c r="H41" i="13"/>
  <c r="H39" i="13"/>
  <c r="I43" i="13"/>
  <c r="F16" i="13" l="1"/>
  <c r="J41" i="19"/>
  <c r="J42" i="19"/>
  <c r="J39" i="19"/>
  <c r="J40" i="19"/>
  <c r="H43" i="19"/>
  <c r="G34" i="19"/>
  <c r="G35" i="19" s="1"/>
  <c r="G36" i="19" s="1"/>
  <c r="G37" i="19" s="1"/>
  <c r="G44" i="19" s="1"/>
  <c r="G45" i="19" s="1"/>
  <c r="F16" i="11"/>
  <c r="F16" i="12"/>
  <c r="F30" i="12" s="1"/>
  <c r="F33" i="12" s="1"/>
  <c r="F34" i="12" s="1"/>
  <c r="F35" i="12" s="1"/>
  <c r="F16" i="18"/>
  <c r="G15" i="18"/>
  <c r="G16" i="18" s="1"/>
  <c r="J34" i="18"/>
  <c r="J35" i="18" s="1"/>
  <c r="J36" i="18" s="1"/>
  <c r="J37" i="18" s="1"/>
  <c r="J44" i="18" s="1"/>
  <c r="J45" i="18" s="1"/>
  <c r="K22" i="15"/>
  <c r="K21" i="15"/>
  <c r="K24" i="15"/>
  <c r="K23" i="15"/>
  <c r="M17" i="14"/>
  <c r="O17" i="14" s="1"/>
  <c r="G19" i="18"/>
  <c r="G29" i="18" s="1"/>
  <c r="F29" i="18"/>
  <c r="G30" i="13"/>
  <c r="G33" i="13" s="1"/>
  <c r="F29" i="13"/>
  <c r="F30" i="13" s="1"/>
  <c r="F33" i="13" s="1"/>
  <c r="I43" i="10"/>
  <c r="H43" i="10"/>
  <c r="H43" i="12"/>
  <c r="I41" i="9"/>
  <c r="G12" i="14"/>
  <c r="I12" i="14" s="1"/>
  <c r="I19" i="14" s="1"/>
  <c r="H18" i="1" s="1"/>
  <c r="I40" i="9"/>
  <c r="I39" i="9"/>
  <c r="I42" i="9"/>
  <c r="H43" i="13"/>
  <c r="I43" i="12"/>
  <c r="L21" i="15"/>
  <c r="L22" i="15"/>
  <c r="M18" i="14"/>
  <c r="O18" i="14" s="1"/>
  <c r="L24" i="15"/>
  <c r="L23" i="15"/>
  <c r="G23" i="15"/>
  <c r="G21" i="15"/>
  <c r="G22" i="15"/>
  <c r="M13" i="14"/>
  <c r="O13" i="14" s="1"/>
  <c r="G24" i="15"/>
  <c r="G33" i="10"/>
  <c r="J19" i="15"/>
  <c r="J20" i="15" s="1"/>
  <c r="J25" i="15" s="1"/>
  <c r="J32" i="15" s="1"/>
  <c r="J33" i="15" s="1"/>
  <c r="G33" i="12"/>
  <c r="G34" i="12" s="1"/>
  <c r="G35" i="12" s="1"/>
  <c r="G33" i="9"/>
  <c r="G34" i="9" s="1"/>
  <c r="G35" i="9" s="1"/>
  <c r="J34" i="10"/>
  <c r="J35" i="10" s="1"/>
  <c r="J36" i="10" s="1"/>
  <c r="J37" i="10" s="1"/>
  <c r="J44" i="10" s="1"/>
  <c r="J45" i="10" s="1"/>
  <c r="H43" i="9"/>
  <c r="H43" i="11"/>
  <c r="F21" i="15"/>
  <c r="M12" i="14"/>
  <c r="F22" i="15"/>
  <c r="F23" i="15"/>
  <c r="F24" i="15"/>
  <c r="G33" i="11"/>
  <c r="H23" i="15"/>
  <c r="M14" i="14"/>
  <c r="O14" i="14" s="1"/>
  <c r="H21" i="15"/>
  <c r="H22" i="15"/>
  <c r="H24" i="15"/>
  <c r="J36" i="13"/>
  <c r="J37" i="13" s="1"/>
  <c r="J44" i="13" s="1"/>
  <c r="J45" i="13" s="1"/>
  <c r="R19" i="14"/>
  <c r="M18" i="1" s="1"/>
  <c r="J34" i="12"/>
  <c r="J35" i="12" s="1"/>
  <c r="J36" i="12" s="1"/>
  <c r="J37" i="12" s="1"/>
  <c r="J44" i="12" s="1"/>
  <c r="J45" i="12" s="1"/>
  <c r="J36" i="9"/>
  <c r="J37" i="9" s="1"/>
  <c r="J44" i="9" s="1"/>
  <c r="J45" i="9" s="1"/>
  <c r="J34" i="11"/>
  <c r="J35" i="11" s="1"/>
  <c r="J36" i="11" s="1"/>
  <c r="J37" i="11" s="1"/>
  <c r="J44" i="11" s="1"/>
  <c r="J45" i="11" s="1"/>
  <c r="I43" i="11"/>
  <c r="J43" i="19" l="1"/>
  <c r="J15" i="14"/>
  <c r="L15" i="14" s="1"/>
  <c r="S15" i="14" s="1"/>
  <c r="O14" i="1" s="1"/>
  <c r="G41" i="19"/>
  <c r="G42" i="19"/>
  <c r="G46" i="19"/>
  <c r="G40" i="19"/>
  <c r="G39" i="19"/>
  <c r="G30" i="18"/>
  <c r="G33" i="18" s="1"/>
  <c r="G34" i="18" s="1"/>
  <c r="G35" i="18" s="1"/>
  <c r="J40" i="18"/>
  <c r="J42" i="18"/>
  <c r="J39" i="18"/>
  <c r="J41" i="18"/>
  <c r="F30" i="18"/>
  <c r="F33" i="18" s="1"/>
  <c r="I43" i="9"/>
  <c r="J41" i="12"/>
  <c r="J39" i="12"/>
  <c r="J42" i="12"/>
  <c r="J40" i="12"/>
  <c r="J42" i="10"/>
  <c r="J40" i="10"/>
  <c r="J41" i="10"/>
  <c r="J39" i="10"/>
  <c r="J42" i="9"/>
  <c r="J40" i="9"/>
  <c r="J41" i="9"/>
  <c r="J39" i="9"/>
  <c r="J46" i="9"/>
  <c r="T13" i="14" s="1"/>
  <c r="J41" i="13"/>
  <c r="J39" i="13"/>
  <c r="J42" i="13"/>
  <c r="J40" i="13"/>
  <c r="J42" i="11"/>
  <c r="J41" i="11"/>
  <c r="J40" i="11"/>
  <c r="J39" i="11"/>
  <c r="J22" i="15"/>
  <c r="M16" i="14"/>
  <c r="O16" i="14" s="1"/>
  <c r="J21" i="15"/>
  <c r="J24" i="15"/>
  <c r="J23" i="15"/>
  <c r="O12" i="14"/>
  <c r="G34" i="11"/>
  <c r="G35" i="11" s="1"/>
  <c r="G36" i="11" s="1"/>
  <c r="G37" i="11" s="1"/>
  <c r="G44" i="11" s="1"/>
  <c r="G45" i="11" s="1"/>
  <c r="F36" i="12"/>
  <c r="F37" i="12" s="1"/>
  <c r="F44" i="12" s="1"/>
  <c r="F45" i="12" s="1"/>
  <c r="G36" i="9"/>
  <c r="G37" i="9" s="1"/>
  <c r="G44" i="9" s="1"/>
  <c r="G45" i="9" s="1"/>
  <c r="G34" i="10"/>
  <c r="G35" i="10" s="1"/>
  <c r="G36" i="10" s="1"/>
  <c r="G37" i="10" s="1"/>
  <c r="G44" i="10" s="1"/>
  <c r="G45" i="10" s="1"/>
  <c r="G34" i="13"/>
  <c r="G35" i="13" s="1"/>
  <c r="G36" i="13" s="1"/>
  <c r="G37" i="13" s="1"/>
  <c r="G44" i="13" s="1"/>
  <c r="G45" i="13" s="1"/>
  <c r="F34" i="13"/>
  <c r="F35" i="13" s="1"/>
  <c r="F36" i="13" s="1"/>
  <c r="F37" i="13" s="1"/>
  <c r="F44" i="13" s="1"/>
  <c r="F45" i="13" s="1"/>
  <c r="G36" i="12"/>
  <c r="G37" i="12" s="1"/>
  <c r="G44" i="12" s="1"/>
  <c r="G45" i="12" s="1"/>
  <c r="G43" i="19" l="1"/>
  <c r="J43" i="18"/>
  <c r="F34" i="18"/>
  <c r="F35" i="18" s="1"/>
  <c r="F36" i="18" s="1"/>
  <c r="F37" i="18" s="1"/>
  <c r="F44" i="18" s="1"/>
  <c r="F45" i="18" s="1"/>
  <c r="E17" i="14" s="1"/>
  <c r="G36" i="18"/>
  <c r="G37" i="18" s="1"/>
  <c r="G44" i="18" s="1"/>
  <c r="G45" i="18" s="1"/>
  <c r="J17" i="14" s="1"/>
  <c r="L17" i="14" s="1"/>
  <c r="S17" i="14" s="1"/>
  <c r="O19" i="14"/>
  <c r="L18" i="1" s="1"/>
  <c r="M19" i="14"/>
  <c r="J13" i="14"/>
  <c r="L13" i="14" s="1"/>
  <c r="S13" i="14" s="1"/>
  <c r="O12" i="1" s="1"/>
  <c r="G46" i="10"/>
  <c r="G39" i="10"/>
  <c r="G42" i="10"/>
  <c r="G41" i="10"/>
  <c r="G40" i="10"/>
  <c r="E16" i="14"/>
  <c r="F41" i="12"/>
  <c r="F39" i="12"/>
  <c r="F46" i="12"/>
  <c r="F42" i="12"/>
  <c r="F40" i="12"/>
  <c r="G41" i="11"/>
  <c r="G39" i="11"/>
  <c r="J14" i="14"/>
  <c r="L14" i="14" s="1"/>
  <c r="S14" i="14" s="1"/>
  <c r="O13" i="1" s="1"/>
  <c r="G42" i="11"/>
  <c r="G40" i="11"/>
  <c r="G46" i="11"/>
  <c r="J43" i="13"/>
  <c r="J43" i="12"/>
  <c r="J16" i="14"/>
  <c r="L16" i="14" s="1"/>
  <c r="S16" i="14" s="1"/>
  <c r="O15" i="1" s="1"/>
  <c r="G46" i="12"/>
  <c r="G41" i="12"/>
  <c r="G40" i="12"/>
  <c r="G39" i="12"/>
  <c r="G42" i="12"/>
  <c r="F41" i="13"/>
  <c r="F39" i="13"/>
  <c r="F46" i="13"/>
  <c r="E18" i="14"/>
  <c r="F18" i="14" s="1"/>
  <c r="F42" i="13"/>
  <c r="F40" i="13"/>
  <c r="J18" i="14"/>
  <c r="L18" i="14" s="1"/>
  <c r="S18" i="14" s="1"/>
  <c r="G42" i="13"/>
  <c r="G40" i="13"/>
  <c r="G41" i="13"/>
  <c r="G39" i="13"/>
  <c r="G46" i="13"/>
  <c r="V13" i="14"/>
  <c r="A23" i="14"/>
  <c r="J12" i="14"/>
  <c r="G46" i="9"/>
  <c r="G39" i="9"/>
  <c r="G42" i="9"/>
  <c r="G41" i="9"/>
  <c r="G40" i="9"/>
  <c r="J43" i="11"/>
  <c r="J43" i="9"/>
  <c r="J43" i="10"/>
  <c r="F17" i="14" l="1"/>
  <c r="W17" i="14" s="1"/>
  <c r="Q16" i="1" s="1"/>
  <c r="F16" i="14"/>
  <c r="W16" i="14" s="1"/>
  <c r="Q15" i="1" s="1"/>
  <c r="O17" i="1"/>
  <c r="O16" i="1"/>
  <c r="F39" i="18"/>
  <c r="F40" i="18"/>
  <c r="F41" i="18"/>
  <c r="F46" i="18"/>
  <c r="F42" i="18"/>
  <c r="G42" i="18"/>
  <c r="G40" i="18"/>
  <c r="G46" i="18"/>
  <c r="G41" i="18"/>
  <c r="G39" i="18"/>
  <c r="G43" i="9"/>
  <c r="V19" i="14"/>
  <c r="P12" i="1"/>
  <c r="F43" i="13"/>
  <c r="G43" i="10"/>
  <c r="J19" i="14"/>
  <c r="L12" i="14"/>
  <c r="G43" i="13"/>
  <c r="G43" i="12"/>
  <c r="F43" i="12"/>
  <c r="W18" i="14"/>
  <c r="G43" i="11"/>
  <c r="Q17" i="1" l="1"/>
  <c r="V11" i="1" s="1"/>
  <c r="F43" i="18"/>
  <c r="G43" i="18"/>
  <c r="L19" i="14"/>
  <c r="K18" i="1" s="1"/>
  <c r="O18" i="1" s="1"/>
  <c r="S12" i="14"/>
  <c r="P18" i="1"/>
  <c r="N18" i="1"/>
  <c r="S19" i="14" l="1"/>
  <c r="O11" i="1"/>
  <c r="J47" i="5" l="1"/>
  <c r="K47" i="5" s="1"/>
  <c r="J34" i="5"/>
  <c r="K34" i="5" s="1"/>
  <c r="J22" i="5"/>
  <c r="K22" i="5" s="1"/>
  <c r="I33" i="1"/>
  <c r="J13" i="5"/>
  <c r="K13" i="5" s="1"/>
  <c r="J30" i="5"/>
  <c r="K30" i="5" s="1"/>
  <c r="J20" i="5"/>
  <c r="K20" i="5" s="1"/>
  <c r="J26" i="5"/>
  <c r="K26" i="5" s="1"/>
  <c r="J43" i="5"/>
  <c r="K43" i="5" s="1"/>
  <c r="J45" i="5"/>
  <c r="K45" i="5" s="1"/>
  <c r="J28" i="5"/>
  <c r="K28" i="5" s="1"/>
  <c r="J42" i="5"/>
  <c r="K42" i="5" s="1"/>
  <c r="J44" i="5"/>
  <c r="K44" i="5" s="1"/>
  <c r="I47" i="1"/>
  <c r="J27" i="5"/>
  <c r="K27" i="5" s="1"/>
  <c r="J35" i="5"/>
  <c r="K35" i="5" s="1"/>
  <c r="J16" i="5"/>
  <c r="K16" i="5" s="1"/>
  <c r="J19" i="5"/>
  <c r="K19" i="5" s="1"/>
  <c r="J37" i="5"/>
  <c r="K37" i="5" s="1"/>
  <c r="J15" i="5"/>
  <c r="K15" i="5" s="1"/>
  <c r="J40" i="5"/>
  <c r="K40" i="5" s="1"/>
  <c r="J46" i="5"/>
  <c r="K46" i="5" s="1"/>
  <c r="J31" i="5"/>
  <c r="K31" i="5" s="1"/>
  <c r="J38" i="5"/>
  <c r="K38" i="5" s="1"/>
  <c r="I34" i="1"/>
  <c r="J14" i="5"/>
  <c r="K14" i="5" s="1"/>
  <c r="J18" i="5"/>
  <c r="K18" i="5" s="1"/>
  <c r="J41" i="5"/>
  <c r="K41" i="5" s="1"/>
  <c r="J23" i="5"/>
  <c r="K23" i="5" s="1"/>
  <c r="J32" i="5"/>
  <c r="K32" i="5" s="1"/>
  <c r="I37" i="1"/>
  <c r="J17" i="5"/>
  <c r="K17" i="5" s="1"/>
  <c r="J24" i="5"/>
  <c r="K24" i="5" s="1"/>
  <c r="J21" i="5"/>
  <c r="K21" i="5" s="1"/>
  <c r="J33" i="5"/>
  <c r="K33" i="5" s="1"/>
  <c r="J36" i="5"/>
  <c r="K36" i="5" s="1"/>
  <c r="I32" i="1"/>
  <c r="J12" i="5"/>
  <c r="K12" i="5" s="1"/>
  <c r="J48" i="5"/>
  <c r="K48" i="5" s="1"/>
  <c r="J39" i="5"/>
  <c r="K39" i="5" s="1"/>
  <c r="J29" i="5"/>
  <c r="K29" i="5" s="1"/>
  <c r="J25" i="5"/>
  <c r="K25" i="5" s="1"/>
  <c r="I41" i="1"/>
  <c r="I43" i="1"/>
  <c r="I60" i="1"/>
  <c r="I66" i="1"/>
  <c r="I36" i="1"/>
  <c r="I64" i="1"/>
  <c r="I35" i="1"/>
  <c r="I48" i="1"/>
  <c r="I38" i="1"/>
  <c r="I57" i="1"/>
  <c r="I44" i="1"/>
  <c r="I63" i="1"/>
  <c r="I45" i="1"/>
  <c r="I46" i="1"/>
  <c r="I53" i="1"/>
  <c r="I59" i="1"/>
  <c r="I62" i="1"/>
  <c r="I51" i="1"/>
  <c r="I68" i="1"/>
  <c r="I49" i="1"/>
  <c r="I40" i="1"/>
  <c r="I39" i="1"/>
  <c r="I55" i="1"/>
  <c r="I52" i="1"/>
  <c r="I65" i="1"/>
  <c r="I50" i="1"/>
  <c r="I58" i="1"/>
  <c r="I67" i="1"/>
  <c r="I42" i="1"/>
  <c r="I56" i="1"/>
  <c r="I54" i="1"/>
  <c r="I61" i="1"/>
  <c r="O29" i="1"/>
  <c r="L29" i="1" s="1"/>
  <c r="G29" i="1" s="1"/>
  <c r="H29" i="1" s="1"/>
  <c r="H81" i="1" s="1"/>
  <c r="J9" i="5" l="1"/>
  <c r="K9" i="5" s="1"/>
  <c r="I29" i="1"/>
  <c r="I31" i="1" l="1"/>
  <c r="J11" i="5"/>
  <c r="K11" i="5" s="1"/>
  <c r="J10" i="5"/>
  <c r="K10" i="5" s="1"/>
  <c r="I30" i="1"/>
  <c r="K61" i="5" l="1"/>
  <c r="H82" i="1"/>
  <c r="H83" i="1" s="1"/>
  <c r="O10" i="3" l="1"/>
  <c r="O9" i="3"/>
  <c r="F26" i="11" s="1"/>
  <c r="O8" i="3"/>
  <c r="F26" i="10" s="1"/>
  <c r="F29" i="10" s="1"/>
  <c r="F30" i="10" s="1"/>
  <c r="O7" i="3"/>
  <c r="F26" i="9" s="1"/>
  <c r="F29" i="9" s="1"/>
  <c r="F30" i="9" s="1"/>
  <c r="H85" i="1"/>
  <c r="H84" i="1" s="1"/>
  <c r="R14" i="1" l="1"/>
  <c r="F26" i="19"/>
  <c r="F29" i="19" s="1"/>
  <c r="F30" i="19" s="1"/>
  <c r="R11" i="1"/>
  <c r="R12" i="1"/>
  <c r="F33" i="10"/>
  <c r="F33" i="9"/>
  <c r="F34" i="9" s="1"/>
  <c r="F35" i="9" s="1"/>
  <c r="F33" i="19" l="1"/>
  <c r="F34" i="19" s="1"/>
  <c r="F35" i="19" s="1"/>
  <c r="F36" i="19" s="1"/>
  <c r="F37" i="19" s="1"/>
  <c r="F44" i="19" s="1"/>
  <c r="F45" i="19" s="1"/>
  <c r="F36" i="9"/>
  <c r="F37" i="9" s="1"/>
  <c r="F44" i="9" s="1"/>
  <c r="F45" i="9" s="1"/>
  <c r="F34" i="10"/>
  <c r="F35" i="10" s="1"/>
  <c r="F36" i="10" s="1"/>
  <c r="F37" i="10" s="1"/>
  <c r="F44" i="10" s="1"/>
  <c r="F45" i="10" s="1"/>
  <c r="E15" i="14" l="1"/>
  <c r="F46" i="19"/>
  <c r="F39" i="19"/>
  <c r="F40" i="19"/>
  <c r="F42" i="19"/>
  <c r="F41" i="19"/>
  <c r="F41" i="10"/>
  <c r="F39" i="10"/>
  <c r="F40" i="10"/>
  <c r="F46" i="10"/>
  <c r="F42" i="10"/>
  <c r="E13" i="14"/>
  <c r="F40" i="9"/>
  <c r="F46" i="9"/>
  <c r="F39" i="9"/>
  <c r="E12" i="14"/>
  <c r="F41" i="9"/>
  <c r="F42" i="9"/>
  <c r="F12" i="14" l="1"/>
  <c r="W12" i="14" s="1"/>
  <c r="F15" i="14"/>
  <c r="W15" i="14" s="1"/>
  <c r="Q14" i="1" s="1"/>
  <c r="F13" i="14"/>
  <c r="W13" i="14" s="1"/>
  <c r="Q12" i="1" s="1"/>
  <c r="F43" i="19"/>
  <c r="F43" i="10"/>
  <c r="F43" i="9"/>
  <c r="Q11" i="1" l="1"/>
  <c r="L89" i="1" l="1"/>
  <c r="G89" i="1" s="1"/>
  <c r="H89" i="1" s="1"/>
  <c r="H99" i="1" s="1"/>
  <c r="I89" i="1" l="1"/>
  <c r="J67" i="5"/>
  <c r="K67" i="5" s="1"/>
  <c r="K77" i="5" s="1"/>
  <c r="P9" i="3" l="1"/>
  <c r="W20" i="14"/>
  <c r="I94" i="1"/>
  <c r="I91" i="1"/>
  <c r="I90" i="1"/>
  <c r="I93" i="1"/>
  <c r="I92" i="1"/>
  <c r="R13" i="1" l="1"/>
  <c r="R18" i="1" s="1"/>
  <c r="H100" i="1"/>
  <c r="H101" i="1" s="1"/>
  <c r="H103" i="1" l="1"/>
  <c r="H102" i="1" s="1"/>
  <c r="F27" i="11"/>
  <c r="F29" i="11" s="1"/>
  <c r="F30" i="11" s="1"/>
  <c r="F33" i="11" s="1"/>
  <c r="F34" i="11" l="1"/>
  <c r="F35" i="11" s="1"/>
  <c r="F36" i="11" s="1"/>
  <c r="F37" i="11" s="1"/>
  <c r="F44" i="11" s="1"/>
  <c r="F45" i="11" s="1"/>
  <c r="F42" i="11" l="1"/>
  <c r="F39" i="11"/>
  <c r="F41" i="11"/>
  <c r="E14" i="14"/>
  <c r="F40" i="11"/>
  <c r="F46" i="11"/>
  <c r="F14" i="14" l="1"/>
  <c r="F19" i="14" s="1"/>
  <c r="F43" i="11"/>
  <c r="W14" i="14" l="1"/>
  <c r="W19" i="14" s="1"/>
  <c r="W21" i="14" s="1"/>
  <c r="Q13" i="1" l="1"/>
  <c r="V12" i="1" s="1"/>
  <c r="V18" i="1" s="1"/>
  <c r="Q18" i="1" l="1"/>
</calcChain>
</file>

<file path=xl/sharedStrings.xml><?xml version="1.0" encoding="utf-8"?>
<sst xmlns="http://schemas.openxmlformats.org/spreadsheetml/2006/main" count="1573" uniqueCount="742">
  <si>
    <t xml:space="preserve">OCORRÊNCIAS MENSAIS DO FATURAMENTO </t>
  </si>
  <si>
    <t>UTILIZAÇÃO DO GESTOR CONTRATUAL PARA REALIZAÇÃO DO FATURAMENTO MENSAL</t>
  </si>
  <si>
    <t>DEFINIR VERSÃO DE APRESENTAÇÃO:</t>
  </si>
  <si>
    <t>PLANILHA PARA LICITAÇÃO (PRECIFICAÇÃO)</t>
  </si>
  <si>
    <t>DEFINIR BASE DE DESCONTOS/GLOSAS:</t>
  </si>
  <si>
    <t>MÊS CONTÁBIL</t>
  </si>
  <si>
    <r>
      <rPr>
        <b/>
        <sz val="10"/>
        <rFont val="Calibri"/>
        <family val="2"/>
        <charset val="1"/>
      </rPr>
      <t xml:space="preserve">INSTRUÇÕES DE PREENCHIMENTO
UTILIZAÇÃO EXCLUSIVA FISCAL/GESTOR
PARA AUXILIAR NO VALOR DE FATURAMENTO
Preencher as células destacadas na cor </t>
    </r>
    <r>
      <rPr>
        <b/>
        <sz val="10"/>
        <color rgb="FFFF0000"/>
        <rFont val="Calibri"/>
        <family val="2"/>
        <charset val="1"/>
      </rPr>
      <t>vermelha</t>
    </r>
    <r>
      <rPr>
        <b/>
        <sz val="10"/>
        <rFont val="Calibri"/>
        <family val="2"/>
        <charset val="1"/>
      </rPr>
      <t xml:space="preserve"> para realização dos cálculos das demais abas.
Não é necessário preenchimento de outras abas.</t>
    </r>
  </si>
  <si>
    <t>Informar número de Postos que não utilizam V.T.
(Coluna "D")</t>
  </si>
  <si>
    <t>Informar se titular do posto é optante pelo recebimento de V.T.
(Coluna "E")</t>
  </si>
  <si>
    <t>Desconto automático de V.T.
(Coluna "F")</t>
  </si>
  <si>
    <t>Preencher o número de dias (corridos) que o terceirizado que não recebe vt ficou afastado por férias ou faltas
(Coluna "G")</t>
  </si>
  <si>
    <t>Preencher nº de dias úteis em que o optante de V.T realizou trabalho em Home Office OU dias de Recesso Forense / Ponto facultativo
(Coluna "H")</t>
  </si>
  <si>
    <t>Conversão das horas de ausência em dias de ausência
(Coluna "I")</t>
  </si>
  <si>
    <t>Conversão das horas de ausência em dias de ausência
(Coluna "J")</t>
  </si>
  <si>
    <t>Nº dias de faltas comuns sem substituição.
(Coluna "K")</t>
  </si>
  <si>
    <t>Informar número de dias por férias no mês (dias)
(Coluna "L")</t>
  </si>
  <si>
    <t>Desconto de V.A. por dias de recesso forense e/ou ponto facultativo.
(Coluna "M")</t>
  </si>
  <si>
    <t>Nº de dias corridos de férias sem substituição quando o adicional de insalubridade é passado para outra servente do quadro.
(Coluna "N")</t>
  </si>
  <si>
    <t>Somatório de glosas.
(Coluna "O")</t>
  </si>
  <si>
    <t>Somatório de acrésimo por substituição do posto insalubre por outro profissional do quadro.
(Coluna "P")</t>
  </si>
  <si>
    <t>Informativo sobre valor faturado por tipo de função.
(Coluna "Q")</t>
  </si>
  <si>
    <t>Valores correspondentes ao fornecimento de materiais e epis.
(incluindo impostos)
(Coluna "R")</t>
  </si>
  <si>
    <t>Informar código de elemento de despesa
(Coluna "S")</t>
  </si>
  <si>
    <t>INFORMATIVO PARA GESTÃO CONTRATUAL</t>
  </si>
  <si>
    <t>Quant</t>
  </si>
  <si>
    <t>Descrição das Categorias</t>
  </si>
  <si>
    <t>Carga Horária (horas)</t>
  </si>
  <si>
    <t>Nº Postos não optantes pelo recebimento de V.T.</t>
  </si>
  <si>
    <t>Realizar glosa por não fornecimento de V.T.?</t>
  </si>
  <si>
    <t>Dias de
Glosa V.T.
Para Não Optantes</t>
  </si>
  <si>
    <t>Ajuste de V.T para fornecimento para
postos Não Optantes</t>
  </si>
  <si>
    <t>Dias de Home Office OU Recesso para os postos Optantes de V.T.</t>
  </si>
  <si>
    <t>Dias de faltas após conversão das horas
(planilha auxiliar)</t>
  </si>
  <si>
    <t>Quant. Atrasos e Faltas</t>
  </si>
  <si>
    <t>Dias de Férias</t>
  </si>
  <si>
    <t>Dias de Glosas de V.A no Mês</t>
  </si>
  <si>
    <t>*1 Dias de Deslocamento de Insalubridade</t>
  </si>
  <si>
    <t>VALOR TOTAL GLOSADO</t>
  </si>
  <si>
    <t>VALOR TOTAL ACRESCIDO</t>
  </si>
  <si>
    <t>Valor Mensal 
Faturado com aplicação de descontos</t>
  </si>
  <si>
    <t>VALOR TOTAL INSUMOS FORNECIDOS NO MÊS.</t>
  </si>
  <si>
    <t xml:space="preserve">Elemento de Despesa </t>
  </si>
  <si>
    <t>VALOR DE RETENÇÃO CONTA VINCULADA</t>
  </si>
  <si>
    <t>CÓDIGOS ELEMENTO DE DESPESA</t>
  </si>
  <si>
    <t>FATURAMENTO MENSAL</t>
  </si>
  <si>
    <t>RETENÇÃO 
GLOSA CONTA VINCULADA
(VERIFICAR NECESSIDADE)</t>
  </si>
  <si>
    <t>SIM</t>
  </si>
  <si>
    <t>ELEMENTO 2</t>
  </si>
  <si>
    <t>ELEMENTO 1</t>
  </si>
  <si>
    <t>VALOR TOTAL GLOSADOS</t>
  </si>
  <si>
    <t>OBSERVAÇÕES:</t>
  </si>
  <si>
    <t>1. Para apoio ao lançamento de ausências de horas, sugere-se a utilização da planilha complementar abaixo. O preenchimento das horas convertidas deve ocorrer na Coluna "I".</t>
  </si>
  <si>
    <t>Planilha auxiliar para conversão de horas de ausências em dias de faltas. (preenchimento coluna "I")</t>
  </si>
  <si>
    <t>Jornada</t>
  </si>
  <si>
    <t>Total de Horas</t>
  </si>
  <si>
    <t>Total de Minutos</t>
  </si>
  <si>
    <t>Conversão em Dias</t>
  </si>
  <si>
    <t>Obs: Informar a jornada de trabalho do posto analisado. Em sequência, informar as horas completas faltantes e posteriormente os minutos. Ex: 10:25h faltantes - Lançar 10 na célula "D22" e lançar 25 na célula "E22".
Lançar o resultado convertido na coluna "H".</t>
  </si>
  <si>
    <t>2. Na célula “N15” deverá ser informado a quantidade de dias em que o trabalho insalubre foi realizado por outra servente do quadro, durante as férias da Servente de Limpeza 40% insalubre - titular.</t>
  </si>
  <si>
    <t>ITEM</t>
  </si>
  <si>
    <t>DESCRIÇÃO DO MATERIAL DE IMPEZA
SERVENTES DE LIMPEZA</t>
  </si>
  <si>
    <t>GASTO MENSAL</t>
  </si>
  <si>
    <r>
      <rPr>
        <b/>
        <u/>
        <sz val="10"/>
        <rFont val="Calibri"/>
        <family val="2"/>
        <charset val="1"/>
      </rPr>
      <t xml:space="preserve">ANÁLISE CRÍTICA </t>
    </r>
    <r>
      <rPr>
        <b/>
        <sz val="10"/>
        <rFont val="Calibri"/>
        <family val="2"/>
        <charset val="1"/>
      </rPr>
      <t>SOBRE O FORNECIMENTO DOS MATERIAIS
ESTIMATIVA MENSAL x FORNECIMENTO EFETIVO
(INFORMAÇÃO COMO PARÂMETRO DE INDICATIVO)</t>
    </r>
  </si>
  <si>
    <t>REFERÊNCIA MENSAL PARA FORNECIMENTO</t>
  </si>
  <si>
    <t>Material</t>
  </si>
  <si>
    <t>Unid.</t>
  </si>
  <si>
    <t>Marcas de Referência</t>
  </si>
  <si>
    <t>QNTDE "REAL" FORNECIDA
NO MÊS</t>
  </si>
  <si>
    <t>Custo Mensal</t>
  </si>
  <si>
    <t>Quantidade Mensal</t>
  </si>
  <si>
    <t>Quantidade Total</t>
  </si>
  <si>
    <t>Periodicidade</t>
  </si>
  <si>
    <t>Divisor</t>
  </si>
  <si>
    <t>DESPESA MENSAL</t>
  </si>
  <si>
    <t>TAXA ADMINISTRATIVA</t>
  </si>
  <si>
    <t>LUCRO</t>
  </si>
  <si>
    <t>TRIBUTOS</t>
  </si>
  <si>
    <t>VALOR TOTAL COM MATERIAIS DE LIMPEZA</t>
  </si>
  <si>
    <t>MATERIAIS DE LIMPEZA COPA
COPEIRA</t>
  </si>
  <si>
    <t>VALOR TOTAL COM MATERIAIS DE COPA</t>
  </si>
  <si>
    <t>VALOR TOTAL COM MATERIAIS DE LIMPEZA DE AUTOMÓVEIS</t>
  </si>
  <si>
    <t>LISTA PARA OPÇÕES DE GLOSAS</t>
  </si>
  <si>
    <t>DIAS ÚTEIS (CONTRATO)</t>
  </si>
  <si>
    <t>Obs: Desconto por dias definidos em contrato.</t>
  </si>
  <si>
    <t>Obs: Desconto atualmente aplicado (30 dias corridos).</t>
  </si>
  <si>
    <t>DIAS DO MÊS VIGENTE</t>
  </si>
  <si>
    <t>Informar</t>
  </si>
  <si>
    <t>Obs: Desconto por dias úteis mensais, ocorrência variável, devendo ser informado mensalmente.</t>
  </si>
  <si>
    <t>JORNADA DE TRABALHO</t>
  </si>
  <si>
    <t>DIVISOR DE HORAS</t>
  </si>
  <si>
    <t>LISTA PARA TOTAL DE POSTOS</t>
  </si>
  <si>
    <t>Tribunal Regional Federal da 6ª Região</t>
  </si>
  <si>
    <t>Seção Judiciária de Minas Gerais</t>
  </si>
  <si>
    <t>Subseção Judiciária de Sete Lagoas</t>
  </si>
  <si>
    <t>1.</t>
  </si>
  <si>
    <t>SOMENTE SERÃO ACEITAS MODIFICAÇÕES NAS CÉLULAS DESTACADAS NA COR AMARELA COMO NO EXEMPLO ABAIXO:</t>
  </si>
  <si>
    <t>Células de livre edição.</t>
  </si>
  <si>
    <t>2.</t>
  </si>
  <si>
    <r>
      <rPr>
        <sz val="10"/>
        <rFont val="Calibri"/>
        <family val="2"/>
        <charset val="1"/>
      </rPr>
      <t xml:space="preserve">As demais células estarão </t>
    </r>
    <r>
      <rPr>
        <b/>
        <sz val="10"/>
        <rFont val="Calibri"/>
        <family val="2"/>
        <charset val="1"/>
      </rPr>
      <t>bloqueadas</t>
    </r>
    <r>
      <rPr>
        <sz val="10"/>
        <rFont val="Calibri"/>
        <family val="2"/>
        <charset val="1"/>
      </rPr>
      <t xml:space="preserve"> para edição das licitantes.</t>
    </r>
  </si>
  <si>
    <t>3.</t>
  </si>
  <si>
    <t>As Abas necessárias para o preenchimento estão organizadas em uma sequência lógica, sendo Dados; Encargos; Materiais (limpeza, copa e limpeza de veículos); EPI; Equipamentos; Uniforme.</t>
  </si>
  <si>
    <t>Os nomes das abas estarão abreviados para otimização da planilha.</t>
  </si>
  <si>
    <r>
      <rPr>
        <b/>
        <sz val="10"/>
        <rFont val="Calibri"/>
        <family val="2"/>
        <charset val="1"/>
      </rPr>
      <t xml:space="preserve">Sugere-se o preenchimento das seguintes abas em sequência: </t>
    </r>
    <r>
      <rPr>
        <sz val="10"/>
        <rFont val="Calibri"/>
        <family val="2"/>
        <charset val="1"/>
      </rPr>
      <t>Dados, Encargos, Materiais, EPI, Equipamentos e Uniforme, para a realização de cálculos completa da planilha de composição de custos.</t>
    </r>
  </si>
  <si>
    <t>3.1</t>
  </si>
  <si>
    <t>Estas Abas estarão destacadas na Cor Amarela.</t>
  </si>
  <si>
    <t>3.2</t>
  </si>
  <si>
    <t>PREENCHIMENTO ABA "DADOS"</t>
  </si>
  <si>
    <t xml:space="preserve"> - Alterar SOMENTE aqueles destacados na COR AMARELA.</t>
  </si>
  <si>
    <t>3.3</t>
  </si>
  <si>
    <t>PREENCHIMENTO ABA "ENCARGOS"</t>
  </si>
  <si>
    <t xml:space="preserve"> - Informar os percentuais de encargos nas células destacadas em amarelo dispostas na "Coluna C", de acordo com sua descrição "Coluna B".</t>
  </si>
  <si>
    <t xml:space="preserve"> - Atentar-se às observações continuadas ao final do quadro de encargos (Célula "B59"), com as demais instruções cabíveis aos percentuais dispostos nesta Aba.</t>
  </si>
  <si>
    <t>3.4</t>
  </si>
  <si>
    <t>PREENCHIMENTO ABA "MATERIAIS"</t>
  </si>
  <si>
    <t xml:space="preserve"> - Informar os valores unitários de cada item nas células destacadas em amarelo dispostas na "Coluna F", de acordo com sua descrição "Colunas B:E".</t>
  </si>
  <si>
    <t xml:space="preserve"> - Atentar-se para o preenchimento de todos os quadros dispostos nesta Aba, sendo:</t>
  </si>
  <si>
    <t xml:space="preserve"> - O preenchimento das células da Coluna "H" está permitida somente para inserção de Observações, caso necessário.</t>
  </si>
  <si>
    <t>3.5</t>
  </si>
  <si>
    <t>PREENCHIMENTO ABA "EQUIPAMENTOS"</t>
  </si>
  <si>
    <t xml:space="preserve"> - Informar os valores unitários de cada item nas células destacadas em amarelo dispostas na "Coluna D", de acordo com sua descrição "Colunas B:C".</t>
  </si>
  <si>
    <t>3.6</t>
  </si>
  <si>
    <t>PREENCHIMENTO ABA "UNIFORMES"</t>
  </si>
  <si>
    <t xml:space="preserve"> - Informar os valores unitários de cada peça de uniforme nas células destacadas em amarelo dispostas na "Coluna G", de acordo com sua descrição "Colunas B:F".</t>
  </si>
  <si>
    <t xml:space="preserve"> - Atentar-se às descrições complementares dispostas na ABA "Especificações" que visam melhor entendimento dos itens de uniforme solicitados.</t>
  </si>
  <si>
    <t>4.</t>
  </si>
  <si>
    <r>
      <rPr>
        <sz val="10"/>
        <rFont val="Calibri"/>
        <family val="2"/>
        <charset val="1"/>
      </rPr>
      <t>A Aba "</t>
    </r>
    <r>
      <rPr>
        <b/>
        <sz val="10"/>
        <rFont val="Calibri"/>
        <family val="2"/>
        <charset val="1"/>
      </rPr>
      <t>Especificações</t>
    </r>
    <r>
      <rPr>
        <sz val="10"/>
        <rFont val="Calibri"/>
        <family val="2"/>
        <charset val="1"/>
      </rPr>
      <t xml:space="preserve">", corresponde ao detalhamento dos </t>
    </r>
    <r>
      <rPr>
        <b/>
        <sz val="10"/>
        <rFont val="Calibri"/>
        <family val="2"/>
        <charset val="1"/>
      </rPr>
      <t>Uniformes</t>
    </r>
    <r>
      <rPr>
        <sz val="10"/>
        <rFont val="Calibri"/>
        <family val="2"/>
        <charset val="1"/>
      </rPr>
      <t>, servindo apenas para consulta e entendimento dos tipos de uniforme solicitados para o fornecimento.</t>
    </r>
  </si>
  <si>
    <t>4.1</t>
  </si>
  <si>
    <t>Esta aba está destacada na Cor Laranja.</t>
  </si>
  <si>
    <t>5.</t>
  </si>
  <si>
    <r>
      <rPr>
        <sz val="10"/>
        <rFont val="Calibri"/>
        <family val="2"/>
        <charset val="1"/>
      </rPr>
      <t xml:space="preserve">Destaca-se que após o preenchimento destas Abas (de acordo com as instruções contidas no item 3), os preços individuais das </t>
    </r>
    <r>
      <rPr>
        <b/>
        <sz val="10"/>
        <rFont val="Calibri"/>
        <family val="2"/>
        <charset val="1"/>
      </rPr>
      <t>categorias</t>
    </r>
    <r>
      <rPr>
        <sz val="10"/>
        <rFont val="Calibri"/>
        <family val="2"/>
        <charset val="1"/>
      </rPr>
      <t xml:space="preserve"> profissionais serão refletidos automaticamente para as suas abas correspondentes (Serv Ins, Serv, Copeira, Zel ac. e Aux).</t>
    </r>
  </si>
  <si>
    <t>5.1</t>
  </si>
  <si>
    <r>
      <rPr>
        <b/>
        <sz val="10"/>
        <rFont val="Calibri"/>
        <family val="2"/>
        <charset val="1"/>
      </rPr>
      <t>Não será necessário realizar nenhuma alteração nas abas contendo o detalhamento de custos de cada categoria profissional.</t>
    </r>
    <r>
      <rPr>
        <sz val="10"/>
        <rFont val="Calibri"/>
        <family val="2"/>
        <charset val="1"/>
      </rPr>
      <t xml:space="preserve"> Estas abas conterão apenas o reflexo dos dados preenchidos nas abas anteriores (conforme explicação nº 3).</t>
    </r>
  </si>
  <si>
    <t>5.2</t>
  </si>
  <si>
    <t>Estas abas estão destacadas na Cor Cinza.</t>
  </si>
  <si>
    <t>6.</t>
  </si>
  <si>
    <r>
      <rPr>
        <sz val="10"/>
        <rFont val="Calibri"/>
        <family val="2"/>
        <charset val="1"/>
      </rPr>
      <t>A Aba "</t>
    </r>
    <r>
      <rPr>
        <b/>
        <sz val="10"/>
        <rFont val="Calibri"/>
        <family val="2"/>
        <charset val="1"/>
      </rPr>
      <t>Resumo</t>
    </r>
    <r>
      <rPr>
        <sz val="10"/>
        <rFont val="Calibri"/>
        <family val="2"/>
        <charset val="1"/>
      </rPr>
      <t>" contém o detalhamento dos custos unitários por categoria profissional, além de conter o preço final da proposta.</t>
    </r>
  </si>
  <si>
    <t>6.1</t>
  </si>
  <si>
    <r>
      <rPr>
        <sz val="10"/>
        <rFont val="Calibri"/>
        <family val="2"/>
        <charset val="1"/>
      </rPr>
      <t xml:space="preserve">Para efeitos de lance/oferta, as licitantes devem considerar o valor da célula "T17", da Aba "Resumo", correspondente ao </t>
    </r>
    <r>
      <rPr>
        <b/>
        <sz val="10"/>
        <rFont val="Calibri"/>
        <family val="2"/>
        <charset val="1"/>
      </rPr>
      <t>VALOR MENSAL.</t>
    </r>
  </si>
  <si>
    <t>6.2</t>
  </si>
  <si>
    <t>Esta aba está destacada na Cor Azul.</t>
  </si>
  <si>
    <t>7.</t>
  </si>
  <si>
    <r>
      <rPr>
        <sz val="10"/>
        <rFont val="Calibri"/>
        <family val="2"/>
        <charset val="1"/>
      </rPr>
      <t>A Aba "</t>
    </r>
    <r>
      <rPr>
        <b/>
        <sz val="10"/>
        <rFont val="Calibri"/>
        <family val="2"/>
        <charset val="1"/>
      </rPr>
      <t>Custo Estimado Substituto</t>
    </r>
    <r>
      <rPr>
        <sz val="10"/>
        <rFont val="Calibri"/>
        <family val="2"/>
        <charset val="1"/>
      </rPr>
      <t>" contém valores estimados com os profissionais substitutos do titular em férias.</t>
    </r>
  </si>
  <si>
    <t>7.1</t>
  </si>
  <si>
    <t>Não será necessário realizar nenhuma alteração nesta aba, pois conterá apenas o reflexo dos dados preenchidos nas abas anteriores (conforme explicação nº 3).</t>
  </si>
  <si>
    <t>7.2</t>
  </si>
  <si>
    <t>Elemento de Despesa</t>
  </si>
  <si>
    <t>Quantidade de Postos</t>
  </si>
  <si>
    <t>Carga Horária
(Horas)</t>
  </si>
  <si>
    <t>*OBS 1 -
Salário Base I (Piso Para 220h/m)
(R$)</t>
  </si>
  <si>
    <t>Salário Base II
(Conforme Jornada Contratada)
(R$)</t>
  </si>
  <si>
    <t xml:space="preserve">
Insalubridade
Grau de Risco
(%)</t>
  </si>
  <si>
    <t>Valor Insalubridade
(R$)</t>
  </si>
  <si>
    <t>*OBS 2 -
Acúmulo de Função / Acréscimo Salarial
(%)</t>
  </si>
  <si>
    <t>*OBS 3 -
Tempo de Execução de Atividades em Acúmulo
(%)</t>
  </si>
  <si>
    <t>*OBS 4 -
Base Para Cálculo de Acúmulo de Função
(R$)</t>
  </si>
  <si>
    <t>Valor Acúmulo de Função
(R$)</t>
  </si>
  <si>
    <t>Remuneração Total
(Grupo A)
(R$)</t>
  </si>
  <si>
    <t>Uniforme
(R$)</t>
  </si>
  <si>
    <t>Material de Limpeza Rateado
(R$)</t>
  </si>
  <si>
    <t>Material de Copa Rateado
(R$)</t>
  </si>
  <si>
    <t xml:space="preserve"> Material de Limpeza  Veicular
(R$)</t>
  </si>
  <si>
    <t>Depreciação Rateada
(R$)</t>
  </si>
  <si>
    <t>CÓDIGO DE ELEMENTO DE DESPESA
(CONTROLE DA CONTRATANTE)</t>
  </si>
  <si>
    <t>RATEIO
INSUMOS</t>
  </si>
  <si>
    <t xml:space="preserve">Servente de Limpeza  </t>
  </si>
  <si>
    <t>Auxiliar Administrativo</t>
  </si>
  <si>
    <t>OBS 1: Inserir piso salarial correspondente à jornada de 220h mensais.      OBS 2: Informar % de acúmulo de função.</t>
  </si>
  <si>
    <t>OBS 3: Informar % do tempo de acúmulo de função.   OBS 4: Informar salário base.</t>
  </si>
  <si>
    <t>TOTAL</t>
  </si>
  <si>
    <t>DADOS DA PROPOSTA</t>
  </si>
  <si>
    <t>Data de apresentação da proposta</t>
  </si>
  <si>
    <t>ABERTURA DA PROPOSTA</t>
  </si>
  <si>
    <t>Informar data de abertura do certame / data final para cadastro da proposta comercial.</t>
  </si>
  <si>
    <t>Sindicato utilizado</t>
  </si>
  <si>
    <t>Informar o sindicato utilizado pela Licitante.</t>
  </si>
  <si>
    <t>Número de registro da CCT - Código MTE</t>
  </si>
  <si>
    <t>Informar o número de registro da Convenção Coletiva de Tralbalho utilizada no processo licitatório, junto ao Ministério do Trabalho e Emprego.</t>
  </si>
  <si>
    <t>Vigência da CCT utilizada</t>
  </si>
  <si>
    <t>Informar a vigência da Convenção Coletiva de Trabalho utilizada no processo licitatório.</t>
  </si>
  <si>
    <t>Data base da categoria</t>
  </si>
  <si>
    <t>Informar a data base da Convenção Coletiva de Trabalho utilizada no processo licitatório.</t>
  </si>
  <si>
    <t>ENCARGOS SOCIAIS E TRABALHISTAS</t>
  </si>
  <si>
    <t>-</t>
  </si>
  <si>
    <t>Percentual de Encargos (TOTAL)</t>
  </si>
  <si>
    <t>SAT - Seguro Acidentes Trabalho</t>
  </si>
  <si>
    <t>RAT (Atividade Principal)</t>
  </si>
  <si>
    <t>Informar percentual correspondente à atividade preponderante da Licitante.</t>
  </si>
  <si>
    <t>FAP (Conforme FapWeb)</t>
  </si>
  <si>
    <t>Informar Fator extraído do documento FapWeb da Licitante.</t>
  </si>
  <si>
    <t>SALÁRIO BASE PARE CÁLCULO DE INSALUBRIDADE</t>
  </si>
  <si>
    <t>Informar base salarial para fins de cálculo de Insalubridade.</t>
  </si>
  <si>
    <t>BENEFÍCIOS</t>
  </si>
  <si>
    <t>Seguro de Vida em Grupo</t>
  </si>
  <si>
    <t>Inserir valor unitário mensal.</t>
  </si>
  <si>
    <t>Programa de Assistência Familiar - PAF</t>
  </si>
  <si>
    <t>Vale Transporte</t>
  </si>
  <si>
    <t>Valor da tarifa</t>
  </si>
  <si>
    <t>Inserir o valor unitário da tarifa.</t>
  </si>
  <si>
    <t>Número de Tarifas por dia</t>
  </si>
  <si>
    <t>Inserir a quantidade de tarifas diárias.</t>
  </si>
  <si>
    <t>Número de dias para fornecimento</t>
  </si>
  <si>
    <t>Número de dias utilizados para a precificação. Número determinado em edital. Não será permitido alteração.</t>
  </si>
  <si>
    <t>Custeio do trabalhador (participação legal)</t>
  </si>
  <si>
    <t>Inserir percentual de participação do trabalhador.</t>
  </si>
  <si>
    <t>Vale Alimentação</t>
  </si>
  <si>
    <t>Valor Unitário do Ticket</t>
  </si>
  <si>
    <t>Inserir valor unitário do Ticket.</t>
  </si>
  <si>
    <t>Outros (inserir somente com a justificativa legal)</t>
  </si>
  <si>
    <t>Inserir valor unitário mensal, quando preenchido, e apresentar as justificativas legais para inclusão.</t>
  </si>
  <si>
    <t>MONTANTE C</t>
  </si>
  <si>
    <t>Despesas Administrativas</t>
  </si>
  <si>
    <t>Informar percentual da Licitante.</t>
  </si>
  <si>
    <t>Lucro</t>
  </si>
  <si>
    <t>MONTANTE D</t>
  </si>
  <si>
    <t>OBS:</t>
  </si>
  <si>
    <t>Opção Tributária</t>
  </si>
  <si>
    <t>LUCRO REAL</t>
  </si>
  <si>
    <t>Informar opção tributária da Licitante. Atentar-se às observações do "Montante D".</t>
  </si>
  <si>
    <t>COFINS</t>
  </si>
  <si>
    <t>Informar percentual da Licitante. Atentar-se às observações do "Montante D".</t>
  </si>
  <si>
    <t>PIS/PASEP</t>
  </si>
  <si>
    <t>ISSQN</t>
  </si>
  <si>
    <t>Informar percentual do código tributário municipal, local da execução das atividades.</t>
  </si>
  <si>
    <t>Informar o tipo de tributo e apresentar as justificativas legais para inclusão. Informar percentual da Licitante. Atentar-se às observações do "Montante D".</t>
  </si>
  <si>
    <t>Soma dos tributos</t>
  </si>
  <si>
    <t>PREVISÃO DE REAJUSTE IPCA - 12 (DOZE) MESES DE CONTRATO - INFORMATIVO PARA SER UTILIZADO DURANTE A GESTÃO CONTRATUAL</t>
  </si>
  <si>
    <t>UNIFORME</t>
  </si>
  <si>
    <t>MATERIAIS
DIVERSOS</t>
  </si>
  <si>
    <t>EPI COVID</t>
  </si>
  <si>
    <t>SEG VIDA</t>
  </si>
  <si>
    <t>FATOR DE APLICAÇÃO
(2 CASAS DECIMAIS)</t>
  </si>
  <si>
    <t>DATA DE APROVAÇÃO IPCA</t>
  </si>
  <si>
    <t>DOCUMENTO RELACIONADO ID</t>
  </si>
  <si>
    <t>1º REAJUSTE IPCA</t>
  </si>
  <si>
    <t>Percentual (%) aprovado</t>
  </si>
  <si>
    <t>Aplicar reajuste após solicitação da contratada?</t>
  </si>
  <si>
    <t>NÃO</t>
  </si>
  <si>
    <t>2º REAJUSTE IPCA</t>
  </si>
  <si>
    <t>3º REAJUSTE IPCA</t>
  </si>
  <si>
    <t>4º REAJUSTE IPCA</t>
  </si>
  <si>
    <t>5º REAJUSTE IPCA</t>
  </si>
  <si>
    <t>CONTROLE DE REAJUSTE IPCA - UNIFORME</t>
  </si>
  <si>
    <t>APLICAR
VALOR</t>
  </si>
  <si>
    <t>INICIAL</t>
  </si>
  <si>
    <t>CONTROLE DE REAJUSTE IPCA - MATERIAIS DIVERSOS</t>
  </si>
  <si>
    <t>CONTROLE DE REAJUSTE IPCA - EPI COVID</t>
  </si>
  <si>
    <t>CONTROLE DE REAJUSTE IPCA - SEGURO DE VIDA</t>
  </si>
  <si>
    <t>VALOR INICIAL DO CONTRATO</t>
  </si>
  <si>
    <t>1º REAJUSTE POR IPCA</t>
  </si>
  <si>
    <t>2º REAJUSTE POR IPCA</t>
  </si>
  <si>
    <t>3º REAJUSTE POR IPCA</t>
  </si>
  <si>
    <t>4º REAJUSTE POR IPCA</t>
  </si>
  <si>
    <t>5º REAJUSTE POR IPCA</t>
  </si>
  <si>
    <t>HISTÓRICO - CONTROLE DE CONTRATO - VERSÃO DE PLANILHA DE CUSTOS</t>
  </si>
  <si>
    <t>Planilha / Proposta comercial - Início do contrato (Licitação)</t>
  </si>
  <si>
    <t>PLANILHA - ID</t>
  </si>
  <si>
    <t>Obs: Planiha apresentada e aceita durante a fase de lances.</t>
  </si>
  <si>
    <t>1º Termo Aditivo</t>
  </si>
  <si>
    <t>Obs: Planilha ajustada com o acréscimo de 1 posto "X" - 200h.</t>
  </si>
  <si>
    <t>1º Termo de Apostilamento</t>
  </si>
  <si>
    <t>Obs: Repactuação CCT 2024 / Alteração do salário mínimo nacional.</t>
  </si>
  <si>
    <t>INFORMAR TERMO ADITIVO / APOSTILAMENTO / ALTERAÇÃO CONTRATUAL</t>
  </si>
  <si>
    <t>Obs: Descrever alerações. EX: Como é realizado no Extrato.</t>
  </si>
  <si>
    <t>Planilha de Encargos Sociais e Trabalhistas</t>
  </si>
  <si>
    <t>INSTRUÇÕES DE PREENCHIMENTO - Informar/Alterar somente as células destacadas na Cor Amarela, de acordo com o percentual da Licitante.</t>
  </si>
  <si>
    <t>QUADRO RESUMO</t>
  </si>
  <si>
    <t>DESCRIÇÃO</t>
  </si>
  <si>
    <t>PERCENTUAL</t>
  </si>
  <si>
    <t>Grupo A</t>
  </si>
  <si>
    <t>Encargos Previdenciários, FGTS e Outras Contribuições</t>
  </si>
  <si>
    <t>PREVIDÊNCIA SOCIAL - INSS</t>
  </si>
  <si>
    <t>SESI ou SESC</t>
  </si>
  <si>
    <t>SENAI ou SENAC</t>
  </si>
  <si>
    <t>INCRA</t>
  </si>
  <si>
    <t>Salário Educação</t>
  </si>
  <si>
    <t>FGTS</t>
  </si>
  <si>
    <t>SAT - Seguro Acidentes Trabalho - (RAT x FAP)</t>
  </si>
  <si>
    <t xml:space="preserve">  Alterar FAP e RAT na aba "DADOS"</t>
  </si>
  <si>
    <t>SEBRAE</t>
  </si>
  <si>
    <t>Total Grupo A - Encargos previdenciários, FGTS e Outras Contribuições</t>
  </si>
  <si>
    <t>Grupo B</t>
  </si>
  <si>
    <t>Grupo B.1</t>
  </si>
  <si>
    <t>13º Salário</t>
  </si>
  <si>
    <t>Adicional de Férias</t>
  </si>
  <si>
    <t>Subtotal</t>
  </si>
  <si>
    <t>Incidência do Grupo A sobre 13º salário e adicional de férias</t>
  </si>
  <si>
    <t>Total Grupo B.1 - 13º salário e adicional de férias</t>
  </si>
  <si>
    <t>Grupo B.2</t>
  </si>
  <si>
    <t>Afastamento Maternidade</t>
  </si>
  <si>
    <t>Licença Maternidade</t>
  </si>
  <si>
    <t>Incidência do Grupo A sobre o afastamento maternidade</t>
  </si>
  <si>
    <t>Total Grupo B.2 - Afastamento maternidade</t>
  </si>
  <si>
    <t>Grupo B.3</t>
  </si>
  <si>
    <t>Provisão para Rescisão</t>
  </si>
  <si>
    <t>Aviso Prévio Indenizado</t>
  </si>
  <si>
    <t>Incidência do FGTS sobre o Aviso Prévio Indenizado</t>
  </si>
  <si>
    <t>Multa do FGTS do Aviso Prévio Indenizado</t>
  </si>
  <si>
    <t>Aviso Prévio Trabalhado</t>
  </si>
  <si>
    <t xml:space="preserve">Incidência do Grupo A sobre o Aviso Prévio Trabalhado </t>
  </si>
  <si>
    <t xml:space="preserve">Multa do FGTS do Aviso Prévio Trabalhado </t>
  </si>
  <si>
    <t>Total Grupo B.3 - Provisão para rescisão</t>
  </si>
  <si>
    <t>Grupo B.4</t>
  </si>
  <si>
    <t>Composição do Custo de Reposição do Profissional Ausente</t>
  </si>
  <si>
    <t>Remuneração do profissional substituto</t>
  </si>
  <si>
    <t>Ausência por doença</t>
  </si>
  <si>
    <t>Licença Paternidade</t>
  </si>
  <si>
    <t>Ausências Legais</t>
  </si>
  <si>
    <t>Ausência por acidente de trabalho</t>
  </si>
  <si>
    <t>PERCENTUAIS PARA CONTINGENCIAMENTO DE ENCARGOS TRABALHISTAS A SEREM APLICADOS SOBRE A NOTA FISCAL (UTILIZAÇÃO DURANTE A VIGÊNCIA CONTRATUAL)</t>
  </si>
  <si>
    <t>Incidência do submódulo 4.1 sobre custo de reposição</t>
  </si>
  <si>
    <t>Total Grupo B.4 - Custo de reposição do profissional ausente</t>
  </si>
  <si>
    <t>Título</t>
  </si>
  <si>
    <t>VARIAÇÃO RAT AJUSTADO 0,50% A 6%</t>
  </si>
  <si>
    <t>Grupo C</t>
  </si>
  <si>
    <t>Outros (especificar)</t>
  </si>
  <si>
    <t>EMPRESAS</t>
  </si>
  <si>
    <t>Indenização Adicional</t>
  </si>
  <si>
    <t xml:space="preserve">Grupo </t>
  </si>
  <si>
    <t>Mínimo</t>
  </si>
  <si>
    <t>Máximo</t>
  </si>
  <si>
    <t>LICITANTE</t>
  </si>
  <si>
    <t>Total Grupo C - Indenização Adicional</t>
  </si>
  <si>
    <t>SUBMÓDULO E.1 - da IN 02/2008 MPOG:</t>
  </si>
  <si>
    <t>Quadro Resumo - Encargos Sociais e Trabalhistas</t>
  </si>
  <si>
    <t>SAT (RATxFAP):</t>
  </si>
  <si>
    <t>13º salário</t>
  </si>
  <si>
    <t>13º Salário + Adicional de Férias</t>
  </si>
  <si>
    <t>Férias</t>
  </si>
  <si>
    <t>1/3 constitucional</t>
  </si>
  <si>
    <t>Custo de Rescisão</t>
  </si>
  <si>
    <t>Custo de Reposição do profissional Ausente</t>
  </si>
  <si>
    <t>Incidência do Grupo A (*)</t>
  </si>
  <si>
    <t>Multa do FGTS</t>
  </si>
  <si>
    <t>Total dos Encargos Sociais Trabalhistas</t>
  </si>
  <si>
    <t>Encargos a contingenciar</t>
  </si>
  <si>
    <t>Taxa da conta-corrente vinculada (inciso II art. 2º IN 001/2013</t>
  </si>
  <si>
    <t>1. Não deverá haver alteração nos itens 9(9,09%), 10(3,03%), 13(3,49%) e 16(9,09%) dos percentuais acima, considerando que a Justiça Federal segue as diretrizes da IN 1/2016, de 20 de janeiro de 2016, do CJF, bem como o disposto no Art. 12 da Lei 13.932/2019, com vigência a partir de 01/01/2020.</t>
  </si>
  <si>
    <t>Total a contingenciar</t>
  </si>
  <si>
    <t>INSTRUÇÕES DE PREENCHIMENTO - Informar/Alterar somente as células destacadas na Cor Amarela, de acordo com o valor unitário da Licitante.</t>
  </si>
  <si>
    <t>VALORES UNITÁRIOS DO CONTRATO, CORRIGIDOS PELO REAJUSTE DE IPCA.</t>
  </si>
  <si>
    <t>DESCRIÇÃO DO MATERIAL</t>
  </si>
  <si>
    <t>OBSERVAÇÕES</t>
  </si>
  <si>
    <t>REFERÊNCIA</t>
  </si>
  <si>
    <t>Preço Unitário</t>
  </si>
  <si>
    <t>Quantidade</t>
  </si>
  <si>
    <t>DIVISOR</t>
  </si>
  <si>
    <t>VALOR INICIAL DO CONTRATO
(Informar após o término da licitação)</t>
  </si>
  <si>
    <t>Marca de Referência</t>
  </si>
  <si>
    <t>PREÇO UNITÁRIO</t>
  </si>
  <si>
    <t>Valores em R$</t>
  </si>
  <si>
    <t>Item</t>
  </si>
  <si>
    <t>Especificação</t>
  </si>
  <si>
    <t>Quant.</t>
  </si>
  <si>
    <t>Valor Unitário</t>
  </si>
  <si>
    <t>Valor Total</t>
  </si>
  <si>
    <t>Repasse Mensal</t>
  </si>
  <si>
    <t>Serviços de Limpeza e Conservação</t>
  </si>
  <si>
    <t>CATEGORIA</t>
  </si>
  <si>
    <t>QUANT.</t>
  </si>
  <si>
    <t>DESCRIÇÃO DE UNIFORME</t>
  </si>
  <si>
    <t>CORES</t>
  </si>
  <si>
    <t>TOTAL DO QUANTITATIVO</t>
  </si>
  <si>
    <t xml:space="preserve">Servente </t>
  </si>
  <si>
    <t>Calça</t>
  </si>
  <si>
    <t>Camisa</t>
  </si>
  <si>
    <t>TOTAL DE POSTOS</t>
  </si>
  <si>
    <t>Calçado</t>
  </si>
  <si>
    <t>Preta</t>
  </si>
  <si>
    <t>Soma</t>
  </si>
  <si>
    <t xml:space="preserve">CÁLCULO VALOR DO REPASSE MENSAL SERVENTE DE LIMPEZA </t>
  </si>
  <si>
    <t>Avental</t>
  </si>
  <si>
    <t>Preto</t>
  </si>
  <si>
    <t>Azul Marinho</t>
  </si>
  <si>
    <t>CÁLCULO VALOR DO REPASSE MENSAL  DE ZELADOR</t>
  </si>
  <si>
    <t>Planilha de Custo e Formação de Preço Mensal Por Categoria Profissional</t>
  </si>
  <si>
    <t>COM MATERIAL</t>
  </si>
  <si>
    <t>SEM MATERIAL</t>
  </si>
  <si>
    <t>CUSTO DE VALE ALIMENTAÇÃO</t>
  </si>
  <si>
    <t>CUSTO DE VALE-TRANSPORTE</t>
  </si>
  <si>
    <t>CUSTO INSALUBRIDADE</t>
  </si>
  <si>
    <t>33390.37.02 - Limpeza e Conservação</t>
  </si>
  <si>
    <t>MONTANTE "A" - Mão de Obra</t>
  </si>
  <si>
    <t>Função</t>
  </si>
  <si>
    <t>Carga Horária Mensal</t>
  </si>
  <si>
    <t xml:space="preserve"> Salário Base</t>
  </si>
  <si>
    <t>Adicional de Insalubridade</t>
  </si>
  <si>
    <t>Adicional Acúmulo de Função</t>
  </si>
  <si>
    <t>TOTAL DA REMUNERAÇÃO</t>
  </si>
  <si>
    <t xml:space="preserve">Encargos sociais e trabalhistas                         </t>
  </si>
  <si>
    <t>Total do Montante "A" ( Mão de Obra)</t>
  </si>
  <si>
    <t>MONTANTE "B" - INSUMOS</t>
  </si>
  <si>
    <t>Itens</t>
  </si>
  <si>
    <t>Valores Unitários</t>
  </si>
  <si>
    <t>Uniforme</t>
  </si>
  <si>
    <t xml:space="preserve">Seguro de vida  </t>
  </si>
  <si>
    <t>Material de Limpeza</t>
  </si>
  <si>
    <t>Material de Copa</t>
  </si>
  <si>
    <t>Depreciação de Equipamentos</t>
  </si>
  <si>
    <t>Total do Montante "B" (Insumos)</t>
  </si>
  <si>
    <t>Montante "A" + Montante "B"</t>
  </si>
  <si>
    <t>MONTANTE "C" - DEMAIS COMPONENTES</t>
  </si>
  <si>
    <t>ITENS</t>
  </si>
  <si>
    <t>Percentual</t>
  </si>
  <si>
    <t>Despesas administrativas/operacionais</t>
  </si>
  <si>
    <t>Base de cálculo do lucro</t>
  </si>
  <si>
    <t>Total do Montante "C" (Demais componentes)</t>
  </si>
  <si>
    <t>Montante "A" + Montante "B" + Montante "C"</t>
  </si>
  <si>
    <t>MONTANTE "D" - TRIBUTOS</t>
  </si>
  <si>
    <t>Total do Montante "D" (Tributos)</t>
  </si>
  <si>
    <t>FATOR K</t>
  </si>
  <si>
    <t>Deslocamento Insalubridade</t>
  </si>
  <si>
    <t>Valores Unitarios</t>
  </si>
  <si>
    <t xml:space="preserve">MÊS: </t>
  </si>
  <si>
    <t>VALORES EM R$</t>
  </si>
  <si>
    <t>ELEMENTO DE DESPESA</t>
  </si>
  <si>
    <t>CATEGORIA PROFISSIONAL</t>
  </si>
  <si>
    <t>TOTAL DO FATURAMENTO MENSAL</t>
  </si>
  <si>
    <t>CUSTO MENSAL</t>
  </si>
  <si>
    <t>GLOSA VALE TRANSPORTE</t>
  </si>
  <si>
    <t>GLOSA DE ATRASOS, FALTAS E DESCONTO DO TITULAR EM FÉRIAS (sem material)</t>
  </si>
  <si>
    <t>GLOSA VALE ALIMENTAÇÃO</t>
  </si>
  <si>
    <t>TOTAL GLOSAS</t>
  </si>
  <si>
    <t>ACRÉSCIMO DE INSALUBRIDADE</t>
  </si>
  <si>
    <t>Homem-Mês</t>
  </si>
  <si>
    <t>Custo Mensal  do vale-transporte da categoria com Encargos</t>
  </si>
  <si>
    <t xml:space="preserve">GLOSA </t>
  </si>
  <si>
    <t>Glosa de Atrasos e Faltas</t>
  </si>
  <si>
    <t>Desconto Mensal do Titular em Férias sem substituição</t>
  </si>
  <si>
    <t>Desconto de Vale Alimentação em recesso forense ou ponto facultativo.</t>
  </si>
  <si>
    <t>Total da Glosa de Atrasos, Faltas, Desconto do Titular em Férias sem substituição e Desconto de V.A para recessos.</t>
  </si>
  <si>
    <t>PAGAMENTO INSALUBRIDADE EM SUBSTITUIÇÃO</t>
  </si>
  <si>
    <t>Custo Unitário da categoria</t>
  </si>
  <si>
    <t>Custo Mensal da categoria</t>
  </si>
  <si>
    <t>Dias de afastamento</t>
  </si>
  <si>
    <t>Valor da Glosa do vale transporte da categoria</t>
  </si>
  <si>
    <t>Custo Homem-Mês               (sem material)</t>
  </si>
  <si>
    <t>Valor da Glosa de Atrasos e Faltas</t>
  </si>
  <si>
    <t>Custo Unitário da categoria Planilha de Férias</t>
  </si>
  <si>
    <t xml:space="preserve">Valor do Desconto Mensal </t>
  </si>
  <si>
    <t>Custo Mensal  do vale alimentação da categoria com Encargos</t>
  </si>
  <si>
    <t>Dias de Recesso e/ou ponto facultativo</t>
  </si>
  <si>
    <t>Valor da Glosa do vale alimentação da categoria</t>
  </si>
  <si>
    <t>Valor Insalubridade por dia</t>
  </si>
  <si>
    <t>Quantidade de Dias</t>
  </si>
  <si>
    <t>Valor Devido</t>
  </si>
  <si>
    <t>339037-02</t>
  </si>
  <si>
    <t xml:space="preserve">TOTAL DO FATURAMENTO MENSAL </t>
  </si>
  <si>
    <t>Valor para Lance - Registro de oferta</t>
  </si>
  <si>
    <t>VALOR DO MATERIAL</t>
  </si>
  <si>
    <t>TOTAL DO FATURAMENTO ANUAL</t>
  </si>
  <si>
    <t>2. Na célula “R12” deverá ser informado a quantidade de dias em que o trabalho insalubre foi realizado por outra servente do quadro, durante as férias da titular.</t>
  </si>
  <si>
    <t xml:space="preserve">DESCRIÇÃO </t>
  </si>
  <si>
    <t>4.5</t>
  </si>
  <si>
    <t>Valor em R$</t>
  </si>
  <si>
    <t>Módulo 1 - Total da Remuneração</t>
  </si>
  <si>
    <t>A</t>
  </si>
  <si>
    <t>G</t>
  </si>
  <si>
    <t>Total do Custo MENSAL de Reposição do Profissional Ausente em Férias</t>
  </si>
  <si>
    <t>Total do Custo ANUAL de Reposição do Profissional Ausente em Férias</t>
  </si>
  <si>
    <t>Módulo 2 - Benefícios Mensais e Diários</t>
  </si>
  <si>
    <t>Vale-Alimentação</t>
  </si>
  <si>
    <t>B</t>
  </si>
  <si>
    <t>Vale-Transporte</t>
  </si>
  <si>
    <t>C</t>
  </si>
  <si>
    <t>Outros (sem concessão do intervalo intrajornada)</t>
  </si>
  <si>
    <t>Total de Benefícios Mensais e Diários</t>
  </si>
  <si>
    <t>Módulo 5 - Custos Indiretos, Lucros e Tributos</t>
  </si>
  <si>
    <t>Custos Indiretos (Despesas Operacionais e Administrativas)</t>
  </si>
  <si>
    <t>Tributos</t>
  </si>
  <si>
    <t>C.1</t>
  </si>
  <si>
    <t>Tributos Federais (PIS E COFINS)</t>
  </si>
  <si>
    <t>C.2</t>
  </si>
  <si>
    <t>Tributos Estaduais (especificar)</t>
  </si>
  <si>
    <t>C.3</t>
  </si>
  <si>
    <t>Tributos Municipais (ISS)</t>
  </si>
  <si>
    <t>C.4</t>
  </si>
  <si>
    <t>Total dos Custos Indiretos e Tributos</t>
  </si>
  <si>
    <t>CUSTO TOTAL DO PROFISSIONAL SUBSTITUTO</t>
  </si>
  <si>
    <t>Resumo do Custo Por Empregado Substituto do Titular em Férias</t>
  </si>
  <si>
    <t>Mão de Obra Vinculada à Execução Contratual  (Valor Por Empregado)</t>
  </si>
  <si>
    <t>Módulo 1 - Composição Remuneração * 12 (Anual)</t>
  </si>
  <si>
    <t>Subtotal (A+B)</t>
  </si>
  <si>
    <t>E</t>
  </si>
  <si>
    <t>Módulo 5 - Custos Indiretos, Tributos e Lucro</t>
  </si>
  <si>
    <t xml:space="preserve">Valor Total Mensal Por Empregado Substituto do Titular em Férias </t>
  </si>
  <si>
    <t>Período:</t>
  </si>
  <si>
    <t xml:space="preserve">ÍNDICE </t>
  </si>
  <si>
    <t>IPCA/ IBGE</t>
  </si>
  <si>
    <t>DIAS</t>
  </si>
  <si>
    <t>Pró-rata</t>
  </si>
  <si>
    <t>VALOR ATUAL</t>
  </si>
  <si>
    <t>ANO</t>
  </si>
  <si>
    <t>MÊS</t>
  </si>
  <si>
    <t>ÍNDICE %</t>
  </si>
  <si>
    <t>%</t>
  </si>
  <si>
    <t>AGO</t>
  </si>
  <si>
    <t>SET</t>
  </si>
  <si>
    <t>OUT</t>
  </si>
  <si>
    <t>NOV</t>
  </si>
  <si>
    <t>DEZ</t>
  </si>
  <si>
    <t>JAN</t>
  </si>
  <si>
    <t>FEV</t>
  </si>
  <si>
    <t>MAR</t>
  </si>
  <si>
    <t>ABR</t>
  </si>
  <si>
    <t>MAI</t>
  </si>
  <si>
    <t>JUN</t>
  </si>
  <si>
    <t>JUL</t>
  </si>
  <si>
    <t>INDICE ACUMULADO</t>
  </si>
  <si>
    <t>Depreciação 10% ao Ano</t>
  </si>
  <si>
    <t xml:space="preserve">RELAÇÃO DE EPI SERVENTE </t>
  </si>
  <si>
    <t>Bota Segurança Material: PVC - Cloreto de Polivinila, Material Sola: Antiderrapante, Cor: Preta, Tipo Cano: Longo, Características Adicionais: Com Forro, Palmilha e Biqueira de Aço</t>
  </si>
  <si>
    <t>RELAÇÃO DE EPI ZELADOR</t>
  </si>
  <si>
    <t>Total de EPI - Zelador</t>
  </si>
  <si>
    <t>Total de EPI - Servente</t>
  </si>
  <si>
    <t>EPI</t>
  </si>
  <si>
    <t>ANEXO X - CUSTO ESTIMATIVO DE MATERIAIS DE LIMPEZA</t>
  </si>
  <si>
    <t>ANEXO X - CUSTO ESTIMATIVO DE MATERIAIS DE LIMPEZA COPA</t>
  </si>
  <si>
    <t>ANEXO X - CUSTO ESTIMATIVO DE MATERIAIS DE LIMPEZA VEICULAR</t>
  </si>
  <si>
    <t>INSTRUÇÕES DE PREENCHIMENTO - ANEXO X - PLANILHAS DE COMPOSIÇÃO DE CUSTOS</t>
  </si>
  <si>
    <t>ANEXO X - PLANILHA DE CUSTO E FORMAÇÃO DE PREÇO MENSAL ESTIMATIVO - PLANILHA DE DADOS</t>
  </si>
  <si>
    <t>ANEXO X</t>
  </si>
  <si>
    <t>ANEXO X - CUSTO ESTIMATIVO DE PREÇOS DE EPI</t>
  </si>
  <si>
    <t>ANEXO X - CUSTO ESTIMATIVO DE PREÇOS DE EQUIPAMENTOS</t>
  </si>
  <si>
    <t>ANEXO X - CUSTO ESTIMATIVO DE PREÇOS DOS UNIFORMES</t>
  </si>
  <si>
    <t>ANEXO X - PLANILHA DE CUSTO E FORMAÇÃO DE PREÇO MENSAL ESTIMATIVO INTEGRAL - RESUMO</t>
  </si>
  <si>
    <t xml:space="preserve">ANEXO X - PLANILHA DE CUSTO E FORMAÇÃO DE PREÇO MENSAL ESTIMATIVO DO PROFISSIONAL SUBSTITUTO DO TITULAR EM FÉRIAS </t>
  </si>
  <si>
    <t>339037-01</t>
  </si>
  <si>
    <t xml:space="preserve">SALÁRIO MINÍMO NACIONAL </t>
  </si>
  <si>
    <t>Total da Depreciação de Máquinas e Equipamentos de Servente</t>
  </si>
  <si>
    <t>Touca</t>
  </si>
  <si>
    <t>Jaleco</t>
  </si>
  <si>
    <t>Acúmulo Copeira</t>
  </si>
  <si>
    <t>CÁLCULO VALOR DO REPASSE MENSAL ACÚMULO COPEIRA</t>
  </si>
  <si>
    <t>Branco</t>
  </si>
  <si>
    <t>Azul marinho</t>
  </si>
  <si>
    <t>Bege ou Creme</t>
  </si>
  <si>
    <t>Bege ou creme</t>
  </si>
  <si>
    <t>Material de Jardinagem</t>
  </si>
  <si>
    <t>Material de Limpeza de Veículo</t>
  </si>
  <si>
    <t xml:space="preserve"> - Incluir outros custos não previstos previamente, bem como descrevê-los, em caso de previsão legal, devendo ser apresentadas justificativas para a inserção. (Células "B42" e "G42").</t>
  </si>
  <si>
    <t xml:space="preserve"> - Atentar-se às observações adicionais dispostas na ABA "Especificações", ao final do quadro com o detalhamento dos uniformes.</t>
  </si>
  <si>
    <t>Subseção Judiciária de Uberaba</t>
  </si>
  <si>
    <t>Encarregado</t>
  </si>
  <si>
    <t>Azul turquesa com azul marinho</t>
  </si>
  <si>
    <t>Auxiliar Administrativo /Encarregado</t>
  </si>
  <si>
    <t>CÁLCULO VALOR DO REPASSE MENSAL AUXILIAR ADMINISTRATIVO/ENCARREGADO</t>
  </si>
  <si>
    <t>Acúmulo Jardineiro</t>
  </si>
  <si>
    <t>Chapéu</t>
  </si>
  <si>
    <t>CÁLCULO VALOR DO REPASSE MENSAL ACÚMULO JARDINEIRO</t>
  </si>
  <si>
    <t xml:space="preserve">DESCRIÇÃO DO MATERIAL DE LIMPEZA DE AUTOMÓVEIS
</t>
  </si>
  <si>
    <t>33390.37.01 - Serviços Administrativos</t>
  </si>
  <si>
    <t xml:space="preserve"> - Informar piso salarial de cada categoria, correspondente à jornada de 220h. (Células "E7":"E13").</t>
  </si>
  <si>
    <t xml:space="preserve"> - Informar o percentual de acúmulo de função a ser aplicado. (Célula "I9:I11").</t>
  </si>
  <si>
    <t xml:space="preserve"> - Informar o salário base para cálculo da atividade acumulada. (Célula "K9:K11").</t>
  </si>
  <si>
    <t xml:space="preserve"> - Informar os Dados da Apresentação da Proposta e relacionados à Convenção Coletiva de Trabalho. Tais informações não interferem na execução de cálculos, servem apenas para instruir o processo da análise da proposta. (Células "E16:E20").</t>
  </si>
  <si>
    <t xml:space="preserve"> - Informar o percentual correspondente ao RAT, conforme atividade principal da licitante. (Célula "G26").</t>
  </si>
  <si>
    <t xml:space="preserve"> - Informar o fator correspondente ao FAP, conforme extraído do relatório FapWeb. (Célula "G27").</t>
  </si>
  <si>
    <t xml:space="preserve"> - Informar o valor do salário mínimo nacional vigente (base de cálculo para a cotação de insalubridade). (Célula "G30").</t>
  </si>
  <si>
    <t xml:space="preserve"> - Informar o valor unitário do Seguro de Vida, nos casos exigidos, conforme legislação vigente. (Célula "G33").</t>
  </si>
  <si>
    <t xml:space="preserve"> - Informar o valor unitário do Programa de Assistência Familiar - PAF, nos casos exigidos, conforme legislação vigente. (Célula "G34").</t>
  </si>
  <si>
    <t xml:space="preserve"> - Informar o valor unitário da tarifa de transporte público vigente à data de apresentação da proposta, conforme legislação vigente. (Célula "G35").</t>
  </si>
  <si>
    <t xml:space="preserve"> - Informar o quantitativo unitário diário de tarifas de transporte público (ex.: 1 tarifa para ida e 1 tarifa para volta = Total de 2 tarifas). (Célula "G36").</t>
  </si>
  <si>
    <t xml:space="preserve"> - Informar o percentual de desconto à título de participação do trabalhador em relação ao fornecimento de vale transporte, nos casos exigidos, conforme legislação vigente. (Célula "G38").</t>
  </si>
  <si>
    <t xml:space="preserve"> - Informar o valor unitário do ticket de Vale Alimentação, nos casos exigidos, conforme legislação vigente. (Célula "G39").</t>
  </si>
  <si>
    <t xml:space="preserve"> - Informar o percentual de desconto à título de participação do trabalhador em relação ao fornecimento de Vale Alimentação, nos casos exigidos, conforme legislação vigente. (Célula "G41").</t>
  </si>
  <si>
    <t xml:space="preserve"> - Incluir outros custos não previstos previamente, bem como descrevê-los, em caso de previsão legal, devendo ser apresentadas justificativas para a inserção. (Células "B43" e "G43").</t>
  </si>
  <si>
    <t xml:space="preserve"> - Informar o percentual relativo às Despesas Administrativas da licitante. (Células "G46").</t>
  </si>
  <si>
    <t xml:space="preserve"> - Informar o percentual relativo ao Lucro da licitante. (Células "G47").</t>
  </si>
  <si>
    <t xml:space="preserve"> - Informar a opção tributária da licitante (Células "F53") conforme legislação vigente, OBSERVANDO as instruções contantes na Célula "B50".</t>
  </si>
  <si>
    <t xml:space="preserve"> - Informar o percentual da alíquota COFINS (Células "G54") conforme legislação vigente, OBSERVANDO as instruções contantes na Célula "B50".</t>
  </si>
  <si>
    <t xml:space="preserve"> - Informar o percentual da alíquota PIS/PASEP (Células "G55") conforme legislação vigente, OBSERVANDO as instruções contantes na Célula "B50".</t>
  </si>
  <si>
    <t xml:space="preserve"> - Informar o percentual da alíquota ISSQN (Células "G56") conforme legislação vigente, OBSERVANDO as instruções contantes na Célula "B50".</t>
  </si>
  <si>
    <t xml:space="preserve"> - Incluir outros impostos não inseridos previamente, bem como descrevê-los, em caso de previsão legal, devendo ser apresentadas justificativas para a inserção. (Células "B57" e "G57").</t>
  </si>
  <si>
    <t xml:space="preserve"> - Materiais de Limpeza (Células "G9:G60")</t>
  </si>
  <si>
    <t xml:space="preserve"> - Materiais de Copa (Células "G67:G73")</t>
  </si>
  <si>
    <t xml:space="preserve"> - Materiais de Limpeza Veicular (Células "G80:G85")</t>
  </si>
  <si>
    <t>SINTAPPI x SINSERHT</t>
  </si>
  <si>
    <t>MG002103/2024</t>
  </si>
  <si>
    <t>2024/2025</t>
  </si>
  <si>
    <t>01° de Abril</t>
  </si>
  <si>
    <t>Água sanitária galão de 5 litros, composição do produto: hipoclorito de sódio 2,5%, hidróxido de sódio e veículo.,teor de cloro ativo entre 2,0 e 2,5% p/p.</t>
  </si>
  <si>
    <t>Refil de álcool em gel 70% 800 ml para dispenser</t>
  </si>
  <si>
    <t>Álcool Líquido 1 Litro: Etilico Hidratado, para limpeza em geral, teor alcoolico 70 inpm. Aprovação Anvisa; Produto devera estar de acordo com legislacao vigente</t>
  </si>
  <si>
    <t>Azulim-Limpa cerâmicas e Azulejos; Embalagem com 1L.</t>
  </si>
  <si>
    <t>Balde plástico em polietileno de alta densidade, alta resistência a impacto, com paredes e fundo reforçados, com reforço no encaixe da alça de aço zincado constando no corpo a marcado fabricante, capacidade de 12 litros.</t>
  </si>
  <si>
    <t>Cesto para lixo de 100 litros - tipo balde, com tampa e pedal - confeccionado em material de polipropileno ou poliestireno resistente, atóxico, com tampa sobreposta, duas alças laterais, cesto em formato redondo.</t>
  </si>
  <si>
    <t>Cesto plástico para lixo com tampa e pedal - 20 lt. cesto para lixo, com tampa e pedal em polipropileno, formato cilíndrico, capacidade aproximada de 20 litros</t>
  </si>
  <si>
    <t>Desentupidor Vaso Sanitário Material: Borracha Flexível, Comprimento Cabo: 50 CM, Altura: 10 CM, Cor: Preta , Diâmetro: 16 CM, MaterialCabo: Madeira</t>
  </si>
  <si>
    <t>Desodorizador de ambiente com 360ml bom ar</t>
  </si>
  <si>
    <t>Desinfetante concentrado líquido. Aroma floral. Embalagem com 5 litros</t>
  </si>
  <si>
    <t>Detergente para piso porcelanato com 5 litros</t>
  </si>
  <si>
    <t>Disco Escova Nylon branco ou Verde para Disco de cor verde para enceradeira, limpador confeccionado em fibra sintética e mineral abrasivo; para enceradeira industrial; com diâmetro de 350mm</t>
  </si>
  <si>
    <t>Escova para lavar multiuso, oval, base plástica e cerdas de escova para lavar multiuso, oval, base plástica e cerdas de nylon.</t>
  </si>
  <si>
    <t>Escova Sanitária Redonda em plástico Branco contendo 01 escova para vaso sanitário e 01 suporte redondo: Branco Tamanho: 14 x 42 cm</t>
  </si>
  <si>
    <t>Espanador de pó de penas nº 25. Medidas: 25 cm de penas e 40 cm de cabo</t>
  </si>
  <si>
    <t>Fibra de limpeza de uso geral - pacote com 10 unidades</t>
  </si>
  <si>
    <t>Extensão elétrica 20 metros 3 tomada 20a cabo pp2x1,5mm reforçada, 2 cabos de som 10m para ligar as caixas xlr/p10, 2cabos xlr para microfones sem fio (especificações mínima)</t>
  </si>
  <si>
    <t>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t>
  </si>
  <si>
    <t>Funil, material plástico, uso doméstico, diâmetro nominal 120 mm, características adicionais branco, com pegador.</t>
  </si>
  <si>
    <t>Removedor de sujeiras para piso granilite com 5 litros</t>
  </si>
  <si>
    <t>Impermeabilizante/acabamento para piso porcelanato com 5 litros</t>
  </si>
  <si>
    <t>Impermeabilizante/acabamento para piso granilite com 5 litros</t>
  </si>
  <si>
    <t>Kit limpador de vidro: Rodo limpa vidros com cabo telescópico extensor de 06 (seis)metros. Extremidade composta por lavador de acrílico e limpador com lâmina de borracha de aproximadamente 35 cm. Utilizado para limpeza de vidros e vidraças.</t>
  </si>
  <si>
    <t>Limpa vidro 500ml (Veja ou similar)</t>
  </si>
  <si>
    <t>Limpa Pedras Pisos, lajota removedor de encardido pedra e cerâmica - Ácido Sulfônico - 5 litro concentrado com baixo odor e pH ácido sinergicamente balanceado para uma ação rápida e eficaz. Limpeza pesada, sem danificar, de sujidades como terra, fuligem, ferrugem, incrustações e encardidos em geral</t>
  </si>
  <si>
    <t>Lustra Móveis, Embalagem de 200 ml, Emulsão aquosa cremosa, perfumada, para aplicação em móveis e superfícies
lisas. aromas diversos. frasco plástico de 200ml com bico econômico. embalagem certificada pelo INMETRO contendo data de fabricação, validade.</t>
  </si>
  <si>
    <t>Luva Segurança Com Forro. Material: 100% Látex Nitrílico , Tamanho: M ou G ,Aplicação: Manuseio Reagente Químico E Radioativo , Características Adicionais: Com Forro, Sem Talco, Pulso Com Bainha , Modelo: Palma Antiderrapante, Cor: Verde, Tipo: Ambidestra</t>
  </si>
  <si>
    <t>Mangueira para jardim, com 50 metros de extensão, antitorção, com engate de torneira e esguicho</t>
  </si>
  <si>
    <t>Máscara descartável pff2 com válvula. Composição: Feltro</t>
  </si>
  <si>
    <t>Pá p/ lixo em plástico resistente c/ cabo de madeira de 60cm de altura na vertical.</t>
  </si>
  <si>
    <t>Papel higiênico branco, folha dupla, de alta qualidade, com dimensões 10cm X 30m, com a marca do fabricante e indicação na embalagem, absorvente e resistente, fardo com 64 rolos de 30 metros. Tipo Neve ou de melhor qualidade.</t>
  </si>
  <si>
    <t>Papel higiênico de alta qualidade . Material: fibras celulósicas, com dimensões 21,5cm x 11cm. Interfolhado. Folha dupla. Cor branca. Caixa com 8.000 folhas</t>
  </si>
  <si>
    <t>Papel Toalha Interfolhado, 2 dobras, 100% fibras celulósicas, branco extra luxo, sem pintas ou outros tipos de sujidades, boa qualidade , medindo aproximadamente 23cm x 23 cm , acondicionado em caixa c/1000 folhas.</t>
  </si>
  <si>
    <t>Pedra sanitária c/ 25g - com suporte para fixar no vaso sanitário. Desinfetante sanitário em pedra 25 g</t>
  </si>
  <si>
    <t>Pulverizador, multiuso, em plastico resistente, com bico de regulagem de spray, capacidade 500 ml.</t>
  </si>
  <si>
    <t>Rodo Plástico e borracha dupla expandida de 40cm de largura, acompanha cabo de madeira plastificado de aproximadamente 1,26m, com garras pontiagudas nas laterais para melhor fixar panos de chão</t>
  </si>
  <si>
    <t>Rodo Plástico e borracha dupla expandida de 60cm, resistente e durável, que puxa e seca a água, feita em EVA e cepo em polipropileno com garras pontiagudas nas laterais para melhor fixar panos de chão.</t>
  </si>
  <si>
    <t>Sabão em barra glicerinado - cor neutra. Pacote com 5 de 200g cada unidade.</t>
  </si>
  <si>
    <t>Sabão em Pó – Caixa de 0,8 a 1Kg. Sabão em pó, convencional, de primeira linha. Para lavar roupas e limpeza em geral.</t>
  </si>
  <si>
    <t>Sabão pastoso com 5 litros</t>
  </si>
  <si>
    <t>Sapólio em pó 300g</t>
  </si>
  <si>
    <t>Sabonete líquido Concentrado, cremoso perolizado, pronto pra uso, aroma erva-doce, lavanda ou similar, galão de 05 litros</t>
  </si>
  <si>
    <t>Saco de Algodão Tipo: Alvejado, Tamanho: 60 X 80 CM, Cor: Branco, Características Adicionais: Dupla Face</t>
  </si>
  <si>
    <t>Saco plástico reforçado para lixo em polietileno, com capacidade de 100 litros, com estanqueidade suficiente para que não haja vazamento de lixo líquido. com espessura mínima de 10 micra, na cor preta. Pacote com 100 unidades.</t>
  </si>
  <si>
    <t>Saco plástico reforçado para lixo em polietileno, com capacidade de 20 litros, com estanqueidade suficiente para que não haja vazamento de lixo líquido. com espessura mínima de 09 micra, na cor preta. Pacote com 100 unidades.</t>
  </si>
  <si>
    <t>Vassoura limpa teto, com cerdas macias de sisal e cabo de madeira de 2,70 metros. Ideal para uso na limpeza de locais de difícil acesso.</t>
  </si>
  <si>
    <t>Vassoura Material Cerdas: Pêlo Sintético, Comprimento Cepa: 60 CM, Tipo Cabo: Reforçado, Material Cabo: Madeira</t>
  </si>
  <si>
    <t>Vassoura Material Cerdas: Piaçava, Aplicação: Limpeza, Material Cepa: Madeira, Comprimento Cepa: 40 CM, Comprimento Cerdas: 13 CM, Largura Cepa: 5 CM, Altura Cepa: 4 CM, Material Cabo: Madeira</t>
  </si>
  <si>
    <t>Coador de Café. Especificação: Em pano 100% algodão, cor branca, dimensões de 20cm (diâmetro) x 30cm (profundidade), cabo 16 cm de comprimento feito de arame de aço galvanizado revestido com PVC. O rótulo do produto deve estampar o nome do fabricante.</t>
  </si>
  <si>
    <t>Desentupidor Pia Material: Borracha Flexível, Cor: Preta , Material Cabo: Plástico Resistente , Comprimento Cabo: 20 CM, Tipo: Sanfonado</t>
  </si>
  <si>
    <t>Detergente líquido para louça, neutro, embalagem de 500ml, com tampa Push Pool. Deverá conter glicerina e ser testado e aprovado por dermatologistas. Com fórmula biodegradável. Deve possuir registro na Anvisa/Ministério da Saúde, o qual deverá estar impresso no rótulo.</t>
  </si>
  <si>
    <t>Esponja Para Lavagem De Louças E Limpeza Em Geral, Dupla Face Sintética, Um Lado Em Espuma Poliuretano E Outro Em Fibra Sintética Abrasiva, Antibacteriana, Formato Retangular, Medindo Aproximadamente 110mm X 75mm X 20mm De Espessura. Pacote com 4 unidades.</t>
  </si>
  <si>
    <t>Esponja de LÃ DE AÇO, composição básica: aço carbono abrasivo, p/ limpeza em geral, acondicionada em embalagem plástica original do fabricante, peso líquido aproximado de 60g, pacote c/ 08 unidades</t>
  </si>
  <si>
    <t>Guardanapo de limpeza, em papel absorvente, folha simples, na cor branca, não gofrado, 4 dobras, dimensões mínimas 24cm x 22cm, 100% fibras naturais, embalado em pacote com 50 unidades, com dados do fabricante, data de fabricação e prazo de validade. Produto fabricado de acordo com as normas da ABNT/NBR. Do tipo Coquetel, Santepel, Snob ou de melhor qualidade</t>
  </si>
  <si>
    <t>Guardanapo de limpeza, em papel absorvente, folha simples, na cor branca, não gofrado, 4 dobras, dimensões mínimas 33 cm x 30 cm, 100% fibras naturais, embalado em pacote com 50 unidades, com dados do fabricante, data de fabricação e prazo de validade. Produto fabricado de acordo com as normas da ABNT/NBR. Do tipo Coquetel, Santepel, Snob ou de melhor qualidade</t>
  </si>
  <si>
    <t>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t>
  </si>
  <si>
    <t>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t>
  </si>
  <si>
    <t>Pano de copa aberto 100% dimensões mínimas 40x60cm</t>
  </si>
  <si>
    <t>LIMPA PNEU, aspecto físico líquido, composição glicerina, tensoativos, pigmentos, água, aplicação em superfícies emborrachadas e similares, frasco 500ml</t>
  </si>
  <si>
    <t>Toalha Mágica - Pano Limpeza Material: Microfibra. Aplicação: Uso Geral, Comprimento: 60 CM, Tipo: Toalha, Largura: 40 CM, Características Adicionais: Alto Grau Absorção.</t>
  </si>
  <si>
    <t>SHAMPOO AUTOMOTIVO - 5 LITROS Especificações Mínimas: tipo neutro; produto concentrado 1 x 40; composto de tensoativo aniônico, coadjuvante, conservante, corante e veículo; produto com validade de 12 (doze) meses. Produto com registro/notificação/isenção na ANVISA/MS.</t>
  </si>
  <si>
    <t>Silicone - Silicone Componentes: Glicerina+Água+Espessante+Essências , Apresentação: Gel , Cor: Branco, Finalidade: Proteção E Brilho De Superfícies De Plástico E Borracha , Aplicação: Superfícies De Plástico E Borracha.</t>
  </si>
  <si>
    <t>Mensal</t>
  </si>
  <si>
    <t>Cinto de sustentação para roçadeira</t>
  </si>
  <si>
    <t>Escada doméstica, material alumínio, número degraus 16, características adicionais pés antiderrapantes, trava de segurança, capacidade 120 kg, tipo dobrável.</t>
  </si>
  <si>
    <t>Furadeira 5/8, marca Bosch ou Makita</t>
  </si>
  <si>
    <t>Parafusadeira tipo: profissional , velocidade: reversível, rotação: mínima: 600 rpm, máxima: 1900 rpm, voltagem: 9,6 v, características adicionais: mandril de 1/2", controle de torque , componentes: com maleta, acessórios, bateria, carregador bivolt , tipo alimentação: bateria. Marca: Bosch ou similar</t>
  </si>
  <si>
    <t xml:space="preserve">	Jogo de brocas, com 10 peças</t>
  </si>
  <si>
    <t>Tesoura para corte de grama 48cm</t>
  </si>
  <si>
    <t>Cortador de grama do tipo roçadeira</t>
  </si>
  <si>
    <t>Enceradeira Industrial CL 350 Cleaner ou Similar. Sistema de regulagem do cabo com pedal. Dispositivo de segurança, através de alavanca de acionamento liga/desliga. Silenciosa. Regulagem de altura do cabo através de pedal. Sistema de redução com 2 engrenagens intermediárias.</t>
  </si>
  <si>
    <t>Foice com cabo - material: aço , comprimento lâmina: 40 cm, comprimento cabo: 1,50</t>
  </si>
  <si>
    <t xml:space="preserve">Luva Segurança em raspa de couro 5 dedos, reforçada, para proteção contra agentes abrasivos, escoriantes, em serviços de solda, carga e descarga, na indústria, construção civil e jardinagem. Tamanho: M ou G. (par) </t>
  </si>
  <si>
    <t>Podador de galhos elétrico 750w - 110v. marca vonder ou similar</t>
  </si>
  <si>
    <t>Pulverizador manual para veneno marca brudden ou similar. Capacidade: 5 litros</t>
  </si>
  <si>
    <t>Lima para amolar enxadas e facões com cabo - fabricação: aço, Tamanho: 8. 8mmx150mm, cabo injetado em polipropileno utilizado na afiação de enxadas e facões.</t>
  </si>
  <si>
    <t>Rastelo de plástico com cabo e mínimo 20 dentes - 120cm</t>
  </si>
  <si>
    <t>Aspirador de pó e de água, com potência mínima de 1200 W, tensão de alimentação: 127V, 220V (fornecimento conforme pedido) ou bivolt comutável, capacidade mínima de 10 Litros (água + pó), acompanha mangueira, tubos, bocal para piso, canto e estofados e adaptador, manual de instruções em português. Garantia mínima de 12Meses</t>
  </si>
  <si>
    <t>Suporte fixo de metal para mangueira até 50 metros</t>
  </si>
  <si>
    <t>Escada doméstica, material alumínio, número degraus 8, características adicionais pés antiderrapantes, trava de segurança, capacidade 120 kg, tipo dobrável.</t>
  </si>
  <si>
    <t>Lavadora de alta pressão Karcher k3 1500W 110v ou Similar. Alta potência de 1450W no mínimo. Pressão máxima no mínimo de 1800psi, sem desperdícios de água e energia. Proteção em caso de superaquecimento. Ajuste de jato regulável. Rodas e alça retrátil para transporte.</t>
  </si>
  <si>
    <t>Anual</t>
  </si>
  <si>
    <t>Galão</t>
  </si>
  <si>
    <t>Pct</t>
  </si>
  <si>
    <t>Par</t>
  </si>
  <si>
    <t>fardo com 64 rolos</t>
  </si>
  <si>
    <t>cx.</t>
  </si>
  <si>
    <t>pacote</t>
  </si>
  <si>
    <t>Santa Clara</t>
  </si>
  <si>
    <t>Audax</t>
  </si>
  <si>
    <t>Facilita</t>
  </si>
  <si>
    <t>Azulim</t>
  </si>
  <si>
    <t>Arqplast</t>
  </si>
  <si>
    <t>Canada</t>
  </si>
  <si>
    <t>Glade</t>
  </si>
  <si>
    <t>Mirax Floral Bouquet</t>
  </si>
  <si>
    <t>Cleaner</t>
  </si>
  <si>
    <t>Condor</t>
  </si>
  <si>
    <t>Limpamania</t>
  </si>
  <si>
    <t>Duster</t>
  </si>
  <si>
    <t xml:space="preserve">3m </t>
  </si>
  <si>
    <t>Daneva</t>
  </si>
  <si>
    <t>Intextil</t>
  </si>
  <si>
    <t>Plasútil</t>
  </si>
  <si>
    <t>Ecolab ou similar</t>
  </si>
  <si>
    <t>finish clear 300 ou similar</t>
  </si>
  <si>
    <t>Bralimpia</t>
  </si>
  <si>
    <t>Veja</t>
  </si>
  <si>
    <t>Pedrex</t>
  </si>
  <si>
    <t>Ypê</t>
  </si>
  <si>
    <t>Bettanin</t>
  </si>
  <si>
    <t>Tramontina</t>
  </si>
  <si>
    <t>Neve</t>
  </si>
  <si>
    <t xml:space="preserve">Melhoramentos </t>
  </si>
  <si>
    <t>Economy (Jofel) ou similar</t>
  </si>
  <si>
    <t>Harpic, Pato</t>
  </si>
  <si>
    <t>Brubalar</t>
  </si>
  <si>
    <t>Minuano</t>
  </si>
  <si>
    <t>Omo ou similar</t>
  </si>
  <si>
    <t>Bombril</t>
  </si>
  <si>
    <t>Nobre, Start, Ikebana</t>
  </si>
  <si>
    <t>Santa Margarida</t>
  </si>
  <si>
    <t>Polisac</t>
  </si>
  <si>
    <t>Altaplast</t>
  </si>
  <si>
    <t>Oliveira e Azevedo</t>
  </si>
  <si>
    <t>Noviça</t>
  </si>
  <si>
    <t>Stolf</t>
  </si>
  <si>
    <t>Limpol ou similar</t>
  </si>
  <si>
    <t>Scotch-Brite</t>
  </si>
  <si>
    <t>Santepel</t>
  </si>
  <si>
    <t>Start</t>
  </si>
  <si>
    <t xml:space="preserve">	
Veja</t>
  </si>
  <si>
    <t>Karsten</t>
  </si>
  <si>
    <t>Tecbril</t>
  </si>
  <si>
    <t>Detailer</t>
  </si>
  <si>
    <t xml:space="preserve">	
Detersid</t>
  </si>
  <si>
    <t>3M</t>
  </si>
  <si>
    <t>Sapato Social
Feminino: Sapatilha Feminina material sintético; sola antiderrapante, confeccionado em couro na cor Preto, palmilha em EVA recoberta com tecido antimicrobiano. Tamanho: Sob Medida
Masculino: modelo social de couro, tipo esporte fino masculino, cabedal em couro natural, com cadarço, palmilha almofadada acolchoado, contraforte, solado em borracha, costurado e colado, sistema anti-impacto para o joelho e antiderrapante.
COR: Preta</t>
  </si>
  <si>
    <t>Camisa Social
Feminino: modelo social, confeccionada em tricoline com elastano, sendo 3% elastano e no mínimo 40% algodão, tecido não transparente. Modelo Gola: Tipo colarinho, com pé de gola, entretelado, pespontada, com um botão para fechamento. Manga curta.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sem pence. Traseira: 2 pences. Aviamento e botões na mesma cor do tecido. Etiqueta de composição e instrução de lavagem conforme determinação do INMETRO.
Masculino: modelo social, confeccionada em tecido tricoline 60% poliéster e 40% algodão. Modelo Gola: Tipo colarinho, com pé de gola, entretelado, pespontada, com um botão para fechamento. Manga curta. Um bolso frontal, bainha simples modelo de bico à altura do peito, lado esquerdo, reforços, botão reserva na vista interna; fralda: recortada na direção das costuras laterais e toda embainhada. Frente: Dupla, coberta com o próprio tecido da mesma cor em toda extensão, fechável por botões. Aviamento e botões na mesma cor do tecido. Etiqueta de composição e instrução de lavagem conforme determinação do INMETRO.
COR: Branca</t>
  </si>
  <si>
    <t>Modelo em brim, confeccionado preferencialmente em 100% algodão. Gola modelo italiana. fechamento em botão. Frente com 3 (três) bolsos, sendo um na altura do peito e dois na altura da cintura. Botões e aviamentos na cor do tecido. Logotipo da empresa bordado.COR: Preta</t>
  </si>
  <si>
    <t>Material: brim leve misto 67% Algodão / 33% Poliéster; Modelo: Unissex; Quantidade Bolsos: 2 Laterais E 2 Traseiros; Tipo Cós: Com Elástico E Pala; Modelo: unissex; características adicionais: com elástico e cordão na cintura, sem fecho, tamanhos PP, P, M, G, GG e EX. COR: Azul-marinho</t>
  </si>
  <si>
    <t>Modelo unissex, confeccionado em Malha PV, com gramatura de 180g/m² ou superior, em tecido sem transparência, com manga curta, sem punho. Gola redonda e barra reta. Logotipo da empresa em silk screen.</t>
  </si>
  <si>
    <t>Sapato de Segurança Material: Eva (Etil Vinil Acetado) , Material Sola: Antiderrapante</t>
  </si>
  <si>
    <t>Avental Pvc - Em tecido sintético (pvc forrado) revestido de pvc na face externa, medindo aproximadamente 1205mm x 665mm, proteção do usuário contra respingos de água e contra respingos de produtos químicos, sem manga, sem gola; fechamento através de tiras no mesmo material do avental, soldadas eletronicamente ou por ilhoses para ajuste cintura/pescoço.COR: Preta</t>
  </si>
  <si>
    <t>Botina segurança - Material: Couro, Material Sola: Borracha, Modelo: Com Elástico nas Laterais, Características Adicionais: Biqueira Em Polipropileno, Tamanho: Sob Medida</t>
  </si>
  <si>
    <t xml:space="preserve">Material: brim leve misto 67% Algodão / 33% Poliéster; Modelo: Unissex; Quantidade Bolsos: 2 Laterais E 2 Traseiros; Tipo Cós: Com Elástico E Pala; Modelo: unissex; características adicionais: com elástico e cordão na cintura, sem fecho, tamanhos PP, P, M, G, GG e EX. </t>
  </si>
  <si>
    <t>Calça SocialFeminino: Modelo social, confeccionada em tecido Gabardine com elastano (lado interno acetinado), 95% poliéster, 5% elastano, 1ª qualidade ou confeccionada em tecido plano encorpado 74% Poliéster, 20% Viscose, 6% Elastano. Modelo: Sem pregas, com cós alto. Frente: fechável por zíper comum de nylon fino trava automática, com 01(um) botão no cós na cor do tecido para fechamento, e gancho metálico interno. Cós no próprio tecido entretelado com 6 passadores. Traseira: 2 (dois) pences. Barra: Máquina reta. Aviamento e botões na mesma cor do tecido. Etiqueta de composição e identificação do tecido, forro, confecção, tamanho da peça e instruções de lavagem, conforme determinação do INMETRO.
Masculino: Modelo social, confeccionada em Microfibra 100% poliéster maquinetada, sem pregas, 2 bolsos na frente tipo faca, 2 bolsos traseiros sendo um bolso do lado direito e um do lado esquerdo, embutidos sem portinhola, cerzidos, 1 pinchal em cada, fechamento por caseado e 1 botão. Ziper de nylon 18 cm trava automática; Cós no próprio tecido entretelado, fechável por gancho metálico e 1 botão na extensão, com 8 passantes de 1 cm; forro de bolso: 50% poliéster e 50% algodão na cor do tecido. Aviamento e botões na mesma cor do tecido. Etiqueta de composição e identificação do tecido, forro, confecção, tamanho da peça e instruções de lavagem, conforme determinação do INMETRO.
COR: Preta</t>
  </si>
  <si>
    <t>Chapéu australiano com proteção Material: 100% poliéster Tipo australiano com proteção de pescoço Tamanho único para adulto</t>
  </si>
  <si>
    <t>Avental de cozinheiro - 1,20 x 0,60 m (Tecido Oxford). Cor: Preta , Características Adicionais: 2 Bolsos Dianteiros , Tamanho: Longo.</t>
  </si>
  <si>
    <t>Touca Copeira em tecido tule com lycra com aba 
COR: Branca</t>
  </si>
  <si>
    <t>Zelador com acúmulo Lavador de Carros</t>
  </si>
  <si>
    <t>Servente acúmulo função Copeira</t>
  </si>
  <si>
    <t>Servente acúmulo função Jardineiro</t>
  </si>
  <si>
    <t>Zelador acúmulo função Lavador de Carro</t>
  </si>
  <si>
    <t>Servente de Limpeza (40% Insalubridade)</t>
  </si>
  <si>
    <t>Total da Depreciação de Máquinas e Equipamentos de Zelador acúmulo de Lavador de Carro</t>
  </si>
  <si>
    <t>RELAÇÃO DE MÁQUINAS E EQUIPAMENTOS SERVENTE ACÚMULO JARDINEIRO</t>
  </si>
  <si>
    <t>Total da Depreciação de Máquinas e Equipamentos de Servente acúmulo de Jardineiro</t>
  </si>
  <si>
    <t>RELAÇÃO DE MÁQUINAS E EQUIPAMENTOS DE TODAS AS SERVENTES</t>
  </si>
  <si>
    <t>Total da Depreciação de Máquinas e Equipamentos de Servente e Zelador com acúmulo de Lavador de Carro</t>
  </si>
  <si>
    <t>RELAÇÃO DE MÁQUINAS E EQUIPAMENTOS ZELADOR ACÚMULO DE LAVADOR DE CARRO</t>
  </si>
  <si>
    <t>RELAÇÃO DE MÁQUINAS E EQUIPAMENTOS SERVENTE/ZELADOR COM ACÚMULO DE LAVADOR DE CARRO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</si>
</sst>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_-;_-@_-"/>
    <numFmt numFmtId="165" formatCode="_-&quot;R$ &quot;* #,##0.00_-;&quot;-R$ &quot;* #,##0.00_-;_-&quot;R$ &quot;* \-??_-;_-@_-"/>
    <numFmt numFmtId="166" formatCode="#,##0_ ;\-#,##0\ "/>
    <numFmt numFmtId="167" formatCode="d/m/yyyy"/>
    <numFmt numFmtId="168" formatCode="0.0000"/>
    <numFmt numFmtId="169" formatCode="* #,##0.00\ ;* \(#,##0.00\);* \-#\ ;@\ "/>
    <numFmt numFmtId="170" formatCode="#,##0.00_ ;\-#,##0.00\ "/>
    <numFmt numFmtId="171" formatCode="00"/>
  </numFmts>
  <fonts count="52" x14ac:knownFonts="1">
    <font>
      <sz val="11"/>
      <color rgb="FF000000"/>
      <name val="Calibri"/>
      <family val="2"/>
      <charset val="1"/>
    </font>
    <font>
      <sz val="11"/>
      <name val="Calibri"/>
      <family val="2"/>
      <charset val="1"/>
    </font>
    <font>
      <sz val="10"/>
      <color rgb="FF333333"/>
      <name val="Calibri"/>
      <family val="2"/>
      <charset val="1"/>
    </font>
    <font>
      <b/>
      <sz val="18"/>
      <name val="Calibri"/>
      <family val="2"/>
      <charset val="1"/>
    </font>
    <font>
      <b/>
      <sz val="16"/>
      <name val="Calibri"/>
      <family val="2"/>
      <charset val="1"/>
    </font>
    <font>
      <b/>
      <sz val="11"/>
      <name val="Calibri"/>
      <family val="2"/>
      <charset val="1"/>
    </font>
    <font>
      <sz val="12"/>
      <name val="Calibri"/>
      <family val="2"/>
      <charset val="1"/>
    </font>
    <font>
      <b/>
      <sz val="10"/>
      <name val="Calibri"/>
      <family val="2"/>
      <charset val="1"/>
    </font>
    <font>
      <b/>
      <sz val="10"/>
      <color rgb="FFFF0000"/>
      <name val="Calibri"/>
      <family val="2"/>
      <charset val="1"/>
    </font>
    <font>
      <sz val="10"/>
      <name val="Calibri"/>
      <family val="2"/>
      <charset val="1"/>
    </font>
    <font>
      <sz val="9"/>
      <name val="Calibri"/>
      <family val="2"/>
      <charset val="1"/>
    </font>
    <font>
      <sz val="10"/>
      <color rgb="FFFF0000"/>
      <name val="Calibri"/>
      <family val="2"/>
      <charset val="1"/>
    </font>
    <font>
      <sz val="11"/>
      <color rgb="FF808080"/>
      <name val="Calibri"/>
      <family val="2"/>
      <charset val="1"/>
    </font>
    <font>
      <b/>
      <i/>
      <u/>
      <sz val="11"/>
      <name val="Calibri"/>
      <family val="2"/>
      <charset val="1"/>
    </font>
    <font>
      <sz val="11"/>
      <color rgb="FFFF0000"/>
      <name val="Calibri"/>
      <family val="2"/>
      <charset val="1"/>
    </font>
    <font>
      <b/>
      <u/>
      <sz val="10"/>
      <name val="Calibri"/>
      <family val="2"/>
      <charset val="1"/>
    </font>
    <font>
      <sz val="8"/>
      <name val="Calibri"/>
      <family val="2"/>
      <charset val="1"/>
    </font>
    <font>
      <b/>
      <sz val="12"/>
      <name val="Calibri"/>
      <family val="2"/>
      <charset val="1"/>
    </font>
    <font>
      <sz val="10"/>
      <color rgb="FFFFFFFF"/>
      <name val="Calibri"/>
      <family val="2"/>
      <charset val="1"/>
    </font>
    <font>
      <b/>
      <sz val="14"/>
      <name val="Calibri"/>
      <family val="2"/>
      <charset val="1"/>
    </font>
    <font>
      <b/>
      <sz val="11"/>
      <color rgb="FF000000"/>
      <name val="Calibri"/>
      <family val="2"/>
      <charset val="1"/>
    </font>
    <font>
      <b/>
      <sz val="11"/>
      <color rgb="FFFF0000"/>
      <name val="Calibri"/>
      <family val="2"/>
      <charset val="1"/>
    </font>
    <font>
      <b/>
      <sz val="12"/>
      <color rgb="FF333333"/>
      <name val="Calibri"/>
      <family val="2"/>
      <charset val="1"/>
    </font>
    <font>
      <b/>
      <sz val="11"/>
      <color rgb="FF333333"/>
      <name val="Calibri"/>
      <family val="2"/>
      <charset val="1"/>
    </font>
    <font>
      <b/>
      <sz val="9"/>
      <color rgb="FF333333"/>
      <name val="Calibri"/>
      <family val="2"/>
      <charset val="1"/>
    </font>
    <font>
      <b/>
      <sz val="9"/>
      <name val="Calibri"/>
      <family val="2"/>
      <charset val="1"/>
    </font>
    <font>
      <sz val="10"/>
      <color rgb="FF000000"/>
      <name val="Calibri"/>
      <family val="2"/>
      <charset val="1"/>
    </font>
    <font>
      <b/>
      <sz val="10"/>
      <color rgb="FF000000"/>
      <name val="Calibri"/>
      <family val="2"/>
      <charset val="1"/>
    </font>
    <font>
      <b/>
      <sz val="8"/>
      <name val="Calibri"/>
      <family val="2"/>
      <charset val="1"/>
    </font>
    <font>
      <b/>
      <sz val="9"/>
      <color rgb="FFFF0000"/>
      <name val="Calibri"/>
      <family val="2"/>
      <charset val="1"/>
    </font>
    <font>
      <b/>
      <sz val="6"/>
      <name val="Calibri"/>
      <family val="2"/>
      <charset val="1"/>
    </font>
    <font>
      <b/>
      <sz val="12"/>
      <color rgb="FFBFBFBF"/>
      <name val="Calibri"/>
      <family val="2"/>
      <charset val="1"/>
    </font>
    <font>
      <b/>
      <sz val="10"/>
      <color rgb="FFC00000"/>
      <name val="Calibri"/>
      <family val="2"/>
      <charset val="1"/>
    </font>
    <font>
      <sz val="10"/>
      <color rgb="FFC00000"/>
      <name val="Calibri"/>
      <family val="2"/>
      <charset val="1"/>
    </font>
    <font>
      <b/>
      <sz val="12"/>
      <name val="Times New Roman"/>
      <family val="1"/>
      <charset val="1"/>
    </font>
    <font>
      <b/>
      <sz val="28"/>
      <name val="Calibri"/>
      <family val="2"/>
      <charset val="1"/>
    </font>
    <font>
      <b/>
      <sz val="12"/>
      <color rgb="FFCCFFCC"/>
      <name val="Calibri"/>
      <family val="2"/>
      <charset val="1"/>
    </font>
    <font>
      <sz val="10"/>
      <name val="Times New Roman"/>
      <family val="1"/>
      <charset val="1"/>
    </font>
    <font>
      <sz val="14"/>
      <name val="Calibri"/>
      <family val="2"/>
      <charset val="1"/>
    </font>
    <font>
      <b/>
      <sz val="12.5"/>
      <name val="Calibri"/>
      <family val="2"/>
      <charset val="1"/>
    </font>
    <font>
      <b/>
      <sz val="12"/>
      <color rgb="FF000000"/>
      <name val="Calibri"/>
      <family val="2"/>
      <charset val="1"/>
    </font>
    <font>
      <b/>
      <sz val="9"/>
      <color rgb="FF000000"/>
      <name val="Calibri"/>
      <family val="2"/>
      <charset val="1"/>
    </font>
    <font>
      <b/>
      <sz val="10"/>
      <color rgb="FFFFFFFF"/>
      <name val="Calibri"/>
      <family val="2"/>
      <charset val="1"/>
    </font>
    <font>
      <b/>
      <sz val="8"/>
      <color rgb="FFFF0000"/>
      <name val="Calibri"/>
      <family val="2"/>
      <charset val="1"/>
    </font>
    <font>
      <sz val="11"/>
      <color rgb="FF000000"/>
      <name val="Calibri"/>
      <family val="2"/>
      <charset val="1"/>
    </font>
    <font>
      <sz val="11"/>
      <name val="Calibri"/>
      <family val="2"/>
    </font>
    <font>
      <sz val="10"/>
      <name val="Calibri"/>
      <family val="2"/>
      <scheme val="minor"/>
    </font>
    <font>
      <sz val="10"/>
      <color rgb="FF000000"/>
      <name val="Calibri"/>
      <family val="2"/>
      <scheme val="minor"/>
    </font>
    <font>
      <b/>
      <sz val="12"/>
      <name val="Calibri"/>
      <family val="2"/>
    </font>
    <font>
      <b/>
      <sz val="11"/>
      <color rgb="FF000000"/>
      <name val="Calibri"/>
      <family val="2"/>
    </font>
    <font>
      <b/>
      <sz val="20"/>
      <name val="Calibri"/>
      <family val="2"/>
    </font>
    <font>
      <b/>
      <sz val="20"/>
      <name val="Calibri"/>
      <family val="2"/>
      <charset val="1"/>
    </font>
  </fonts>
  <fills count="25">
    <fill>
      <patternFill patternType="none"/>
    </fill>
    <fill>
      <patternFill patternType="gray125"/>
    </fill>
    <fill>
      <patternFill patternType="solid">
        <fgColor rgb="FFFFFF99"/>
        <bgColor rgb="FFFFFFCC"/>
      </patternFill>
    </fill>
    <fill>
      <patternFill patternType="solid">
        <fgColor rgb="FFF8CBAD"/>
        <bgColor rgb="FFFFC7CE"/>
      </patternFill>
    </fill>
    <fill>
      <patternFill patternType="solid">
        <fgColor rgb="FFFFFFCC"/>
        <bgColor rgb="FFFFF2CC"/>
      </patternFill>
    </fill>
    <fill>
      <patternFill patternType="solid">
        <fgColor rgb="FFDCE6F2"/>
        <bgColor rgb="FFDEEBF7"/>
      </patternFill>
    </fill>
    <fill>
      <patternFill patternType="solid">
        <fgColor rgb="FFF2DCDB"/>
        <bgColor rgb="FFD9D9D9"/>
      </patternFill>
    </fill>
    <fill>
      <patternFill patternType="solid">
        <fgColor rgb="FF606060"/>
        <bgColor rgb="FF808080"/>
      </patternFill>
    </fill>
    <fill>
      <patternFill patternType="solid">
        <fgColor rgb="FFFFFFFF"/>
        <bgColor rgb="FFF2F2F2"/>
      </patternFill>
    </fill>
    <fill>
      <patternFill patternType="solid">
        <fgColor rgb="FFFFD966"/>
        <bgColor rgb="FFF8CBAD"/>
      </patternFill>
    </fill>
    <fill>
      <patternFill patternType="solid">
        <fgColor rgb="FFF2F2F2"/>
        <bgColor rgb="FFDEEBF7"/>
      </patternFill>
    </fill>
    <fill>
      <patternFill patternType="solid">
        <fgColor rgb="FF3366CC"/>
        <bgColor rgb="FF0066CC"/>
      </patternFill>
    </fill>
    <fill>
      <patternFill patternType="solid">
        <fgColor rgb="FFD9D9D9"/>
        <bgColor rgb="FFDCE6F2"/>
      </patternFill>
    </fill>
    <fill>
      <patternFill patternType="solid">
        <fgColor rgb="FFDEEBF7"/>
        <bgColor rgb="FFDCE6F2"/>
      </patternFill>
    </fill>
    <fill>
      <patternFill patternType="solid">
        <fgColor rgb="FF10243E"/>
        <bgColor rgb="FF333333"/>
      </patternFill>
    </fill>
    <fill>
      <patternFill patternType="solid">
        <fgColor rgb="FFBDD7EE"/>
        <bgColor rgb="FFD9D9D9"/>
      </patternFill>
    </fill>
    <fill>
      <patternFill patternType="solid">
        <fgColor rgb="FFC0C0C0"/>
        <bgColor rgb="FFBFBFBF"/>
      </patternFill>
    </fill>
    <fill>
      <patternFill patternType="solid">
        <fgColor rgb="FFFFF2CC"/>
        <bgColor rgb="FFFFFFCC"/>
      </patternFill>
    </fill>
    <fill>
      <patternFill patternType="solid">
        <fgColor rgb="FFADB9CA"/>
        <bgColor rgb="FFBFBFBF"/>
      </patternFill>
    </fill>
    <fill>
      <patternFill patternType="solid">
        <fgColor rgb="FF00B0F0"/>
        <bgColor rgb="FF33CCCC"/>
      </patternFill>
    </fill>
    <fill>
      <patternFill patternType="solid">
        <fgColor rgb="FF808080"/>
        <bgColor rgb="FF606060"/>
      </patternFill>
    </fill>
    <fill>
      <patternFill patternType="solid">
        <fgColor theme="0" tint="-0.14999847407452621"/>
        <bgColor indexed="64"/>
      </patternFill>
    </fill>
    <fill>
      <patternFill patternType="solid">
        <fgColor theme="1" tint="0.34998626667073579"/>
        <bgColor rgb="FFFFFFCC"/>
      </patternFill>
    </fill>
    <fill>
      <patternFill patternType="solid">
        <fgColor theme="1" tint="0.34998626667073579"/>
        <bgColor indexed="64"/>
      </patternFill>
    </fill>
    <fill>
      <patternFill patternType="solid">
        <fgColor theme="0"/>
        <bgColor rgb="FFFFFFCC"/>
      </patternFill>
    </fill>
  </fills>
  <borders count="7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medium">
        <color auto="1"/>
      </bottom>
      <diagonal/>
    </border>
  </borders>
  <cellStyleXfs count="5">
    <xf numFmtId="0" fontId="0" fillId="0" borderId="0"/>
    <xf numFmtId="164" fontId="44" fillId="0" borderId="0" applyBorder="0" applyProtection="0"/>
    <xf numFmtId="165" fontId="44" fillId="0" borderId="0" applyBorder="0" applyProtection="0"/>
    <xf numFmtId="9" fontId="44" fillId="0" borderId="0" applyBorder="0" applyProtection="0"/>
    <xf numFmtId="169" fontId="37" fillId="0" borderId="0" applyBorder="0" applyProtection="0"/>
  </cellStyleXfs>
  <cellXfs count="76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xf numFmtId="0" fontId="2" fillId="0" borderId="2" xfId="0" applyFont="1" applyBorder="1" applyAlignment="1">
      <alignment horizontal="left" vertical="center"/>
    </xf>
    <xf numFmtId="0" fontId="3" fillId="0" borderId="0" xfId="0" applyFont="1" applyAlignment="1">
      <alignment vertical="center"/>
    </xf>
    <xf numFmtId="0" fontId="1" fillId="0" borderId="3" xfId="0" applyFont="1" applyBorder="1" applyAlignment="1">
      <alignment vertical="top"/>
    </xf>
    <xf numFmtId="0" fontId="2" fillId="0" borderId="0" xfId="0" applyFont="1" applyAlignment="1">
      <alignment horizontal="left" vertical="center"/>
    </xf>
    <xf numFmtId="0" fontId="3"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xf>
    <xf numFmtId="0" fontId="2" fillId="0" borderId="0" xfId="0" applyFont="1" applyAlignment="1">
      <alignment horizontal="left" vertical="top"/>
    </xf>
    <xf numFmtId="0" fontId="5" fillId="2" borderId="4" xfId="0" applyFont="1" applyFill="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 fillId="0" borderId="4"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1" fontId="9" fillId="0" borderId="17" xfId="0" applyNumberFormat="1" applyFont="1" applyBorder="1" applyAlignment="1">
      <alignment horizontal="center" vertical="center"/>
    </xf>
    <xf numFmtId="0" fontId="9" fillId="0" borderId="4" xfId="0" applyFont="1" applyBorder="1" applyAlignment="1">
      <alignment vertical="center" wrapText="1"/>
    </xf>
    <xf numFmtId="1" fontId="9" fillId="0" borderId="4" xfId="0" applyNumberFormat="1" applyFont="1" applyBorder="1" applyAlignment="1">
      <alignment horizontal="center" vertical="center"/>
    </xf>
    <xf numFmtId="0" fontId="11" fillId="6" borderId="18"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2" fontId="11" fillId="6" borderId="17" xfId="0" applyNumberFormat="1" applyFont="1" applyFill="1" applyBorder="1" applyAlignment="1" applyProtection="1">
      <alignment horizontal="center" vertical="center"/>
      <protection locked="0"/>
    </xf>
    <xf numFmtId="2" fontId="9" fillId="0" borderId="19" xfId="0" applyNumberFormat="1" applyFont="1" applyBorder="1" applyAlignment="1">
      <alignment horizontal="center" vertical="center"/>
    </xf>
    <xf numFmtId="0" fontId="11" fillId="6" borderId="20" xfId="0" applyFont="1" applyFill="1" applyBorder="1" applyAlignment="1" applyProtection="1">
      <alignment horizontal="center" vertical="center"/>
      <protection locked="0"/>
    </xf>
    <xf numFmtId="164" fontId="12" fillId="7" borderId="20" xfId="0" applyNumberFormat="1" applyFont="1" applyFill="1" applyBorder="1" applyAlignment="1">
      <alignment horizontal="center" vertical="center"/>
    </xf>
    <xf numFmtId="164" fontId="9" fillId="0" borderId="21" xfId="0" applyNumberFormat="1" applyFont="1" applyBorder="1" applyAlignment="1">
      <alignment horizontal="center" vertical="center"/>
    </xf>
    <xf numFmtId="164" fontId="12" fillId="7" borderId="4" xfId="0" applyNumberFormat="1" applyFont="1" applyFill="1" applyBorder="1" applyAlignment="1">
      <alignment horizontal="center" vertical="center"/>
    </xf>
    <xf numFmtId="165" fontId="9" fillId="0" borderId="4" xfId="0" applyNumberFormat="1" applyFont="1" applyBorder="1" applyAlignment="1">
      <alignment horizontal="center" vertical="center"/>
    </xf>
    <xf numFmtId="0" fontId="9" fillId="0" borderId="19" xfId="0" applyFont="1" applyBorder="1" applyAlignment="1">
      <alignment vertical="center"/>
    </xf>
    <xf numFmtId="0" fontId="9" fillId="0" borderId="4" xfId="0" applyFont="1" applyBorder="1" applyAlignment="1">
      <alignment horizontal="center" vertical="center"/>
    </xf>
    <xf numFmtId="165" fontId="9" fillId="0" borderId="4" xfId="2" applyFont="1" applyBorder="1" applyAlignment="1" applyProtection="1">
      <alignment horizontal="center" vertical="center"/>
    </xf>
    <xf numFmtId="165" fontId="9" fillId="0" borderId="19" xfId="2" applyFont="1" applyBorder="1" applyAlignment="1" applyProtection="1">
      <alignment horizontal="center" vertical="center"/>
    </xf>
    <xf numFmtId="0" fontId="9" fillId="0" borderId="21" xfId="0" applyFont="1" applyBorder="1" applyAlignment="1">
      <alignment horizontal="center" vertical="center"/>
    </xf>
    <xf numFmtId="1" fontId="9" fillId="0" borderId="22" xfId="0" applyNumberFormat="1" applyFont="1" applyBorder="1" applyAlignment="1">
      <alignment horizontal="center" vertical="center"/>
    </xf>
    <xf numFmtId="1" fontId="9" fillId="0" borderId="23" xfId="0" applyNumberFormat="1" applyFont="1" applyBorder="1" applyAlignment="1">
      <alignment horizontal="center" vertical="center"/>
    </xf>
    <xf numFmtId="0" fontId="11" fillId="6" borderId="23"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2" fontId="11" fillId="6" borderId="22" xfId="0" applyNumberFormat="1" applyFont="1" applyFill="1" applyBorder="1" applyAlignment="1" applyProtection="1">
      <alignment horizontal="center" vertical="center"/>
      <protection locked="0"/>
    </xf>
    <xf numFmtId="2" fontId="9" fillId="0" borderId="25" xfId="0" applyNumberFormat="1" applyFont="1" applyBorder="1" applyAlignment="1">
      <alignment horizontal="center" vertical="center"/>
    </xf>
    <xf numFmtId="0" fontId="11" fillId="6" borderId="26" xfId="0" applyFont="1" applyFill="1" applyBorder="1" applyAlignment="1" applyProtection="1">
      <alignment horizontal="center" vertical="center"/>
      <protection locked="0"/>
    </xf>
    <xf numFmtId="0" fontId="7" fillId="5" borderId="27" xfId="0" applyFont="1" applyFill="1" applyBorder="1" applyAlignment="1">
      <alignment horizontal="center" vertical="center" wrapText="1"/>
    </xf>
    <xf numFmtId="4" fontId="7" fillId="5" borderId="2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2" xfId="0" applyFont="1" applyFill="1" applyBorder="1" applyAlignment="1">
      <alignment vertical="center" wrapText="1"/>
    </xf>
    <xf numFmtId="0" fontId="9" fillId="0" borderId="0" xfId="0" applyFont="1" applyAlignment="1">
      <alignment vertical="center"/>
    </xf>
    <xf numFmtId="0" fontId="13"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left" vertical="center" wrapText="1"/>
    </xf>
    <xf numFmtId="0" fontId="7" fillId="5" borderId="4" xfId="0" applyFont="1" applyFill="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pplyProtection="1">
      <alignment horizontal="center" vertical="center"/>
      <protection locked="0"/>
    </xf>
    <xf numFmtId="2" fontId="9" fillId="0" borderId="4" xfId="0" applyNumberFormat="1" applyFont="1" applyBorder="1" applyAlignment="1" applyProtection="1">
      <alignment horizontal="center" vertical="center"/>
      <protection locked="0"/>
    </xf>
    <xf numFmtId="165" fontId="1" fillId="0" borderId="0" xfId="2" applyFont="1" applyBorder="1" applyAlignment="1" applyProtection="1">
      <alignment horizontal="left" vertical="center"/>
    </xf>
    <xf numFmtId="0" fontId="7" fillId="0" borderId="0" xfId="0" applyFont="1" applyAlignment="1">
      <alignment horizontal="center" vertical="center" wrapText="1"/>
    </xf>
    <xf numFmtId="0" fontId="9" fillId="0" borderId="0" xfId="0" applyFont="1"/>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0" borderId="12" xfId="0" applyFont="1" applyBorder="1" applyAlignment="1">
      <alignment horizontal="center" vertical="center" wrapText="1"/>
    </xf>
    <xf numFmtId="0" fontId="11" fillId="6" borderId="12" xfId="0" applyFont="1" applyFill="1" applyBorder="1" applyAlignment="1" applyProtection="1">
      <alignment horizontal="center" vertical="center"/>
      <protection locked="0"/>
    </xf>
    <xf numFmtId="0" fontId="9" fillId="0" borderId="14" xfId="0" applyFont="1" applyBorder="1" applyAlignment="1">
      <alignment vertical="center"/>
    </xf>
    <xf numFmtId="0" fontId="10" fillId="0" borderId="11" xfId="0" applyFont="1" applyBorder="1" applyAlignment="1">
      <alignment horizontal="center" vertical="center" wrapText="1"/>
    </xf>
    <xf numFmtId="166" fontId="9" fillId="0" borderId="12"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1" fontId="2" fillId="0" borderId="17" xfId="0" applyNumberFormat="1" applyFont="1" applyBorder="1" applyAlignment="1">
      <alignment horizontal="center" vertical="center" wrapText="1"/>
    </xf>
    <xf numFmtId="0" fontId="9" fillId="0" borderId="4" xfId="0" applyFont="1" applyBorder="1" applyAlignment="1">
      <alignment horizontal="center" vertical="center" wrapText="1"/>
    </xf>
    <xf numFmtId="1" fontId="2" fillId="8" borderId="17" xfId="0" applyNumberFormat="1" applyFont="1" applyFill="1" applyBorder="1" applyAlignment="1">
      <alignment horizontal="center" vertical="center" wrapText="1"/>
    </xf>
    <xf numFmtId="0" fontId="9" fillId="0" borderId="25" xfId="0" applyFont="1" applyBorder="1" applyAlignment="1">
      <alignment horizontal="center" vertical="center"/>
    </xf>
    <xf numFmtId="165" fontId="7" fillId="5" borderId="14" xfId="2" applyFont="1" applyFill="1" applyBorder="1" applyAlignment="1" applyProtection="1">
      <alignment horizontal="center" vertical="center" wrapText="1"/>
    </xf>
    <xf numFmtId="10" fontId="7" fillId="5" borderId="21" xfId="0" applyNumberFormat="1" applyFont="1" applyFill="1" applyBorder="1" applyAlignment="1">
      <alignment horizontal="center" vertical="center" wrapText="1"/>
    </xf>
    <xf numFmtId="165" fontId="7" fillId="5" borderId="19" xfId="2" applyFont="1" applyFill="1" applyBorder="1" applyAlignment="1" applyProtection="1">
      <alignment horizontal="center" vertical="center" wrapText="1"/>
    </xf>
    <xf numFmtId="165" fontId="7" fillId="5" borderId="25" xfId="2" applyFont="1" applyFill="1" applyBorder="1" applyAlignment="1" applyProtection="1">
      <alignment horizontal="center" vertical="center" wrapText="1"/>
    </xf>
    <xf numFmtId="1" fontId="9" fillId="0" borderId="17"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65" fontId="7" fillId="5" borderId="34" xfId="2" applyFont="1" applyFill="1" applyBorder="1" applyAlignment="1" applyProtection="1">
      <alignment horizontal="center" vertical="center" wrapText="1"/>
    </xf>
    <xf numFmtId="0" fontId="7" fillId="5" borderId="17" xfId="0" applyFont="1" applyFill="1" applyBorder="1" applyAlignment="1">
      <alignment horizontal="center" vertical="center" wrapText="1"/>
    </xf>
    <xf numFmtId="0" fontId="1" fillId="0" borderId="4" xfId="0" applyFont="1" applyBorder="1"/>
    <xf numFmtId="3" fontId="1" fillId="0" borderId="18" xfId="0" applyNumberFormat="1"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left"/>
    </xf>
    <xf numFmtId="0" fontId="9" fillId="0" borderId="0" xfId="0" applyFont="1" applyAlignment="1">
      <alignment horizontal="left"/>
    </xf>
    <xf numFmtId="0" fontId="16" fillId="0" borderId="1" xfId="0" applyFont="1" applyBorder="1"/>
    <xf numFmtId="0" fontId="2" fillId="0" borderId="2" xfId="0" applyFont="1" applyBorder="1" applyAlignment="1">
      <alignment vertical="center"/>
    </xf>
    <xf numFmtId="0" fontId="16" fillId="0" borderId="3" xfId="0" applyFont="1" applyBorder="1"/>
    <xf numFmtId="0" fontId="2"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horizontal="left"/>
    </xf>
    <xf numFmtId="0" fontId="9" fillId="2" borderId="9" xfId="0" applyFont="1" applyFill="1" applyBorder="1" applyAlignment="1">
      <alignment horizontal="left"/>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xf>
    <xf numFmtId="0" fontId="9" fillId="2" borderId="0" xfId="0" applyFont="1" applyFill="1"/>
    <xf numFmtId="0" fontId="7" fillId="0" borderId="0" xfId="0" applyFont="1"/>
    <xf numFmtId="0" fontId="9" fillId="9" borderId="0" xfId="0" applyFont="1" applyFill="1" applyAlignment="1">
      <alignment vertical="center"/>
    </xf>
    <xf numFmtId="0" fontId="9" fillId="10" borderId="0" xfId="0" applyFont="1" applyFill="1"/>
    <xf numFmtId="0" fontId="18" fillId="11" borderId="0" xfId="0" applyFont="1" applyFill="1"/>
    <xf numFmtId="0" fontId="9" fillId="10" borderId="0" xfId="0" applyFont="1" applyFill="1" applyAlignment="1">
      <alignment vertical="center"/>
    </xf>
    <xf numFmtId="0" fontId="9" fillId="8" borderId="0" xfId="0" applyFont="1" applyFill="1" applyAlignment="1">
      <alignment vertical="center"/>
    </xf>
    <xf numFmtId="0" fontId="2" fillId="0" borderId="0" xfId="0" applyFont="1"/>
    <xf numFmtId="0" fontId="9" fillId="0" borderId="0" xfId="0" applyFont="1" applyAlignment="1">
      <alignment horizontal="center"/>
    </xf>
    <xf numFmtId="0" fontId="19" fillId="0" borderId="0" xfId="0" applyFont="1" applyAlignment="1">
      <alignment horizontal="left" vertical="center"/>
    </xf>
    <xf numFmtId="0" fontId="1" fillId="0" borderId="0" xfId="0" applyFont="1" applyAlignment="1">
      <alignment vertical="center"/>
    </xf>
    <xf numFmtId="167" fontId="5" fillId="0" borderId="0" xfId="0" applyNumberFormat="1" applyFont="1" applyAlignment="1">
      <alignment horizontal="left" vertical="center"/>
    </xf>
    <xf numFmtId="0" fontId="5" fillId="0" borderId="0" xfId="0" applyFont="1" applyAlignment="1">
      <alignment vertical="center" wrapText="1"/>
    </xf>
    <xf numFmtId="0" fontId="9" fillId="12"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168" fontId="6" fillId="0" borderId="0" xfId="0" applyNumberFormat="1" applyFont="1" applyAlignment="1">
      <alignment vertical="center"/>
    </xf>
    <xf numFmtId="0" fontId="5" fillId="0" borderId="4" xfId="0" applyFont="1" applyBorder="1" applyAlignment="1">
      <alignment horizontal="center"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wrapText="1"/>
    </xf>
    <xf numFmtId="4" fontId="1" fillId="2" borderId="4" xfId="1" applyNumberFormat="1" applyFont="1" applyFill="1" applyBorder="1" applyAlignment="1" applyProtection="1">
      <alignment horizontal="center" vertical="center"/>
      <protection locked="0"/>
    </xf>
    <xf numFmtId="4" fontId="1" fillId="0" borderId="4" xfId="1" applyNumberFormat="1" applyFont="1" applyBorder="1" applyAlignment="1" applyProtection="1">
      <alignment horizontal="center" vertical="center"/>
    </xf>
    <xf numFmtId="10" fontId="1" fillId="0" borderId="4" xfId="3" applyNumberFormat="1" applyFont="1" applyBorder="1" applyAlignment="1" applyProtection="1">
      <alignment horizontal="center" vertical="center"/>
    </xf>
    <xf numFmtId="4" fontId="5" fillId="0" borderId="4" xfId="1" applyNumberFormat="1" applyFont="1" applyBorder="1" applyAlignment="1" applyProtection="1">
      <alignment horizontal="center" vertical="center"/>
    </xf>
    <xf numFmtId="3" fontId="1" fillId="0" borderId="4" xfId="0" applyNumberFormat="1" applyFont="1" applyBorder="1" applyAlignment="1">
      <alignment horizontal="center" vertical="center"/>
    </xf>
    <xf numFmtId="164" fontId="12" fillId="7" borderId="4" xfId="1" applyFont="1" applyFill="1" applyBorder="1" applyAlignment="1" applyProtection="1">
      <alignment horizontal="center" vertical="center"/>
    </xf>
    <xf numFmtId="10" fontId="1" fillId="2" borderId="4" xfId="3" applyNumberFormat="1" applyFont="1" applyFill="1" applyBorder="1" applyAlignment="1" applyProtection="1">
      <alignment horizontal="center" vertical="center"/>
      <protection locked="0"/>
    </xf>
    <xf numFmtId="2" fontId="1" fillId="0" borderId="4" xfId="3" applyNumberFormat="1" applyFont="1" applyBorder="1" applyAlignment="1" applyProtection="1">
      <alignment horizontal="center" vertical="center"/>
    </xf>
    <xf numFmtId="4" fontId="1" fillId="0" borderId="4" xfId="0" applyNumberFormat="1"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horizontal="center" vertical="center"/>
    </xf>
    <xf numFmtId="4" fontId="5" fillId="0" borderId="12" xfId="1" applyNumberFormat="1" applyFont="1" applyBorder="1" applyAlignment="1" applyProtection="1">
      <alignment horizontal="center" vertical="center"/>
    </xf>
    <xf numFmtId="0" fontId="5" fillId="12"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44" xfId="0" applyFont="1" applyBorder="1" applyAlignment="1">
      <alignment vertical="center"/>
    </xf>
    <xf numFmtId="10" fontId="5" fillId="0" borderId="4" xfId="3" applyNumberFormat="1" applyFont="1" applyBorder="1" applyAlignment="1" applyProtection="1">
      <alignment horizontal="center" vertical="center"/>
    </xf>
    <xf numFmtId="2" fontId="1" fillId="2" borderId="4" xfId="0" applyNumberFormat="1" applyFont="1" applyFill="1" applyBorder="1" applyAlignment="1" applyProtection="1">
      <alignment horizontal="center" vertical="center"/>
      <protection locked="0"/>
    </xf>
    <xf numFmtId="0" fontId="1" fillId="0" borderId="18" xfId="0" applyFont="1" applyBorder="1" applyAlignment="1">
      <alignment vertical="center"/>
    </xf>
    <xf numFmtId="0" fontId="1" fillId="0" borderId="45" xfId="0" applyFont="1" applyBorder="1" applyAlignment="1">
      <alignment vertical="center"/>
    </xf>
    <xf numFmtId="164" fontId="1" fillId="0" borderId="21" xfId="1" applyFont="1" applyBorder="1" applyAlignment="1" applyProtection="1">
      <alignment vertical="center"/>
    </xf>
    <xf numFmtId="0" fontId="1" fillId="2" borderId="4" xfId="0" applyFont="1" applyFill="1" applyBorder="1" applyAlignment="1" applyProtection="1">
      <alignment horizontal="center" vertical="center"/>
      <protection locked="0"/>
    </xf>
    <xf numFmtId="0" fontId="1" fillId="0" borderId="44" xfId="0" applyFont="1" applyBorder="1" applyAlignment="1">
      <alignment horizontal="center" vertical="center"/>
    </xf>
    <xf numFmtId="2" fontId="1" fillId="2" borderId="4" xfId="0" applyNumberFormat="1" applyFont="1" applyFill="1" applyBorder="1" applyAlignment="1" applyProtection="1">
      <alignment horizontal="center" vertical="center" wrapText="1"/>
      <protection locked="0"/>
    </xf>
    <xf numFmtId="4" fontId="20" fillId="0" borderId="4" xfId="0" applyNumberFormat="1" applyFont="1" applyBorder="1" applyAlignment="1">
      <alignment horizontal="center" vertical="center"/>
    </xf>
    <xf numFmtId="10" fontId="1" fillId="2" borderId="4" xfId="0"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64" fontId="1" fillId="0" borderId="0" xfId="1" applyFont="1" applyBorder="1" applyProtection="1"/>
    <xf numFmtId="10"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2" fontId="1" fillId="0" borderId="4" xfId="0" applyNumberFormat="1" applyFont="1" applyBorder="1" applyAlignment="1">
      <alignment horizontal="center" vertical="center"/>
    </xf>
    <xf numFmtId="0" fontId="1" fillId="0" borderId="0" xfId="0" applyFont="1" applyAlignment="1">
      <alignment horizontal="left"/>
    </xf>
    <xf numFmtId="0" fontId="21" fillId="12" borderId="4" xfId="0" applyFont="1" applyFill="1" applyBorder="1" applyAlignment="1">
      <alignment horizontal="center" vertical="center" wrapText="1"/>
    </xf>
    <xf numFmtId="0" fontId="1" fillId="0" borderId="33" xfId="0" applyFont="1" applyBorder="1"/>
    <xf numFmtId="0" fontId="1" fillId="0" borderId="12" xfId="0" applyFont="1" applyBorder="1"/>
    <xf numFmtId="0" fontId="2" fillId="0" borderId="1" xfId="0" applyFont="1" applyBorder="1"/>
    <xf numFmtId="0" fontId="2" fillId="0" borderId="47" xfId="0" applyFont="1" applyBorder="1" applyAlignment="1">
      <alignment vertical="center"/>
    </xf>
    <xf numFmtId="0" fontId="2" fillId="0" borderId="3" xfId="0" applyFont="1" applyBorder="1"/>
    <xf numFmtId="0" fontId="2" fillId="0" borderId="48" xfId="0" applyFont="1" applyBorder="1" applyAlignment="1">
      <alignment vertical="center"/>
    </xf>
    <xf numFmtId="0" fontId="10" fillId="0" borderId="3" xfId="0" applyFont="1" applyBorder="1"/>
    <xf numFmtId="0" fontId="23" fillId="0" borderId="17" xfId="0" applyFont="1" applyBorder="1" applyAlignment="1">
      <alignment horizontal="center"/>
    </xf>
    <xf numFmtId="0" fontId="23" fillId="0" borderId="4" xfId="0" applyFont="1" applyBorder="1" applyAlignment="1">
      <alignment horizontal="center"/>
    </xf>
    <xf numFmtId="0" fontId="23" fillId="0" borderId="19" xfId="0" applyFont="1" applyBorder="1" applyAlignment="1">
      <alignment horizontal="center"/>
    </xf>
    <xf numFmtId="0" fontId="24" fillId="12" borderId="17" xfId="0" applyFont="1" applyFill="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vertical="center"/>
    </xf>
    <xf numFmtId="10" fontId="10" fillId="2" borderId="19" xfId="0" applyNumberFormat="1" applyFont="1" applyFill="1" applyBorder="1" applyAlignment="1" applyProtection="1">
      <alignment horizontal="center" vertical="center"/>
      <protection locked="0"/>
    </xf>
    <xf numFmtId="10" fontId="10" fillId="0" borderId="19" xfId="0" applyNumberFormat="1" applyFont="1" applyBorder="1" applyAlignment="1">
      <alignment horizontal="center" vertical="center"/>
    </xf>
    <xf numFmtId="2" fontId="0" fillId="0" borderId="0" xfId="0" applyNumberFormat="1"/>
    <xf numFmtId="10" fontId="24" fillId="12" borderId="19" xfId="0" applyNumberFormat="1" applyFont="1" applyFill="1" applyBorder="1" applyAlignment="1">
      <alignment horizontal="center" vertical="center"/>
    </xf>
    <xf numFmtId="0" fontId="10" fillId="0" borderId="18" xfId="0" applyFont="1" applyBorder="1" applyAlignment="1">
      <alignment vertical="center"/>
    </xf>
    <xf numFmtId="10" fontId="18" fillId="14" borderId="19" xfId="3" applyNumberFormat="1" applyFont="1" applyFill="1" applyBorder="1" applyAlignment="1" applyProtection="1">
      <alignment horizontal="center" vertical="center"/>
    </xf>
    <xf numFmtId="10" fontId="25" fillId="0" borderId="19" xfId="0" applyNumberFormat="1" applyFont="1" applyBorder="1" applyAlignment="1">
      <alignment horizontal="center" vertical="center"/>
    </xf>
    <xf numFmtId="10" fontId="26" fillId="0" borderId="14" xfId="0" applyNumberFormat="1" applyFont="1" applyBorder="1" applyAlignment="1">
      <alignment horizontal="center" vertical="center"/>
    </xf>
    <xf numFmtId="10" fontId="27" fillId="0" borderId="19" xfId="0" applyNumberFormat="1" applyFont="1" applyBorder="1" applyAlignment="1">
      <alignment horizontal="center" vertical="center"/>
    </xf>
    <xf numFmtId="0" fontId="25" fillId="0" borderId="17" xfId="0" applyFont="1" applyBorder="1" applyAlignment="1">
      <alignment horizontal="center" vertical="center"/>
    </xf>
    <xf numFmtId="0" fontId="25" fillId="0" borderId="4" xfId="0" applyFont="1" applyBorder="1" applyAlignment="1">
      <alignment horizontal="left" vertical="center"/>
    </xf>
    <xf numFmtId="0" fontId="9" fillId="15" borderId="17"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8" fillId="15" borderId="19" xfId="0" applyFont="1" applyFill="1" applyBorder="1" applyAlignment="1">
      <alignment horizontal="center" vertical="center" wrapText="1"/>
    </xf>
    <xf numFmtId="10" fontId="9" fillId="15" borderId="4" xfId="0" applyNumberFormat="1" applyFont="1" applyFill="1" applyBorder="1" applyAlignment="1">
      <alignment horizontal="center" vertical="center" wrapText="1"/>
    </xf>
    <xf numFmtId="10" fontId="11" fillId="15" borderId="19" xfId="0" applyNumberFormat="1" applyFont="1" applyFill="1" applyBorder="1" applyAlignment="1">
      <alignment horizontal="center" vertical="center" wrapText="1"/>
    </xf>
    <xf numFmtId="0" fontId="10" fillId="0" borderId="17" xfId="0" applyFont="1" applyBorder="1" applyAlignment="1">
      <alignment horizontal="center" vertical="center" wrapText="1"/>
    </xf>
    <xf numFmtId="10" fontId="10" fillId="0" borderId="4" xfId="0" applyNumberFormat="1" applyFont="1" applyBorder="1" applyAlignment="1">
      <alignment horizontal="center" vertical="center" wrapText="1"/>
    </xf>
    <xf numFmtId="10" fontId="10" fillId="0" borderId="19" xfId="0" applyNumberFormat="1" applyFont="1" applyBorder="1" applyAlignment="1">
      <alignment horizontal="center" vertical="center" wrapText="1"/>
    </xf>
    <xf numFmtId="0" fontId="25" fillId="15" borderId="17" xfId="0" applyFont="1" applyFill="1" applyBorder="1" applyAlignment="1">
      <alignment horizontal="center" vertical="center" wrapText="1"/>
    </xf>
    <xf numFmtId="10" fontId="25" fillId="15" borderId="4" xfId="0" applyNumberFormat="1" applyFont="1" applyFill="1" applyBorder="1" applyAlignment="1">
      <alignment horizontal="center" vertical="center" wrapText="1"/>
    </xf>
    <xf numFmtId="10" fontId="25" fillId="15" borderId="19" xfId="0" applyNumberFormat="1" applyFont="1" applyFill="1" applyBorder="1" applyAlignment="1">
      <alignment horizontal="center" vertical="center" wrapText="1"/>
    </xf>
    <xf numFmtId="10" fontId="10" fillId="0" borderId="50" xfId="0" applyNumberFormat="1" applyFont="1" applyBorder="1" applyAlignment="1">
      <alignment horizontal="center" vertical="center" wrapText="1"/>
    </xf>
    <xf numFmtId="0" fontId="25" fillId="0" borderId="17" xfId="0" applyFont="1" applyBorder="1" applyAlignment="1">
      <alignment horizontal="center" vertical="center" wrapText="1"/>
    </xf>
    <xf numFmtId="10" fontId="25" fillId="0" borderId="4" xfId="0" applyNumberFormat="1" applyFont="1" applyBorder="1" applyAlignment="1">
      <alignment horizontal="center" vertical="center" wrapText="1"/>
    </xf>
    <xf numFmtId="10" fontId="29" fillId="0" borderId="50" xfId="0" applyNumberFormat="1" applyFont="1" applyBorder="1" applyAlignment="1">
      <alignment horizontal="center" vertical="center" wrapText="1"/>
    </xf>
    <xf numFmtId="0" fontId="18" fillId="14" borderId="3" xfId="0" applyFont="1" applyFill="1" applyBorder="1" applyAlignment="1">
      <alignment horizontal="left" vertical="center"/>
    </xf>
    <xf numFmtId="0" fontId="18" fillId="14" borderId="0" xfId="0" applyFont="1" applyFill="1"/>
    <xf numFmtId="0" fontId="18" fillId="14" borderId="48" xfId="0" applyFont="1" applyFill="1" applyBorder="1"/>
    <xf numFmtId="0" fontId="25" fillId="15" borderId="22" xfId="0" applyFont="1" applyFill="1" applyBorder="1" applyAlignment="1">
      <alignment horizontal="center" vertical="center" wrapText="1"/>
    </xf>
    <xf numFmtId="10" fontId="25" fillId="15" borderId="23" xfId="0" applyNumberFormat="1" applyFont="1" applyFill="1" applyBorder="1" applyAlignment="1">
      <alignment horizontal="center" vertical="center" wrapText="1"/>
    </xf>
    <xf numFmtId="10" fontId="29" fillId="15" borderId="25" xfId="0" applyNumberFormat="1" applyFont="1" applyFill="1" applyBorder="1" applyAlignment="1">
      <alignment horizontal="center" vertical="center" wrapText="1"/>
    </xf>
    <xf numFmtId="0" fontId="9" fillId="0" borderId="1" xfId="0" applyFont="1" applyBorder="1"/>
    <xf numFmtId="0" fontId="9" fillId="0" borderId="2" xfId="0" applyFont="1" applyBorder="1"/>
    <xf numFmtId="0" fontId="9" fillId="0" borderId="3" xfId="0" applyFont="1" applyBorder="1"/>
    <xf numFmtId="0" fontId="19" fillId="0" borderId="0" xfId="0" applyFont="1" applyAlignment="1">
      <alignment horizontal="center" vertical="center"/>
    </xf>
    <xf numFmtId="0" fontId="5" fillId="0" borderId="0" xfId="0" applyFont="1" applyAlignment="1">
      <alignment horizontal="center" vertical="center"/>
    </xf>
    <xf numFmtId="0" fontId="7" fillId="12" borderId="4"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2" fontId="9" fillId="2" borderId="4" xfId="0" applyNumberFormat="1" applyFont="1" applyFill="1" applyBorder="1" applyAlignment="1" applyProtection="1">
      <alignment horizontal="center" vertical="center"/>
      <protection locked="0"/>
    </xf>
    <xf numFmtId="4" fontId="9" fillId="0" borderId="4" xfId="0" applyNumberFormat="1" applyFont="1" applyBorder="1" applyAlignment="1">
      <alignment horizontal="center" vertical="center"/>
    </xf>
    <xf numFmtId="0" fontId="7" fillId="2" borderId="19" xfId="0" applyFont="1" applyFill="1" applyBorder="1" applyAlignment="1" applyProtection="1">
      <alignment horizontal="center" vertical="center" wrapText="1"/>
      <protection locked="0"/>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9" fillId="0" borderId="23" xfId="0" applyFont="1" applyBorder="1" applyAlignment="1">
      <alignment horizontal="center" vertical="center"/>
    </xf>
    <xf numFmtId="0" fontId="11" fillId="0" borderId="0" xfId="0" applyFont="1" applyAlignment="1">
      <alignment horizontal="center" vertical="center"/>
    </xf>
    <xf numFmtId="0" fontId="9" fillId="0" borderId="3" xfId="0" applyFont="1" applyBorder="1" applyAlignment="1">
      <alignment horizontal="center" vertical="center"/>
    </xf>
    <xf numFmtId="0" fontId="7" fillId="0" borderId="3" xfId="0" applyFont="1" applyBorder="1" applyAlignment="1">
      <alignment horizontal="center" vertical="center"/>
    </xf>
    <xf numFmtId="0" fontId="14" fillId="0" borderId="17" xfId="0" applyFont="1" applyBorder="1" applyAlignment="1">
      <alignment horizontal="center" vertical="center"/>
    </xf>
    <xf numFmtId="0" fontId="8" fillId="5" borderId="17" xfId="0" applyFont="1" applyFill="1" applyBorder="1" applyAlignment="1">
      <alignment horizontal="center" vertical="center" wrapText="1"/>
    </xf>
    <xf numFmtId="0" fontId="6" fillId="0" borderId="2" xfId="0" applyFont="1" applyBorder="1" applyAlignment="1">
      <alignment horizontal="center"/>
    </xf>
    <xf numFmtId="0" fontId="6" fillId="0" borderId="2" xfId="0" applyFont="1" applyBorder="1"/>
    <xf numFmtId="0" fontId="6" fillId="0" borderId="47" xfId="0" applyFont="1" applyBorder="1"/>
    <xf numFmtId="0" fontId="6" fillId="0" borderId="0" xfId="0" applyFont="1" applyAlignment="1">
      <alignment horizontal="center"/>
    </xf>
    <xf numFmtId="0" fontId="6" fillId="0" borderId="0" xfId="0" applyFont="1"/>
    <xf numFmtId="0" fontId="6" fillId="0" borderId="48" xfId="0" applyFont="1" applyBorder="1"/>
    <xf numFmtId="0" fontId="17" fillId="0" borderId="3" xfId="0" applyFont="1" applyBorder="1" applyAlignment="1">
      <alignment horizontal="center" vertical="center"/>
    </xf>
    <xf numFmtId="0" fontId="17" fillId="0" borderId="0" xfId="0" applyFont="1" applyAlignment="1">
      <alignment horizontal="center" vertical="center"/>
    </xf>
    <xf numFmtId="9" fontId="31" fillId="0" borderId="48" xfId="0" applyNumberFormat="1" applyFont="1" applyBorder="1" applyAlignment="1">
      <alignment horizontal="center" vertical="center"/>
    </xf>
    <xf numFmtId="0" fontId="7" fillId="12" borderId="17" xfId="0" applyFont="1" applyFill="1" applyBorder="1" applyAlignment="1">
      <alignment horizontal="center" vertical="center" wrapText="1"/>
    </xf>
    <xf numFmtId="4" fontId="7" fillId="12" borderId="4" xfId="0" applyNumberFormat="1" applyFont="1" applyFill="1" applyBorder="1" applyAlignment="1">
      <alignment horizontal="center" vertical="center" wrapText="1"/>
    </xf>
    <xf numFmtId="4" fontId="7" fillId="12" borderId="19" xfId="0" applyNumberFormat="1" applyFont="1" applyFill="1" applyBorder="1" applyAlignment="1">
      <alignment horizontal="center" vertical="center" wrapText="1"/>
    </xf>
    <xf numFmtId="0" fontId="7" fillId="0" borderId="17" xfId="1" applyNumberFormat="1" applyFont="1" applyBorder="1" applyAlignment="1" applyProtection="1">
      <alignment horizontal="center" vertical="center"/>
    </xf>
    <xf numFmtId="0" fontId="9" fillId="0" borderId="4" xfId="1" applyNumberFormat="1" applyFont="1" applyBorder="1" applyAlignment="1" applyProtection="1">
      <alignment horizontal="center" vertical="center"/>
    </xf>
    <xf numFmtId="4" fontId="9" fillId="2" borderId="4" xfId="1" applyNumberFormat="1" applyFont="1" applyFill="1" applyBorder="1" applyAlignment="1" applyProtection="1">
      <alignment horizontal="center" vertical="center"/>
      <protection locked="0"/>
    </xf>
    <xf numFmtId="4" fontId="9" fillId="0" borderId="4" xfId="1" applyNumberFormat="1" applyFont="1" applyBorder="1" applyAlignment="1" applyProtection="1">
      <alignment horizontal="center" vertical="center"/>
    </xf>
    <xf numFmtId="4" fontId="9" fillId="0" borderId="19" xfId="1" applyNumberFormat="1" applyFont="1" applyBorder="1" applyAlignment="1" applyProtection="1">
      <alignment horizontal="center" vertical="center"/>
    </xf>
    <xf numFmtId="4" fontId="9" fillId="2" borderId="4" xfId="1" applyNumberFormat="1" applyFont="1" applyFill="1" applyBorder="1" applyAlignment="1" applyProtection="1">
      <alignment horizontal="center" vertical="center" wrapText="1"/>
      <protection locked="0"/>
    </xf>
    <xf numFmtId="0" fontId="7" fillId="0" borderId="42" xfId="1" applyNumberFormat="1" applyFont="1" applyBorder="1" applyAlignment="1" applyProtection="1">
      <alignment horizontal="center" vertical="center"/>
    </xf>
    <xf numFmtId="4" fontId="9" fillId="2" borderId="52" xfId="1" applyNumberFormat="1" applyFont="1" applyFill="1" applyBorder="1" applyAlignment="1" applyProtection="1">
      <alignment horizontal="center" vertical="center" wrapText="1"/>
      <protection locked="0"/>
    </xf>
    <xf numFmtId="4" fontId="27" fillId="12" borderId="25" xfId="1" applyNumberFormat="1" applyFont="1" applyFill="1" applyBorder="1" applyAlignment="1" applyProtection="1">
      <alignment horizontal="center" vertical="center"/>
    </xf>
    <xf numFmtId="1" fontId="1" fillId="0" borderId="0" xfId="0" applyNumberFormat="1" applyFont="1" applyAlignment="1">
      <alignment horizontal="center"/>
    </xf>
    <xf numFmtId="2" fontId="1" fillId="0" borderId="0" xfId="0" applyNumberFormat="1" applyFont="1" applyAlignment="1">
      <alignment horizontal="center"/>
    </xf>
    <xf numFmtId="4" fontId="1" fillId="0" borderId="0" xfId="0" applyNumberFormat="1" applyFont="1" applyAlignment="1">
      <alignment horizontal="center"/>
    </xf>
    <xf numFmtId="0" fontId="0" fillId="0" borderId="0" xfId="0" applyAlignment="1">
      <alignment horizontal="center"/>
    </xf>
    <xf numFmtId="0" fontId="16" fillId="0" borderId="53" xfId="0" applyFont="1" applyBorder="1" applyAlignment="1">
      <alignment horizontal="left" vertical="center"/>
    </xf>
    <xf numFmtId="0" fontId="16" fillId="0" borderId="31" xfId="0" applyFont="1" applyBorder="1" applyAlignment="1">
      <alignment horizontal="left"/>
    </xf>
    <xf numFmtId="1" fontId="16" fillId="0" borderId="31" xfId="0" applyNumberFormat="1" applyFont="1" applyBorder="1" applyAlignment="1">
      <alignment horizontal="center"/>
    </xf>
    <xf numFmtId="0" fontId="16" fillId="0" borderId="31" xfId="0" applyFont="1" applyBorder="1"/>
    <xf numFmtId="0" fontId="1" fillId="0" borderId="31" xfId="0" applyFont="1" applyBorder="1"/>
    <xf numFmtId="1" fontId="1" fillId="0" borderId="31" xfId="0" applyNumberFormat="1" applyFont="1" applyBorder="1" applyAlignment="1">
      <alignment horizontal="center"/>
    </xf>
    <xf numFmtId="2" fontId="1" fillId="0" borderId="31" xfId="0" applyNumberFormat="1" applyFont="1" applyBorder="1" applyAlignment="1">
      <alignment horizontal="center"/>
    </xf>
    <xf numFmtId="4" fontId="1" fillId="0" borderId="54" xfId="0" applyNumberFormat="1" applyFont="1" applyBorder="1" applyAlignment="1">
      <alignment horizontal="center"/>
    </xf>
    <xf numFmtId="0" fontId="16" fillId="0" borderId="3" xfId="0" applyFont="1" applyBorder="1" applyAlignment="1">
      <alignment horizontal="left" vertical="center"/>
    </xf>
    <xf numFmtId="0" fontId="16" fillId="0" borderId="0" xfId="0" applyFont="1" applyAlignment="1">
      <alignment horizontal="left"/>
    </xf>
    <xf numFmtId="1" fontId="16" fillId="0" borderId="0" xfId="0" applyNumberFormat="1" applyFont="1" applyAlignment="1">
      <alignment horizontal="center"/>
    </xf>
    <xf numFmtId="0" fontId="16" fillId="0" borderId="0" xfId="0" applyFont="1"/>
    <xf numFmtId="4" fontId="1" fillId="0" borderId="48" xfId="0" applyNumberFormat="1" applyFont="1" applyBorder="1" applyAlignment="1">
      <alignment horizontal="center"/>
    </xf>
    <xf numFmtId="0" fontId="16" fillId="0" borderId="0" xfId="0" applyFont="1" applyAlignment="1">
      <alignment horizontal="left" vertical="center"/>
    </xf>
    <xf numFmtId="1" fontId="16" fillId="0" borderId="0" xfId="0" applyNumberFormat="1" applyFont="1" applyAlignment="1">
      <alignment horizontal="center" vertical="center"/>
    </xf>
    <xf numFmtId="0" fontId="16" fillId="0" borderId="0" xfId="0" applyFont="1" applyAlignment="1">
      <alignment vertical="center"/>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4" fontId="1" fillId="0" borderId="48" xfId="0" applyNumberFormat="1" applyFont="1" applyBorder="1" applyAlignment="1">
      <alignment horizontal="center" vertical="center"/>
    </xf>
    <xf numFmtId="0" fontId="1" fillId="0" borderId="39" xfId="0" applyFont="1" applyBorder="1" applyAlignment="1">
      <alignment horizontal="center" vertical="center"/>
    </xf>
    <xf numFmtId="0" fontId="1" fillId="0" borderId="55" xfId="0" applyFont="1" applyBorder="1" applyAlignment="1">
      <alignment horizontal="left" vertical="center"/>
    </xf>
    <xf numFmtId="1" fontId="1" fillId="0" borderId="55" xfId="0" applyNumberFormat="1" applyFont="1" applyBorder="1" applyAlignment="1">
      <alignment horizontal="center" vertical="center"/>
    </xf>
    <xf numFmtId="2" fontId="1" fillId="0" borderId="55" xfId="0" applyNumberFormat="1" applyFont="1" applyBorder="1" applyAlignment="1">
      <alignment horizontal="center" vertical="center"/>
    </xf>
    <xf numFmtId="4" fontId="1" fillId="0" borderId="50" xfId="0" applyNumberFormat="1" applyFont="1" applyBorder="1" applyAlignment="1">
      <alignment horizontal="center" vertical="center"/>
    </xf>
    <xf numFmtId="0" fontId="7" fillId="0" borderId="17" xfId="0" applyFont="1" applyBorder="1" applyAlignment="1">
      <alignment horizontal="center" vertical="center"/>
    </xf>
    <xf numFmtId="0" fontId="30" fillId="0" borderId="4" xfId="0" applyFont="1" applyBorder="1" applyAlignment="1">
      <alignment horizontal="center" vertical="center"/>
    </xf>
    <xf numFmtId="1" fontId="30" fillId="0" borderId="4" xfId="0" applyNumberFormat="1" applyFont="1" applyBorder="1" applyAlignment="1">
      <alignment horizontal="center" vertical="center"/>
    </xf>
    <xf numFmtId="0" fontId="7" fillId="0" borderId="4" xfId="0" applyFont="1" applyBorder="1" applyAlignment="1">
      <alignment horizontal="center" vertical="center"/>
    </xf>
    <xf numFmtId="2" fontId="7" fillId="0" borderId="43" xfId="0" applyNumberFormat="1" applyFont="1" applyBorder="1" applyAlignment="1">
      <alignment horizontal="center" vertical="center" wrapText="1"/>
    </xf>
    <xf numFmtId="4" fontId="7" fillId="0" borderId="19" xfId="0" applyNumberFormat="1" applyFont="1" applyBorder="1" applyAlignment="1">
      <alignment horizontal="center" vertical="center"/>
    </xf>
    <xf numFmtId="1" fontId="9" fillId="0" borderId="4" xfId="1" applyNumberFormat="1" applyFont="1" applyBorder="1" applyAlignment="1" applyProtection="1">
      <alignment horizontal="center" vertical="center"/>
    </xf>
    <xf numFmtId="1" fontId="9" fillId="0" borderId="18" xfId="1" applyNumberFormat="1" applyFont="1" applyBorder="1" applyAlignment="1" applyProtection="1">
      <alignment horizontal="center" vertical="center"/>
    </xf>
    <xf numFmtId="2" fontId="1" fillId="17" borderId="4" xfId="0" applyNumberFormat="1" applyFont="1" applyFill="1" applyBorder="1" applyAlignment="1" applyProtection="1">
      <alignment horizontal="center" vertical="center"/>
      <protection locked="0"/>
    </xf>
    <xf numFmtId="4" fontId="9" fillId="0" borderId="50" xfId="1" applyNumberFormat="1" applyFont="1" applyBorder="1" applyAlignment="1" applyProtection="1">
      <alignment horizontal="center" vertical="center"/>
    </xf>
    <xf numFmtId="0" fontId="33" fillId="0" borderId="4" xfId="0" applyFont="1" applyBorder="1" applyAlignment="1">
      <alignment horizontal="center" vertical="center"/>
    </xf>
    <xf numFmtId="0" fontId="9" fillId="0" borderId="17" xfId="0" applyFont="1" applyBorder="1" applyAlignment="1">
      <alignment horizontal="center" vertical="center" wrapText="1"/>
    </xf>
    <xf numFmtId="4" fontId="7" fillId="0" borderId="19" xfId="1" applyNumberFormat="1" applyFont="1" applyBorder="1" applyAlignment="1" applyProtection="1">
      <alignment horizontal="center" vertical="center"/>
    </xf>
    <xf numFmtId="2" fontId="17" fillId="12" borderId="57" xfId="0" applyNumberFormat="1" applyFont="1" applyFill="1" applyBorder="1" applyAlignment="1">
      <alignment horizontal="center" vertical="center"/>
    </xf>
    <xf numFmtId="4" fontId="34" fillId="12" borderId="29" xfId="1" applyNumberFormat="1" applyFont="1" applyFill="1" applyBorder="1" applyAlignment="1" applyProtection="1">
      <alignment horizontal="center" vertical="center"/>
    </xf>
    <xf numFmtId="0" fontId="9" fillId="0" borderId="3" xfId="0" applyFont="1" applyBorder="1" applyAlignment="1">
      <alignment horizontal="center" vertical="center" wrapText="1"/>
    </xf>
    <xf numFmtId="1" fontId="9" fillId="0" borderId="0" xfId="1" applyNumberFormat="1" applyFont="1" applyBorder="1" applyAlignment="1" applyProtection="1">
      <alignment horizontal="center" vertical="center"/>
    </xf>
    <xf numFmtId="0" fontId="9" fillId="0" borderId="0" xfId="0" applyFont="1" applyAlignment="1">
      <alignment vertical="center" wrapText="1"/>
    </xf>
    <xf numFmtId="2" fontId="9" fillId="0" borderId="0" xfId="1" applyNumberFormat="1" applyFont="1" applyBorder="1" applyAlignment="1" applyProtection="1">
      <alignment horizontal="center" vertical="center"/>
    </xf>
    <xf numFmtId="4" fontId="9" fillId="0" borderId="48" xfId="1" applyNumberFormat="1" applyFont="1" applyBorder="1" applyAlignment="1" applyProtection="1">
      <alignment horizontal="center" vertical="center"/>
    </xf>
    <xf numFmtId="0" fontId="32" fillId="5" borderId="43" xfId="0" applyFont="1" applyFill="1" applyBorder="1" applyAlignment="1">
      <alignment horizontal="center" vertical="center" wrapText="1"/>
    </xf>
    <xf numFmtId="0" fontId="7" fillId="5" borderId="43" xfId="0" applyFont="1" applyFill="1" applyBorder="1" applyAlignment="1">
      <alignment horizontal="center" vertical="center" wrapText="1"/>
    </xf>
    <xf numFmtId="1" fontId="35" fillId="0" borderId="17" xfId="0" applyNumberFormat="1" applyFont="1" applyBorder="1" applyAlignment="1">
      <alignment horizontal="center" vertical="center"/>
    </xf>
    <xf numFmtId="4" fontId="7" fillId="0" borderId="25" xfId="1" applyNumberFormat="1" applyFont="1" applyBorder="1" applyAlignment="1" applyProtection="1">
      <alignment horizontal="center" vertical="center"/>
    </xf>
    <xf numFmtId="0" fontId="17" fillId="0" borderId="0" xfId="0" applyFont="1" applyAlignment="1">
      <alignment horizontal="left" vertical="center"/>
    </xf>
    <xf numFmtId="1" fontId="17" fillId="0" borderId="0" xfId="0" applyNumberFormat="1" applyFont="1" applyAlignment="1">
      <alignment horizontal="center" vertical="center"/>
    </xf>
    <xf numFmtId="2" fontId="17" fillId="0" borderId="0" xfId="0" applyNumberFormat="1" applyFont="1" applyAlignment="1">
      <alignment horizontal="center" vertical="center"/>
    </xf>
    <xf numFmtId="4" fontId="17" fillId="0" borderId="48" xfId="1" applyNumberFormat="1" applyFont="1" applyBorder="1" applyAlignment="1" applyProtection="1">
      <alignment horizontal="center" vertical="center"/>
    </xf>
    <xf numFmtId="2" fontId="7" fillId="0" borderId="4" xfId="0" applyNumberFormat="1" applyFont="1" applyBorder="1" applyAlignment="1">
      <alignment horizontal="center" vertical="center" wrapText="1"/>
    </xf>
    <xf numFmtId="4" fontId="7" fillId="0" borderId="29" xfId="1" applyNumberFormat="1" applyFont="1" applyBorder="1" applyAlignment="1" applyProtection="1">
      <alignment horizontal="center" vertical="center"/>
    </xf>
    <xf numFmtId="0" fontId="36" fillId="0" borderId="3" xfId="0" applyFont="1" applyBorder="1" applyAlignment="1">
      <alignment horizontal="center" vertical="center"/>
    </xf>
    <xf numFmtId="0" fontId="36" fillId="0" borderId="0" xfId="0" applyFont="1" applyAlignment="1">
      <alignment horizontal="left" vertical="center"/>
    </xf>
    <xf numFmtId="1" fontId="36" fillId="0" borderId="0" xfId="0" applyNumberFormat="1" applyFont="1" applyAlignment="1">
      <alignment horizontal="center" vertical="center"/>
    </xf>
    <xf numFmtId="2" fontId="36" fillId="0" borderId="0" xfId="0" applyNumberFormat="1" applyFont="1" applyAlignment="1">
      <alignment horizontal="center" vertical="center"/>
    </xf>
    <xf numFmtId="4" fontId="36" fillId="0" borderId="48" xfId="1" applyNumberFormat="1" applyFont="1" applyBorder="1" applyAlignment="1" applyProtection="1">
      <alignment horizontal="center" vertical="center"/>
    </xf>
    <xf numFmtId="4" fontId="0" fillId="0" borderId="19" xfId="0" applyNumberFormat="1" applyBorder="1" applyAlignment="1">
      <alignment horizontal="center"/>
    </xf>
    <xf numFmtId="4" fontId="9" fillId="0" borderId="0" xfId="0" applyNumberFormat="1" applyFont="1" applyAlignment="1">
      <alignment horizontal="center"/>
    </xf>
    <xf numFmtId="0" fontId="2" fillId="0" borderId="1" xfId="0" applyFont="1" applyBorder="1" applyAlignment="1">
      <alignment vertical="center"/>
    </xf>
    <xf numFmtId="0" fontId="9" fillId="0" borderId="2" xfId="0" applyFont="1" applyBorder="1" applyAlignment="1">
      <alignment vertical="center"/>
    </xf>
    <xf numFmtId="4" fontId="9" fillId="0" borderId="2" xfId="0" applyNumberFormat="1" applyFont="1" applyBorder="1" applyAlignment="1">
      <alignment horizontal="center" vertical="center"/>
    </xf>
    <xf numFmtId="4" fontId="9" fillId="0" borderId="2" xfId="0" applyNumberFormat="1" applyFont="1" applyBorder="1" applyAlignment="1">
      <alignment horizontal="center"/>
    </xf>
    <xf numFmtId="4" fontId="9" fillId="0" borderId="47" xfId="0" applyNumberFormat="1" applyFont="1" applyBorder="1" applyAlignment="1">
      <alignment horizontal="center"/>
    </xf>
    <xf numFmtId="0" fontId="2" fillId="0" borderId="3" xfId="0" applyFont="1" applyBorder="1" applyAlignment="1">
      <alignment vertical="center"/>
    </xf>
    <xf numFmtId="4" fontId="9" fillId="0" borderId="0" xfId="0" applyNumberFormat="1" applyFont="1" applyAlignment="1">
      <alignment horizontal="center" vertical="center"/>
    </xf>
    <xf numFmtId="4" fontId="9" fillId="0" borderId="48" xfId="0" applyNumberFormat="1" applyFont="1" applyBorder="1" applyAlignment="1">
      <alignment horizontal="center"/>
    </xf>
    <xf numFmtId="0" fontId="10" fillId="0" borderId="0" xfId="0" applyFont="1"/>
    <xf numFmtId="2" fontId="9" fillId="0" borderId="4" xfId="1" applyNumberFormat="1" applyFont="1" applyBorder="1" applyAlignment="1" applyProtection="1">
      <alignment horizontal="center" vertical="center"/>
    </xf>
    <xf numFmtId="10" fontId="9" fillId="0" borderId="4" xfId="3" applyNumberFormat="1" applyFont="1" applyBorder="1" applyAlignment="1" applyProtection="1">
      <alignment horizontal="center" vertical="center"/>
    </xf>
    <xf numFmtId="2" fontId="9" fillId="0" borderId="43" xfId="1" applyNumberFormat="1" applyFont="1" applyBorder="1" applyAlignment="1" applyProtection="1">
      <alignment horizontal="center" vertical="center"/>
    </xf>
    <xf numFmtId="164" fontId="9" fillId="0" borderId="0" xfId="0" applyNumberFormat="1" applyFont="1"/>
    <xf numFmtId="165" fontId="7" fillId="13" borderId="25" xfId="2" applyFont="1" applyFill="1" applyBorder="1" applyAlignment="1" applyProtection="1">
      <alignment horizontal="center" vertical="center"/>
    </xf>
    <xf numFmtId="0" fontId="2" fillId="0" borderId="2" xfId="0" applyFont="1" applyBorder="1"/>
    <xf numFmtId="0" fontId="1" fillId="0" borderId="2" xfId="0" applyFont="1" applyBorder="1"/>
    <xf numFmtId="0" fontId="1" fillId="0" borderId="47" xfId="0" applyFont="1" applyBorder="1"/>
    <xf numFmtId="0" fontId="1" fillId="0" borderId="3" xfId="0" applyFont="1" applyBorder="1"/>
    <xf numFmtId="0" fontId="1" fillId="0" borderId="48" xfId="0" applyFont="1" applyBorder="1"/>
    <xf numFmtId="0" fontId="38" fillId="0" borderId="0" xfId="0" applyFont="1" applyAlignment="1">
      <alignment vertical="center"/>
    </xf>
    <xf numFmtId="0" fontId="6" fillId="12" borderId="62" xfId="0" applyFont="1" applyFill="1" applyBorder="1" applyAlignment="1">
      <alignment vertical="center"/>
    </xf>
    <xf numFmtId="0" fontId="39" fillId="12" borderId="63" xfId="0" applyFont="1" applyFill="1" applyBorder="1" applyAlignment="1">
      <alignment vertical="center" wrapText="1"/>
    </xf>
    <xf numFmtId="0" fontId="19" fillId="12" borderId="63" xfId="0" applyFont="1" applyFill="1" applyBorder="1" applyAlignment="1">
      <alignment vertical="center"/>
    </xf>
    <xf numFmtId="0" fontId="17" fillId="12" borderId="63" xfId="0" applyFont="1" applyFill="1" applyBorder="1" applyAlignment="1">
      <alignment vertical="center"/>
    </xf>
    <xf numFmtId="0" fontId="6" fillId="12" borderId="63" xfId="0" applyFont="1" applyFill="1" applyBorder="1" applyAlignment="1">
      <alignment vertical="center"/>
    </xf>
    <xf numFmtId="0" fontId="5" fillId="12" borderId="2" xfId="0" applyFont="1" applyFill="1" applyBorder="1" applyAlignment="1">
      <alignment horizontal="center" vertical="center" wrapText="1"/>
    </xf>
    <xf numFmtId="0" fontId="9" fillId="12" borderId="22"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9" fillId="12" borderId="22" xfId="0" applyFont="1" applyFill="1" applyBorder="1" applyAlignment="1">
      <alignment horizontal="center" vertical="center"/>
    </xf>
    <xf numFmtId="0" fontId="9" fillId="12" borderId="23" xfId="0" applyFont="1" applyFill="1" applyBorder="1" applyAlignment="1">
      <alignment horizontal="center" vertical="center" wrapText="1"/>
    </xf>
    <xf numFmtId="0" fontId="9" fillId="12" borderId="24" xfId="0" applyFont="1" applyFill="1" applyBorder="1" applyAlignment="1">
      <alignment horizontal="center" vertical="center" wrapText="1"/>
    </xf>
    <xf numFmtId="0" fontId="9" fillId="12" borderId="43" xfId="0" applyFont="1" applyFill="1" applyBorder="1" applyAlignment="1">
      <alignment horizontal="center" vertical="center" wrapText="1"/>
    </xf>
    <xf numFmtId="0" fontId="9" fillId="12" borderId="61" xfId="0" applyFont="1" applyFill="1" applyBorder="1" applyAlignment="1">
      <alignment horizontal="center" vertical="center" wrapText="1"/>
    </xf>
    <xf numFmtId="0" fontId="9" fillId="12" borderId="52" xfId="0" applyFont="1" applyFill="1" applyBorder="1" applyAlignment="1">
      <alignment horizontal="center" vertical="center" wrapText="1"/>
    </xf>
    <xf numFmtId="0" fontId="9" fillId="12" borderId="60" xfId="0" applyFont="1" applyFill="1" applyBorder="1" applyAlignment="1">
      <alignment horizontal="center" vertical="center" wrapText="1"/>
    </xf>
    <xf numFmtId="0" fontId="10" fillId="12" borderId="24"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1" fillId="0" borderId="12" xfId="0" applyFont="1" applyBorder="1" applyAlignment="1">
      <alignment vertical="center" wrapText="1"/>
    </xf>
    <xf numFmtId="1" fontId="1" fillId="0" borderId="12" xfId="0" applyNumberFormat="1" applyFont="1" applyBorder="1" applyAlignment="1">
      <alignment horizontal="center" vertical="center"/>
    </xf>
    <xf numFmtId="1" fontId="1" fillId="0" borderId="11"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1" fillId="0" borderId="32" xfId="0" applyNumberFormat="1" applyFont="1" applyBorder="1" applyAlignment="1">
      <alignment horizontal="center" vertical="center"/>
    </xf>
    <xf numFmtId="164" fontId="5" fillId="0" borderId="33" xfId="1" applyFont="1" applyBorder="1" applyAlignment="1" applyProtection="1">
      <alignment horizontal="center" vertical="center"/>
    </xf>
    <xf numFmtId="164" fontId="5" fillId="0" borderId="34" xfId="1" applyFont="1" applyBorder="1" applyAlignment="1" applyProtection="1">
      <alignment horizontal="center" vertical="center"/>
    </xf>
    <xf numFmtId="4" fontId="1" fillId="0" borderId="46" xfId="0" applyNumberFormat="1" applyFont="1" applyBorder="1" applyAlignment="1">
      <alignment horizontal="center" vertical="center"/>
    </xf>
    <xf numFmtId="4" fontId="1" fillId="0" borderId="16" xfId="0" applyNumberFormat="1" applyFont="1" applyBorder="1" applyAlignment="1">
      <alignment horizontal="center" vertical="center"/>
    </xf>
    <xf numFmtId="164" fontId="5" fillId="0" borderId="12" xfId="1" applyFont="1" applyBorder="1" applyAlignment="1" applyProtection="1">
      <alignment horizontal="center" vertical="center"/>
    </xf>
    <xf numFmtId="164" fontId="5" fillId="0" borderId="13" xfId="1" applyFont="1" applyBorder="1" applyAlignment="1" applyProtection="1">
      <alignment horizontal="center" vertical="center"/>
    </xf>
    <xf numFmtId="164" fontId="1" fillId="0" borderId="11" xfId="1" applyFont="1" applyBorder="1" applyAlignment="1" applyProtection="1">
      <alignment horizontal="center" vertical="center"/>
    </xf>
    <xf numFmtId="164" fontId="1" fillId="0" borderId="12" xfId="1" applyFont="1" applyBorder="1" applyAlignment="1" applyProtection="1">
      <alignment horizontal="center" vertical="center"/>
    </xf>
    <xf numFmtId="164" fontId="5" fillId="0" borderId="69" xfId="1" applyFont="1" applyBorder="1" applyAlignment="1" applyProtection="1">
      <alignment horizontal="center" vertical="center"/>
    </xf>
    <xf numFmtId="164" fontId="5" fillId="12" borderId="11" xfId="1" applyFont="1" applyFill="1" applyBorder="1" applyAlignment="1" applyProtection="1">
      <alignment horizontal="center" vertical="center"/>
    </xf>
    <xf numFmtId="164" fontId="5" fillId="12" borderId="12" xfId="1" applyFont="1" applyFill="1" applyBorder="1" applyAlignment="1" applyProtection="1">
      <alignment horizontal="center" vertical="center"/>
    </xf>
    <xf numFmtId="164" fontId="5" fillId="12" borderId="14" xfId="1" applyFont="1" applyFill="1" applyBorder="1" applyAlignment="1" applyProtection="1">
      <alignment horizontal="center" vertical="center"/>
    </xf>
    <xf numFmtId="165" fontId="1" fillId="0" borderId="70" xfId="2" applyFont="1" applyBorder="1" applyAlignment="1" applyProtection="1">
      <alignment horizontal="right" vertical="center"/>
    </xf>
    <xf numFmtId="4" fontId="1" fillId="0" borderId="17" xfId="0" applyNumberFormat="1" applyFont="1" applyBorder="1" applyAlignment="1">
      <alignment horizontal="center" vertical="center"/>
    </xf>
    <xf numFmtId="164" fontId="5" fillId="0" borderId="4" xfId="1" applyFont="1" applyBorder="1" applyAlignment="1" applyProtection="1">
      <alignment horizontal="center" vertical="center"/>
    </xf>
    <xf numFmtId="164" fontId="5" fillId="0" borderId="19" xfId="1" applyFont="1" applyBorder="1" applyAlignment="1" applyProtection="1">
      <alignment horizontal="center" vertical="center"/>
    </xf>
    <xf numFmtId="4" fontId="1" fillId="0" borderId="21" xfId="0" applyNumberFormat="1" applyFont="1" applyBorder="1" applyAlignment="1">
      <alignment horizontal="center" vertical="center"/>
    </xf>
    <xf numFmtId="164" fontId="5" fillId="0" borderId="18" xfId="1" applyFont="1" applyBorder="1" applyAlignment="1" applyProtection="1">
      <alignment horizontal="center" vertical="center"/>
    </xf>
    <xf numFmtId="164" fontId="1" fillId="0" borderId="17" xfId="1" applyFont="1" applyBorder="1" applyAlignment="1" applyProtection="1">
      <alignment horizontal="center" vertical="center"/>
    </xf>
    <xf numFmtId="164" fontId="1" fillId="0" borderId="4" xfId="1" applyFont="1" applyBorder="1" applyAlignment="1" applyProtection="1">
      <alignment horizontal="center" vertical="center"/>
    </xf>
    <xf numFmtId="164" fontId="5" fillId="0" borderId="39" xfId="1" applyFont="1" applyBorder="1" applyAlignment="1" applyProtection="1">
      <alignment horizontal="center" vertical="center"/>
    </xf>
    <xf numFmtId="164" fontId="1" fillId="0" borderId="19" xfId="1" applyFont="1" applyBorder="1" applyAlignment="1" applyProtection="1">
      <alignment horizontal="center" vertical="center"/>
    </xf>
    <xf numFmtId="164" fontId="5" fillId="12" borderId="17" xfId="1" applyFont="1" applyFill="1" applyBorder="1" applyAlignment="1" applyProtection="1">
      <alignment horizontal="center" vertical="center"/>
    </xf>
    <xf numFmtId="164" fontId="5" fillId="12" borderId="4" xfId="1" applyFont="1" applyFill="1" applyBorder="1" applyAlignment="1" applyProtection="1">
      <alignment horizontal="center" vertical="center"/>
    </xf>
    <xf numFmtId="164" fontId="5" fillId="12" borderId="19" xfId="1" applyFont="1" applyFill="1" applyBorder="1" applyAlignment="1" applyProtection="1">
      <alignment horizontal="center" vertical="center"/>
    </xf>
    <xf numFmtId="0" fontId="1" fillId="0" borderId="37" xfId="0" applyFont="1" applyBorder="1" applyAlignment="1">
      <alignment vertical="center" wrapText="1"/>
    </xf>
    <xf numFmtId="1" fontId="1" fillId="0" borderId="37" xfId="0" applyNumberFormat="1" applyFont="1" applyBorder="1" applyAlignment="1">
      <alignment horizontal="center" vertical="center"/>
    </xf>
    <xf numFmtId="1" fontId="1" fillId="0" borderId="68" xfId="0" applyNumberFormat="1" applyFont="1" applyBorder="1" applyAlignment="1">
      <alignment horizontal="center" vertical="center"/>
    </xf>
    <xf numFmtId="4" fontId="1" fillId="0" borderId="37" xfId="0" applyNumberFormat="1" applyFont="1" applyBorder="1" applyAlignment="1">
      <alignment horizontal="center" vertical="center"/>
    </xf>
    <xf numFmtId="4" fontId="1" fillId="0" borderId="44" xfId="0" applyNumberFormat="1" applyFont="1" applyBorder="1" applyAlignment="1">
      <alignment horizontal="center" vertical="center"/>
    </xf>
    <xf numFmtId="4" fontId="1" fillId="0" borderId="42" xfId="0" applyNumberFormat="1" applyFont="1" applyBorder="1" applyAlignment="1">
      <alignment horizontal="center" vertical="center"/>
    </xf>
    <xf numFmtId="164" fontId="5" fillId="0" borderId="43" xfId="1" applyFont="1" applyBorder="1" applyAlignment="1" applyProtection="1">
      <alignment horizontal="center" vertical="center"/>
    </xf>
    <xf numFmtId="164" fontId="5" fillId="0" borderId="61" xfId="1" applyFont="1" applyBorder="1" applyAlignment="1" applyProtection="1">
      <alignment horizontal="center" vertical="center"/>
    </xf>
    <xf numFmtId="4" fontId="1" fillId="0" borderId="52" xfId="0" applyNumberFormat="1" applyFont="1" applyBorder="1" applyAlignment="1">
      <alignment horizontal="center" vertical="center"/>
    </xf>
    <xf numFmtId="164" fontId="5" fillId="0" borderId="60" xfId="1" applyFont="1" applyBorder="1" applyAlignment="1" applyProtection="1">
      <alignment horizontal="center" vertical="center"/>
    </xf>
    <xf numFmtId="164" fontId="1" fillId="0" borderId="42" xfId="1" applyFont="1" applyBorder="1" applyAlignment="1" applyProtection="1">
      <alignment horizontal="center" vertical="center"/>
    </xf>
    <xf numFmtId="164" fontId="1" fillId="0" borderId="43" xfId="1" applyFont="1" applyBorder="1" applyAlignment="1" applyProtection="1">
      <alignment horizontal="center" vertical="center"/>
    </xf>
    <xf numFmtId="164" fontId="5" fillId="0" borderId="53" xfId="1" applyFont="1" applyBorder="1" applyAlignment="1" applyProtection="1">
      <alignment horizontal="center" vertical="center"/>
    </xf>
    <xf numFmtId="164" fontId="5" fillId="12" borderId="42" xfId="1" applyFont="1" applyFill="1" applyBorder="1" applyAlignment="1" applyProtection="1">
      <alignment horizontal="center" vertical="center"/>
    </xf>
    <xf numFmtId="164" fontId="5" fillId="12" borderId="43" xfId="1" applyFont="1" applyFill="1" applyBorder="1" applyAlignment="1" applyProtection="1">
      <alignment horizontal="center" vertical="center"/>
    </xf>
    <xf numFmtId="164" fontId="5" fillId="12" borderId="61" xfId="1" applyFont="1" applyFill="1" applyBorder="1" applyAlignment="1" applyProtection="1">
      <alignment horizontal="center" vertical="center"/>
    </xf>
    <xf numFmtId="165" fontId="1" fillId="0" borderId="48" xfId="2" applyFont="1" applyBorder="1" applyAlignment="1" applyProtection="1">
      <alignment horizontal="right" vertical="center"/>
    </xf>
    <xf numFmtId="1" fontId="17" fillId="12" borderId="5" xfId="0" applyNumberFormat="1" applyFont="1" applyFill="1" applyBorder="1" applyAlignment="1">
      <alignment horizontal="center" vertical="center"/>
    </xf>
    <xf numFmtId="4" fontId="17" fillId="12" borderId="7" xfId="0" applyNumberFormat="1" applyFont="1" applyFill="1" applyBorder="1" applyAlignment="1">
      <alignment horizontal="center" vertical="center"/>
    </xf>
    <xf numFmtId="4" fontId="17" fillId="12" borderId="6" xfId="0" applyNumberFormat="1" applyFont="1" applyFill="1" applyBorder="1" applyAlignment="1">
      <alignment horizontal="center" vertical="center"/>
    </xf>
    <xf numFmtId="4" fontId="17" fillId="12" borderId="5" xfId="0" applyNumberFormat="1" applyFont="1" applyFill="1" applyBorder="1" applyAlignment="1">
      <alignment horizontal="center" vertical="center"/>
    </xf>
    <xf numFmtId="4" fontId="17" fillId="12" borderId="8" xfId="0" applyNumberFormat="1" applyFont="1" applyFill="1" applyBorder="1" applyAlignment="1">
      <alignment horizontal="center" vertical="center"/>
    </xf>
    <xf numFmtId="164" fontId="17" fillId="12" borderId="10" xfId="1" applyFont="1" applyFill="1" applyBorder="1" applyAlignment="1" applyProtection="1">
      <alignment horizontal="center" vertical="center"/>
    </xf>
    <xf numFmtId="4" fontId="17" fillId="12" borderId="10" xfId="0" applyNumberFormat="1" applyFont="1" applyFill="1" applyBorder="1" applyAlignment="1">
      <alignment horizontal="center" vertical="center"/>
    </xf>
    <xf numFmtId="164" fontId="17" fillId="12" borderId="62" xfId="1" applyFont="1" applyFill="1" applyBorder="1" applyAlignment="1" applyProtection="1">
      <alignment horizontal="center" vertical="center"/>
    </xf>
    <xf numFmtId="164" fontId="17" fillId="12" borderId="5" xfId="1" applyFont="1" applyFill="1" applyBorder="1" applyAlignment="1" applyProtection="1">
      <alignment horizontal="center" vertical="center"/>
    </xf>
    <xf numFmtId="165" fontId="17" fillId="19" borderId="65" xfId="2" applyFont="1" applyFill="1" applyBorder="1" applyAlignment="1" applyProtection="1">
      <alignment horizontal="center" vertical="center"/>
    </xf>
    <xf numFmtId="0" fontId="7" fillId="0" borderId="3" xfId="0" applyFont="1" applyBorder="1" applyAlignment="1">
      <alignment vertical="center"/>
    </xf>
    <xf numFmtId="165" fontId="6" fillId="12" borderId="51" xfId="2" applyFont="1" applyFill="1" applyBorder="1" applyAlignment="1" applyProtection="1">
      <alignment vertical="center"/>
    </xf>
    <xf numFmtId="165" fontId="17" fillId="12" borderId="9" xfId="2" applyFont="1" applyFill="1" applyBorder="1" applyAlignment="1" applyProtection="1">
      <alignment vertical="center"/>
    </xf>
    <xf numFmtId="0" fontId="9" fillId="0" borderId="0" xfId="0" applyFont="1" applyAlignment="1">
      <alignment vertical="top"/>
    </xf>
    <xf numFmtId="0" fontId="10" fillId="0" borderId="48" xfId="0" applyFont="1" applyBorder="1"/>
    <xf numFmtId="0" fontId="40" fillId="0" borderId="0" xfId="0" applyFont="1" applyAlignment="1">
      <alignment vertical="center" wrapText="1"/>
    </xf>
    <xf numFmtId="0" fontId="25" fillId="0" borderId="0" xfId="0" applyFont="1" applyAlignment="1">
      <alignment vertical="center"/>
    </xf>
    <xf numFmtId="4" fontId="9" fillId="8" borderId="12" xfId="4" applyNumberFormat="1" applyFont="1" applyFill="1" applyBorder="1" applyAlignment="1" applyProtection="1">
      <alignment vertical="center"/>
    </xf>
    <xf numFmtId="4" fontId="9" fillId="8" borderId="14" xfId="4" applyNumberFormat="1" applyFont="1" applyFill="1" applyBorder="1" applyAlignment="1" applyProtection="1">
      <alignment vertical="center"/>
    </xf>
    <xf numFmtId="4" fontId="9" fillId="8" borderId="4" xfId="4" applyNumberFormat="1" applyFont="1" applyFill="1" applyBorder="1" applyAlignment="1" applyProtection="1">
      <alignment vertical="center"/>
    </xf>
    <xf numFmtId="4" fontId="9" fillId="8" borderId="19" xfId="4" applyNumberFormat="1" applyFont="1" applyFill="1" applyBorder="1" applyAlignment="1" applyProtection="1">
      <alignment vertical="center"/>
    </xf>
    <xf numFmtId="4" fontId="7" fillId="8" borderId="4" xfId="4" applyNumberFormat="1" applyFont="1" applyFill="1" applyBorder="1" applyAlignment="1" applyProtection="1">
      <alignment horizontal="right" vertical="center"/>
    </xf>
    <xf numFmtId="4" fontId="7" fillId="8" borderId="19" xfId="4" applyNumberFormat="1" applyFont="1" applyFill="1" applyBorder="1" applyAlignment="1" applyProtection="1">
      <alignment horizontal="right" vertical="center"/>
    </xf>
    <xf numFmtId="0" fontId="25" fillId="0" borderId="18" xfId="0" applyFont="1" applyBorder="1" applyAlignment="1">
      <alignment horizontal="right" vertical="center"/>
    </xf>
    <xf numFmtId="0" fontId="28" fillId="16" borderId="4" xfId="0" applyFont="1" applyFill="1" applyBorder="1" applyAlignment="1">
      <alignment horizontal="center" vertical="center"/>
    </xf>
    <xf numFmtId="0" fontId="5" fillId="16" borderId="4" xfId="0" applyFont="1" applyFill="1" applyBorder="1" applyAlignment="1">
      <alignment horizontal="center" vertical="center"/>
    </xf>
    <xf numFmtId="0" fontId="16" fillId="0" borderId="4" xfId="0" applyFont="1" applyBorder="1" applyAlignment="1">
      <alignment horizontal="center" vertical="center"/>
    </xf>
    <xf numFmtId="10" fontId="28" fillId="0" borderId="4" xfId="0" applyNumberFormat="1" applyFont="1" applyBorder="1" applyAlignment="1">
      <alignment horizontal="center" vertical="center"/>
    </xf>
    <xf numFmtId="0" fontId="28" fillId="0" borderId="4" xfId="0" applyFont="1" applyBorder="1" applyAlignment="1">
      <alignment horizontal="center" vertical="center"/>
    </xf>
    <xf numFmtId="4" fontId="1" fillId="0" borderId="4" xfId="0" applyNumberFormat="1" applyFont="1" applyBorder="1" applyAlignment="1">
      <alignment horizontal="center"/>
    </xf>
    <xf numFmtId="0" fontId="16" fillId="0" borderId="12" xfId="0" applyFont="1" applyBorder="1" applyAlignment="1">
      <alignment horizontal="center" vertical="center"/>
    </xf>
    <xf numFmtId="10" fontId="28" fillId="0" borderId="12" xfId="0" applyNumberFormat="1" applyFont="1" applyBorder="1" applyAlignment="1">
      <alignment horizontal="center" vertical="center"/>
    </xf>
    <xf numFmtId="0" fontId="28" fillId="0" borderId="12" xfId="0" applyFont="1" applyBorder="1" applyAlignment="1">
      <alignment horizontal="center" vertical="center"/>
    </xf>
    <xf numFmtId="10" fontId="43" fillId="8" borderId="4" xfId="0" applyNumberFormat="1" applyFont="1" applyFill="1" applyBorder="1" applyAlignment="1">
      <alignment horizontal="center" vertical="center"/>
    </xf>
    <xf numFmtId="167" fontId="1" fillId="0" borderId="4" xfId="0" applyNumberFormat="1" applyFont="1" applyBorder="1" applyAlignment="1">
      <alignment horizontal="center" vertical="center"/>
    </xf>
    <xf numFmtId="0" fontId="9" fillId="0" borderId="42" xfId="0" applyFont="1" applyBorder="1" applyAlignment="1">
      <alignment horizontal="center" vertical="center" wrapText="1"/>
    </xf>
    <xf numFmtId="0" fontId="26" fillId="0" borderId="4" xfId="0" applyFont="1" applyBorder="1" applyAlignment="1">
      <alignment wrapText="1"/>
    </xf>
    <xf numFmtId="0" fontId="26" fillId="0" borderId="0" xfId="0" applyFont="1" applyAlignment="1">
      <alignment wrapText="1"/>
    </xf>
    <xf numFmtId="0" fontId="26" fillId="0" borderId="4" xfId="0" applyFont="1" applyBorder="1" applyAlignment="1">
      <alignment vertical="center" wrapText="1"/>
    </xf>
    <xf numFmtId="1" fontId="3" fillId="0" borderId="39" xfId="0" applyNumberFormat="1" applyFont="1" applyBorder="1" applyAlignment="1">
      <alignment horizontal="center" vertical="center"/>
    </xf>
    <xf numFmtId="4" fontId="45" fillId="0" borderId="4" xfId="1" applyNumberFormat="1" applyFont="1" applyBorder="1" applyAlignment="1" applyProtection="1">
      <alignment horizontal="center" vertical="center"/>
    </xf>
    <xf numFmtId="0" fontId="46" fillId="0" borderId="4" xfId="0" applyFont="1" applyBorder="1" applyAlignment="1">
      <alignment vertical="center" wrapText="1"/>
    </xf>
    <xf numFmtId="0" fontId="47" fillId="0" borderId="0" xfId="0" applyFont="1" applyAlignment="1">
      <alignment vertical="top" wrapText="1"/>
    </xf>
    <xf numFmtId="0" fontId="26" fillId="0" borderId="4" xfId="0" applyFont="1" applyBorder="1" applyAlignment="1">
      <alignment vertical="top" wrapText="1"/>
    </xf>
    <xf numFmtId="170" fontId="9" fillId="0" borderId="4" xfId="0" applyNumberFormat="1" applyFont="1" applyBorder="1" applyAlignment="1">
      <alignment horizontal="center" vertical="center" wrapText="1"/>
    </xf>
    <xf numFmtId="0" fontId="48" fillId="21" borderId="4" xfId="0" applyFont="1" applyFill="1" applyBorder="1" applyAlignment="1">
      <alignment horizontal="center" vertical="center"/>
    </xf>
    <xf numFmtId="170" fontId="17" fillId="21" borderId="4" xfId="0" applyNumberFormat="1" applyFont="1" applyFill="1" applyBorder="1" applyAlignment="1">
      <alignment vertical="center"/>
    </xf>
    <xf numFmtId="0" fontId="48" fillId="21" borderId="4" xfId="0" applyFont="1" applyFill="1" applyBorder="1" applyAlignment="1">
      <alignment horizontal="center"/>
    </xf>
    <xf numFmtId="170" fontId="48" fillId="21" borderId="4" xfId="0" applyNumberFormat="1" applyFont="1" applyFill="1" applyBorder="1"/>
    <xf numFmtId="0" fontId="49" fillId="21" borderId="4" xfId="0" applyFont="1" applyFill="1" applyBorder="1" applyAlignment="1">
      <alignment horizontal="center"/>
    </xf>
    <xf numFmtId="4" fontId="49" fillId="21" borderId="4" xfId="0" applyNumberFormat="1" applyFont="1" applyFill="1" applyBorder="1" applyAlignment="1">
      <alignment horizontal="center"/>
    </xf>
    <xf numFmtId="0" fontId="2" fillId="0" borderId="2" xfId="0" applyFont="1" applyBorder="1" applyAlignment="1">
      <alignment vertical="center" wrapText="1"/>
    </xf>
    <xf numFmtId="0" fontId="2" fillId="0" borderId="0" xfId="0" applyFont="1" applyAlignment="1">
      <alignment vertical="center" wrapText="1"/>
    </xf>
    <xf numFmtId="0" fontId="9" fillId="0" borderId="55" xfId="0" applyFont="1" applyBorder="1" applyAlignment="1">
      <alignment horizontal="center" vertical="center" wrapText="1"/>
    </xf>
    <xf numFmtId="0" fontId="33" fillId="0" borderId="0" xfId="0" applyFont="1" applyAlignment="1">
      <alignment horizontal="center" vertical="center"/>
    </xf>
    <xf numFmtId="0" fontId="9" fillId="12" borderId="57" xfId="0" applyFont="1" applyFill="1" applyBorder="1" applyAlignment="1">
      <alignment vertical="center" wrapText="1"/>
    </xf>
    <xf numFmtId="0" fontId="10" fillId="0" borderId="4" xfId="0" applyFont="1" applyBorder="1" applyAlignment="1">
      <alignment horizontal="center" vertical="center" wrapText="1"/>
    </xf>
    <xf numFmtId="0" fontId="10" fillId="0" borderId="60" xfId="0" applyFont="1" applyBorder="1" applyAlignment="1">
      <alignment horizontal="center" vertical="center"/>
    </xf>
    <xf numFmtId="4" fontId="9" fillId="12" borderId="4" xfId="0" applyNumberFormat="1" applyFont="1" applyFill="1" applyBorder="1" applyAlignment="1">
      <alignment horizontal="center" vertical="center"/>
    </xf>
    <xf numFmtId="4" fontId="9" fillId="0" borderId="19" xfId="0" applyNumberFormat="1" applyFont="1" applyBorder="1" applyAlignment="1">
      <alignment horizontal="center" vertical="center"/>
    </xf>
    <xf numFmtId="4" fontId="9" fillId="12" borderId="43" xfId="0" applyNumberFormat="1" applyFont="1" applyFill="1" applyBorder="1" applyAlignment="1">
      <alignment horizontal="center" vertical="center"/>
    </xf>
    <xf numFmtId="4" fontId="9" fillId="0" borderId="43" xfId="0" applyNumberFormat="1" applyFont="1" applyBorder="1" applyAlignment="1">
      <alignment horizontal="center" vertical="center"/>
    </xf>
    <xf numFmtId="4" fontId="9" fillId="0" borderId="61" xfId="0" applyNumberFormat="1" applyFont="1" applyBorder="1" applyAlignment="1">
      <alignment horizontal="center" vertical="center"/>
    </xf>
    <xf numFmtId="4" fontId="7" fillId="12" borderId="4" xfId="0" applyNumberFormat="1" applyFont="1" applyFill="1" applyBorder="1" applyAlignment="1">
      <alignment horizontal="center" vertical="center"/>
    </xf>
    <xf numFmtId="4" fontId="7" fillId="12" borderId="19" xfId="0" applyNumberFormat="1" applyFont="1" applyFill="1" applyBorder="1" applyAlignment="1">
      <alignment horizontal="center" vertical="center"/>
    </xf>
    <xf numFmtId="4" fontId="7" fillId="12" borderId="7" xfId="0" applyNumberFormat="1" applyFont="1" applyFill="1" applyBorder="1" applyAlignment="1">
      <alignment horizontal="center" vertical="center"/>
    </xf>
    <xf numFmtId="4" fontId="7" fillId="12" borderId="8" xfId="0" applyNumberFormat="1" applyFont="1" applyFill="1" applyBorder="1" applyAlignment="1">
      <alignment horizontal="center" vertical="center"/>
    </xf>
    <xf numFmtId="2" fontId="9" fillId="0" borderId="4" xfId="0" applyNumberFormat="1" applyFont="1" applyBorder="1" applyAlignment="1">
      <alignment horizontal="center" vertical="center"/>
    </xf>
    <xf numFmtId="0" fontId="9" fillId="0" borderId="17" xfId="0" applyFont="1" applyBorder="1" applyAlignment="1">
      <alignment horizontal="left" vertical="center"/>
    </xf>
    <xf numFmtId="0" fontId="9" fillId="0" borderId="4" xfId="0" applyFont="1" applyBorder="1" applyAlignment="1">
      <alignment horizontal="left" vertical="center"/>
    </xf>
    <xf numFmtId="2" fontId="9" fillId="0" borderId="43" xfId="0" applyNumberFormat="1" applyFont="1" applyBorder="1" applyAlignment="1">
      <alignment horizontal="center" vertical="center"/>
    </xf>
    <xf numFmtId="0" fontId="9" fillId="0" borderId="39" xfId="0" applyFont="1" applyBorder="1" applyAlignment="1">
      <alignment vertical="center"/>
    </xf>
    <xf numFmtId="0" fontId="9" fillId="0" borderId="55" xfId="0" applyFont="1" applyBorder="1" applyAlignment="1">
      <alignment vertical="center"/>
    </xf>
    <xf numFmtId="10" fontId="9" fillId="0" borderId="4" xfId="0" applyNumberFormat="1" applyFont="1" applyBorder="1" applyAlignment="1">
      <alignment horizontal="center" vertical="center"/>
    </xf>
    <xf numFmtId="4" fontId="9" fillId="0" borderId="55" xfId="0" applyNumberFormat="1" applyFont="1" applyBorder="1" applyAlignment="1">
      <alignment vertical="center"/>
    </xf>
    <xf numFmtId="0" fontId="9" fillId="0" borderId="53" xfId="0" applyFont="1" applyBorder="1" applyAlignment="1">
      <alignment vertical="center"/>
    </xf>
    <xf numFmtId="0" fontId="9" fillId="0" borderId="31" xfId="0" applyFont="1" applyBorder="1" applyAlignment="1">
      <alignment vertical="center"/>
    </xf>
    <xf numFmtId="10" fontId="9" fillId="0" borderId="43" xfId="0" applyNumberFormat="1" applyFont="1" applyBorder="1" applyAlignment="1">
      <alignment horizontal="center" vertical="center"/>
    </xf>
    <xf numFmtId="4" fontId="9" fillId="0" borderId="31" xfId="0" applyNumberFormat="1" applyFont="1" applyBorder="1" applyAlignment="1">
      <alignment vertical="center"/>
    </xf>
    <xf numFmtId="0" fontId="7" fillId="12" borderId="62" xfId="0" applyFont="1" applyFill="1" applyBorder="1" applyAlignment="1">
      <alignment vertical="center"/>
    </xf>
    <xf numFmtId="0" fontId="7" fillId="12" borderId="63" xfId="0" applyFont="1" applyFill="1" applyBorder="1" applyAlignment="1">
      <alignment vertical="center"/>
    </xf>
    <xf numFmtId="10" fontId="7" fillId="12" borderId="7" xfId="0" applyNumberFormat="1" applyFont="1" applyFill="1" applyBorder="1" applyAlignment="1">
      <alignment horizontal="center" vertical="center"/>
    </xf>
    <xf numFmtId="4" fontId="7" fillId="12" borderId="7" xfId="0" applyNumberFormat="1" applyFont="1" applyFill="1" applyBorder="1" applyAlignment="1">
      <alignment vertical="center"/>
    </xf>
    <xf numFmtId="4" fontId="7" fillId="12" borderId="38" xfId="0" applyNumberFormat="1" applyFont="1" applyFill="1" applyBorder="1" applyAlignment="1">
      <alignment horizontal="center" vertical="center"/>
    </xf>
    <xf numFmtId="4" fontId="7" fillId="12" borderId="29" xfId="0" applyNumberFormat="1" applyFont="1" applyFill="1" applyBorder="1" applyAlignment="1">
      <alignment horizontal="center" vertical="center"/>
    </xf>
    <xf numFmtId="10" fontId="7" fillId="12" borderId="43" xfId="0" applyNumberFormat="1" applyFont="1" applyFill="1" applyBorder="1" applyAlignment="1">
      <alignment horizontal="center" vertical="center"/>
    </xf>
    <xf numFmtId="4" fontId="7" fillId="12" borderId="43" xfId="0" applyNumberFormat="1" applyFont="1" applyFill="1" applyBorder="1" applyAlignment="1">
      <alignment horizontal="center" vertical="center"/>
    </xf>
    <xf numFmtId="4" fontId="7" fillId="12" borderId="37" xfId="0" applyNumberFormat="1" applyFont="1" applyFill="1" applyBorder="1" applyAlignment="1">
      <alignment horizontal="center" vertical="center"/>
    </xf>
    <xf numFmtId="4" fontId="7" fillId="12" borderId="64" xfId="0" applyNumberFormat="1" applyFont="1" applyFill="1" applyBorder="1" applyAlignment="1">
      <alignment horizontal="center" vertical="center"/>
    </xf>
    <xf numFmtId="4" fontId="17" fillId="12" borderId="4" xfId="0" applyNumberFormat="1" applyFont="1" applyFill="1" applyBorder="1" applyAlignment="1">
      <alignment horizontal="center" vertical="center"/>
    </xf>
    <xf numFmtId="4" fontId="17" fillId="12" borderId="19" xfId="0" applyNumberFormat="1" applyFont="1" applyFill="1" applyBorder="1" applyAlignment="1">
      <alignment horizontal="center" vertical="center"/>
    </xf>
    <xf numFmtId="2" fontId="17" fillId="12" borderId="23" xfId="0" applyNumberFormat="1" applyFont="1" applyFill="1" applyBorder="1" applyAlignment="1">
      <alignment horizontal="center" vertical="center"/>
    </xf>
    <xf numFmtId="0" fontId="9" fillId="0" borderId="43" xfId="0" applyFont="1" applyBorder="1" applyAlignment="1">
      <alignment vertical="center" wrapText="1"/>
    </xf>
    <xf numFmtId="10" fontId="9" fillId="0" borderId="43" xfId="0" applyNumberFormat="1" applyFont="1" applyBorder="1" applyAlignment="1">
      <alignment horizontal="center" vertical="center" wrapText="1"/>
    </xf>
    <xf numFmtId="10" fontId="9" fillId="0" borderId="12" xfId="0" applyNumberFormat="1" applyFont="1" applyBorder="1" applyAlignment="1">
      <alignment horizontal="center" vertical="center"/>
    </xf>
    <xf numFmtId="164" fontId="9" fillId="0" borderId="4" xfId="0" applyNumberFormat="1" applyFont="1" applyBorder="1" applyAlignment="1">
      <alignment horizontal="center" vertical="center"/>
    </xf>
    <xf numFmtId="49" fontId="41" fillId="8" borderId="10" xfId="0" applyNumberFormat="1" applyFont="1" applyFill="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0" fontId="27" fillId="8" borderId="3" xfId="0" applyFont="1" applyFill="1" applyBorder="1" applyAlignment="1">
      <alignment horizontal="center" vertical="center"/>
    </xf>
    <xf numFmtId="0" fontId="42" fillId="20" borderId="5" xfId="0" applyFont="1" applyFill="1" applyBorder="1" applyAlignment="1">
      <alignment horizontal="center" vertical="center"/>
    </xf>
    <xf numFmtId="4" fontId="42" fillId="20" borderId="7" xfId="0" applyNumberFormat="1" applyFont="1" applyFill="1" applyBorder="1" applyAlignment="1">
      <alignment vertical="center"/>
    </xf>
    <xf numFmtId="4" fontId="42" fillId="20" borderId="8" xfId="0" applyNumberFormat="1" applyFont="1" applyFill="1" applyBorder="1" applyAlignme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10" fontId="26" fillId="0" borderId="4" xfId="0" applyNumberFormat="1" applyFont="1" applyBorder="1" applyAlignment="1">
      <alignment horizontal="center" vertical="center"/>
    </xf>
    <xf numFmtId="10" fontId="27" fillId="0" borderId="4" xfId="0" applyNumberFormat="1" applyFont="1" applyBorder="1" applyAlignment="1">
      <alignment horizontal="center" vertical="center"/>
    </xf>
    <xf numFmtId="0" fontId="27" fillId="12" borderId="17" xfId="0" applyFont="1" applyFill="1" applyBorder="1" applyAlignment="1">
      <alignment horizontal="center" vertical="center"/>
    </xf>
    <xf numFmtId="0" fontId="27" fillId="12" borderId="4" xfId="0" applyFont="1" applyFill="1" applyBorder="1" applyAlignment="1">
      <alignment vertical="center"/>
    </xf>
    <xf numFmtId="0" fontId="9" fillId="0" borderId="4" xfId="0" applyFont="1" applyBorder="1" applyAlignment="1">
      <alignment vertical="center"/>
    </xf>
    <xf numFmtId="4" fontId="9" fillId="0" borderId="4" xfId="0" applyNumberFormat="1" applyFont="1" applyBorder="1" applyAlignment="1">
      <alignment vertical="center"/>
    </xf>
    <xf numFmtId="4" fontId="9" fillId="0" borderId="19" xfId="0" applyNumberFormat="1" applyFont="1" applyBorder="1" applyAlignment="1">
      <alignment vertical="center"/>
    </xf>
    <xf numFmtId="4" fontId="27" fillId="0" borderId="4" xfId="0" applyNumberFormat="1" applyFont="1" applyBorder="1" applyAlignment="1">
      <alignment vertical="center"/>
    </xf>
    <xf numFmtId="4" fontId="27" fillId="0" borderId="19" xfId="0" applyNumberFormat="1" applyFont="1" applyBorder="1" applyAlignment="1">
      <alignment vertical="center"/>
    </xf>
    <xf numFmtId="10" fontId="27" fillId="12" borderId="4" xfId="0" applyNumberFormat="1" applyFont="1" applyFill="1" applyBorder="1" applyAlignment="1">
      <alignment horizontal="center" vertical="center"/>
    </xf>
    <xf numFmtId="10" fontId="9" fillId="0" borderId="4" xfId="0" applyNumberFormat="1" applyFont="1" applyBorder="1" applyAlignment="1">
      <alignment vertical="center" wrapText="1"/>
    </xf>
    <xf numFmtId="4" fontId="9" fillId="8" borderId="4" xfId="0" applyNumberFormat="1" applyFont="1" applyFill="1" applyBorder="1" applyAlignment="1">
      <alignment horizontal="right" vertical="center"/>
    </xf>
    <xf numFmtId="4" fontId="9" fillId="8" borderId="19" xfId="0" applyNumberFormat="1" applyFont="1" applyFill="1" applyBorder="1" applyAlignment="1">
      <alignment horizontal="right" vertical="center"/>
    </xf>
    <xf numFmtId="0" fontId="27" fillId="0" borderId="17" xfId="0" applyFont="1" applyBorder="1" applyAlignment="1">
      <alignment horizontal="center" vertical="center"/>
    </xf>
    <xf numFmtId="10" fontId="27" fillId="0" borderId="4" xfId="0" applyNumberFormat="1" applyFont="1" applyBorder="1" applyAlignment="1">
      <alignment vertical="center" wrapText="1"/>
    </xf>
    <xf numFmtId="4" fontId="27" fillId="8" borderId="4" xfId="0" applyNumberFormat="1" applyFont="1" applyFill="1" applyBorder="1" applyAlignment="1">
      <alignment horizontal="right" vertical="center"/>
    </xf>
    <xf numFmtId="4" fontId="27" fillId="8" borderId="19" xfId="0" applyNumberFormat="1" applyFont="1" applyFill="1" applyBorder="1" applyAlignment="1">
      <alignment horizontal="right" vertical="center"/>
    </xf>
    <xf numFmtId="0" fontId="9" fillId="8" borderId="17" xfId="0" applyFont="1" applyFill="1" applyBorder="1" applyAlignment="1">
      <alignment horizontal="center" vertical="center"/>
    </xf>
    <xf numFmtId="0" fontId="27" fillId="0" borderId="42" xfId="0" applyFont="1" applyBorder="1" applyAlignment="1">
      <alignment vertical="center"/>
    </xf>
    <xf numFmtId="4" fontId="27" fillId="0" borderId="43" xfId="0" applyNumberFormat="1" applyFont="1" applyBorder="1" applyAlignment="1">
      <alignment horizontal="right" vertical="center"/>
    </xf>
    <xf numFmtId="4" fontId="27" fillId="0" borderId="61" xfId="0" applyNumberFormat="1" applyFont="1" applyBorder="1" applyAlignment="1">
      <alignment horizontal="right" vertical="center"/>
    </xf>
    <xf numFmtId="0" fontId="27" fillId="12" borderId="11" xfId="0" applyFont="1" applyFill="1" applyBorder="1" applyAlignment="1">
      <alignment vertical="center"/>
    </xf>
    <xf numFmtId="0" fontId="27" fillId="12" borderId="12" xfId="0" applyFont="1" applyFill="1" applyBorder="1" applyAlignment="1">
      <alignment vertical="center"/>
    </xf>
    <xf numFmtId="4" fontId="26" fillId="8" borderId="4" xfId="0" applyNumberFormat="1" applyFont="1" applyFill="1" applyBorder="1" applyAlignment="1">
      <alignment vertical="center"/>
    </xf>
    <xf numFmtId="4" fontId="26" fillId="8" borderId="19" xfId="0" applyNumberFormat="1" applyFont="1" applyFill="1" applyBorder="1" applyAlignment="1">
      <alignment vertical="center"/>
    </xf>
    <xf numFmtId="0" fontId="27" fillId="0" borderId="4" xfId="0" applyFont="1" applyBorder="1" applyAlignment="1">
      <alignment vertical="center"/>
    </xf>
    <xf numFmtId="4" fontId="27" fillId="8" borderId="4" xfId="0" applyNumberFormat="1" applyFont="1" applyFill="1" applyBorder="1" applyAlignment="1">
      <alignment vertical="center"/>
    </xf>
    <xf numFmtId="4" fontId="27" fillId="8" borderId="19" xfId="0" applyNumberFormat="1" applyFont="1" applyFill="1" applyBorder="1" applyAlignment="1">
      <alignment vertical="center"/>
    </xf>
    <xf numFmtId="0" fontId="9" fillId="0" borderId="42" xfId="0" applyFont="1" applyBorder="1" applyAlignment="1">
      <alignment horizontal="center" vertical="center"/>
    </xf>
    <xf numFmtId="0" fontId="9" fillId="0" borderId="43" xfId="0" applyFont="1" applyBorder="1" applyAlignment="1">
      <alignment vertical="center"/>
    </xf>
    <xf numFmtId="4" fontId="26" fillId="8" borderId="43" xfId="0" applyNumberFormat="1" applyFont="1" applyFill="1" applyBorder="1" applyAlignment="1">
      <alignment vertical="center"/>
    </xf>
    <xf numFmtId="4" fontId="26" fillId="8" borderId="61" xfId="0" applyNumberFormat="1" applyFont="1" applyFill="1" applyBorder="1" applyAlignment="1">
      <alignment vertical="center"/>
    </xf>
    <xf numFmtId="0" fontId="27" fillId="12" borderId="5" xfId="0" applyFont="1" applyFill="1" applyBorder="1" applyAlignment="1">
      <alignment vertical="center"/>
    </xf>
    <xf numFmtId="0" fontId="27" fillId="12" borderId="7" xfId="0" applyFont="1" applyFill="1" applyBorder="1" applyAlignment="1">
      <alignment vertical="center"/>
    </xf>
    <xf numFmtId="4" fontId="27" fillId="12" borderId="7" xfId="0" applyNumberFormat="1" applyFont="1" applyFill="1" applyBorder="1" applyAlignment="1">
      <alignment vertical="center"/>
    </xf>
    <xf numFmtId="4" fontId="27" fillId="12" borderId="8" xfId="0" applyNumberFormat="1" applyFont="1" applyFill="1" applyBorder="1" applyAlignment="1">
      <alignment vertical="center"/>
    </xf>
    <xf numFmtId="4" fontId="9" fillId="0" borderId="18" xfId="0" applyNumberFormat="1" applyFont="1" applyBorder="1" applyAlignment="1">
      <alignment vertical="center"/>
    </xf>
    <xf numFmtId="0" fontId="25" fillId="0" borderId="6" xfId="0" applyFont="1" applyBorder="1" applyAlignment="1">
      <alignment horizontal="center" vertical="center" wrapText="1"/>
    </xf>
    <xf numFmtId="165" fontId="7" fillId="5" borderId="23" xfId="0" applyNumberFormat="1" applyFont="1" applyFill="1" applyBorder="1" applyAlignment="1">
      <alignment horizontal="center" vertical="center" wrapText="1"/>
    </xf>
    <xf numFmtId="10" fontId="1" fillId="22" borderId="4" xfId="3" applyNumberFormat="1" applyFont="1" applyFill="1" applyBorder="1" applyAlignment="1" applyProtection="1">
      <alignment horizontal="center" vertical="center"/>
      <protection locked="0"/>
    </xf>
    <xf numFmtId="4" fontId="1" fillId="22" borderId="4" xfId="1" applyNumberFormat="1" applyFont="1" applyFill="1" applyBorder="1" applyAlignment="1" applyProtection="1">
      <alignment horizontal="center" vertical="center"/>
      <protection locked="0"/>
    </xf>
    <xf numFmtId="2" fontId="1" fillId="23" borderId="4" xfId="3" applyNumberFormat="1" applyFont="1" applyFill="1" applyBorder="1" applyAlignment="1" applyProtection="1">
      <alignment horizontal="center" vertical="center"/>
    </xf>
    <xf numFmtId="0" fontId="9" fillId="0" borderId="43" xfId="0" applyFont="1" applyBorder="1" applyAlignment="1">
      <alignment horizontal="center" vertical="center" wrapText="1"/>
    </xf>
    <xf numFmtId="1" fontId="50" fillId="0" borderId="4" xfId="0" applyNumberFormat="1" applyFont="1" applyBorder="1" applyAlignment="1">
      <alignment horizontal="center" vertical="center" wrapText="1"/>
    </xf>
    <xf numFmtId="0" fontId="25" fillId="0" borderId="7" xfId="0" applyFont="1" applyBorder="1" applyAlignment="1">
      <alignment horizontal="center" vertical="center" wrapText="1"/>
    </xf>
    <xf numFmtId="164" fontId="26" fillId="0" borderId="4" xfId="1" applyFont="1" applyBorder="1" applyAlignment="1">
      <alignment wrapText="1"/>
    </xf>
    <xf numFmtId="0" fontId="26" fillId="0" borderId="52" xfId="0" applyFont="1" applyBorder="1" applyAlignment="1">
      <alignment wrapText="1"/>
    </xf>
    <xf numFmtId="0" fontId="9" fillId="0" borderId="52" xfId="1" applyNumberFormat="1" applyFont="1" applyBorder="1" applyAlignment="1" applyProtection="1">
      <alignment horizontal="center" vertical="center"/>
    </xf>
    <xf numFmtId="4" fontId="9" fillId="2" borderId="52" xfId="1" applyNumberFormat="1" applyFont="1" applyFill="1" applyBorder="1" applyAlignment="1" applyProtection="1">
      <alignment horizontal="center" vertical="center"/>
      <protection locked="0"/>
    </xf>
    <xf numFmtId="3" fontId="51" fillId="0" borderId="22" xfId="0" applyNumberFormat="1" applyFont="1" applyBorder="1" applyAlignment="1">
      <alignment horizontal="center" vertical="center"/>
    </xf>
    <xf numFmtId="1" fontId="2" fillId="0" borderId="42" xfId="0" applyNumberFormat="1" applyFont="1" applyBorder="1" applyAlignment="1">
      <alignment horizontal="center" vertical="center" wrapText="1"/>
    </xf>
    <xf numFmtId="2" fontId="9" fillId="2" borderId="52" xfId="0" applyNumberFormat="1" applyFont="1" applyFill="1" applyBorder="1" applyAlignment="1" applyProtection="1">
      <alignment horizontal="center" vertical="center"/>
      <protection locked="0"/>
    </xf>
    <xf numFmtId="0" fontId="46" fillId="0" borderId="4" xfId="0" applyFont="1" applyBorder="1" applyAlignment="1">
      <alignment horizontal="center" vertical="center" wrapText="1"/>
    </xf>
    <xf numFmtId="0" fontId="46" fillId="0" borderId="52" xfId="0" applyFont="1" applyBorder="1" applyAlignment="1">
      <alignment horizontal="center" vertical="center" wrapText="1"/>
    </xf>
    <xf numFmtId="0" fontId="46" fillId="8" borderId="4" xfId="0" applyFont="1" applyFill="1" applyBorder="1" applyAlignment="1">
      <alignment horizontal="center" vertical="center"/>
    </xf>
    <xf numFmtId="0" fontId="46" fillId="0" borderId="4" xfId="0" applyFont="1" applyBorder="1" applyAlignment="1">
      <alignment horizontal="center" vertical="center"/>
    </xf>
    <xf numFmtId="1" fontId="46" fillId="8" borderId="4" xfId="0" applyNumberFormat="1" applyFont="1" applyFill="1" applyBorder="1" applyAlignment="1">
      <alignment horizontal="center" vertical="center"/>
    </xf>
    <xf numFmtId="1" fontId="46" fillId="0" borderId="4" xfId="0" applyNumberFormat="1" applyFont="1" applyBorder="1" applyAlignment="1">
      <alignment horizontal="center" vertical="center"/>
    </xf>
    <xf numFmtId="0" fontId="46" fillId="8" borderId="4" xfId="0" applyFont="1" applyFill="1" applyBorder="1" applyAlignment="1">
      <alignment vertical="center" wrapText="1"/>
    </xf>
    <xf numFmtId="1" fontId="2" fillId="0" borderId="4" xfId="0" applyNumberFormat="1" applyFont="1" applyBorder="1" applyAlignment="1">
      <alignment horizontal="center" vertical="center" wrapText="1"/>
    </xf>
    <xf numFmtId="0" fontId="10" fillId="0" borderId="16" xfId="0" applyFont="1" applyBorder="1" applyAlignment="1">
      <alignment horizontal="center" vertical="center" wrapText="1"/>
    </xf>
    <xf numFmtId="0" fontId="10" fillId="0" borderId="22" xfId="0" applyFont="1" applyBorder="1" applyAlignment="1">
      <alignment horizontal="center" vertical="center" wrapText="1"/>
    </xf>
    <xf numFmtId="166" fontId="9" fillId="0" borderId="23" xfId="0" applyNumberFormat="1" applyFont="1" applyBorder="1" applyAlignment="1">
      <alignment horizontal="center" vertical="center" wrapText="1"/>
    </xf>
    <xf numFmtId="0" fontId="9" fillId="0" borderId="23" xfId="0" applyFont="1" applyBorder="1" applyAlignment="1">
      <alignment horizontal="center" vertical="center" wrapText="1"/>
    </xf>
    <xf numFmtId="171" fontId="46" fillId="0" borderId="4" xfId="0" applyNumberFormat="1" applyFont="1" applyBorder="1" applyAlignment="1">
      <alignment horizontal="left" wrapText="1"/>
    </xf>
    <xf numFmtId="0" fontId="7" fillId="0" borderId="4" xfId="0" applyFont="1" applyBorder="1" applyAlignment="1">
      <alignment horizontal="center" vertical="center" wrapText="1"/>
    </xf>
    <xf numFmtId="0" fontId="7" fillId="0" borderId="39" xfId="1" applyNumberFormat="1" applyFont="1" applyBorder="1" applyAlignment="1" applyProtection="1">
      <alignment horizontal="center" vertical="center"/>
    </xf>
    <xf numFmtId="0" fontId="26" fillId="0" borderId="55" xfId="0" applyFont="1" applyBorder="1" applyAlignment="1">
      <alignment wrapText="1"/>
    </xf>
    <xf numFmtId="0" fontId="9" fillId="0" borderId="55" xfId="1" applyNumberFormat="1" applyFont="1" applyBorder="1" applyAlignment="1" applyProtection="1">
      <alignment horizontal="center" vertical="center"/>
    </xf>
    <xf numFmtId="4" fontId="9" fillId="0" borderId="55" xfId="1" applyNumberFormat="1" applyFont="1" applyBorder="1" applyAlignment="1" applyProtection="1">
      <alignment horizontal="center" vertical="center"/>
      <protection locked="0"/>
    </xf>
    <xf numFmtId="4" fontId="9" fillId="0" borderId="55" xfId="1" applyNumberFormat="1" applyFont="1" applyBorder="1" applyAlignment="1" applyProtection="1">
      <alignment horizontal="center" vertical="center"/>
    </xf>
    <xf numFmtId="10" fontId="1" fillId="24" borderId="4" xfId="3" applyNumberFormat="1" applyFont="1" applyFill="1" applyBorder="1" applyAlignment="1" applyProtection="1">
      <alignment horizontal="center" vertical="center"/>
    </xf>
    <xf numFmtId="0" fontId="7" fillId="0" borderId="20" xfId="0" applyFont="1" applyBorder="1" applyAlignment="1">
      <alignment horizontal="center" vertical="center" wrapText="1"/>
    </xf>
    <xf numFmtId="0" fontId="7" fillId="0" borderId="51" xfId="0" applyFont="1" applyBorder="1" applyAlignment="1">
      <alignment horizontal="center" vertical="center" wrapText="1"/>
    </xf>
    <xf numFmtId="0" fontId="9" fillId="0" borderId="4" xfId="0" applyFont="1" applyBorder="1" applyAlignment="1">
      <alignment horizontal="left" vertical="center" wrapText="1"/>
    </xf>
    <xf numFmtId="0" fontId="7" fillId="0" borderId="15" xfId="0" applyFont="1" applyBorder="1" applyAlignment="1">
      <alignment horizontal="center" vertical="center" wrapText="1"/>
    </xf>
    <xf numFmtId="0" fontId="7" fillId="0" borderId="49" xfId="0" applyFont="1" applyBorder="1" applyAlignment="1">
      <alignment horizontal="center" vertical="center" wrapText="1"/>
    </xf>
    <xf numFmtId="0" fontId="7" fillId="5" borderId="39" xfId="0" applyFont="1" applyFill="1" applyBorder="1" applyAlignment="1">
      <alignment horizontal="right" vertical="center" wrapText="1"/>
    </xf>
    <xf numFmtId="0" fontId="7" fillId="5" borderId="22" xfId="0" applyFont="1" applyFill="1" applyBorder="1" applyAlignment="1">
      <alignment horizontal="right" vertical="center" wrapText="1"/>
    </xf>
    <xf numFmtId="0" fontId="7" fillId="5" borderId="32"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3" fillId="0" borderId="0" xfId="0" applyFont="1" applyAlignment="1">
      <alignment horizontal="center" vertical="top"/>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0" borderId="31" xfId="0" applyFont="1" applyBorder="1" applyAlignment="1">
      <alignment horizontal="left" vertical="center" wrapText="1"/>
    </xf>
    <xf numFmtId="0" fontId="7" fillId="5" borderId="33"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0" borderId="58"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7" fillId="5" borderId="32" xfId="0" applyFont="1" applyFill="1" applyBorder="1" applyAlignment="1">
      <alignment horizontal="right" vertical="center" wrapText="1"/>
    </xf>
    <xf numFmtId="0" fontId="1" fillId="0" borderId="4" xfId="0" applyFont="1" applyBorder="1" applyAlignment="1">
      <alignment horizontal="center"/>
    </xf>
    <xf numFmtId="0" fontId="17" fillId="0" borderId="0" xfId="0" applyFont="1" applyAlignment="1">
      <alignment horizontal="center" vertical="center"/>
    </xf>
    <xf numFmtId="0" fontId="9" fillId="12"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4" xfId="0" applyFont="1" applyFill="1" applyBorder="1" applyAlignment="1">
      <alignment horizontal="center" vertical="center"/>
    </xf>
    <xf numFmtId="0" fontId="1" fillId="0" borderId="4" xfId="0" applyFont="1" applyBorder="1" applyAlignment="1">
      <alignment horizontal="left" vertical="center"/>
    </xf>
    <xf numFmtId="0" fontId="5" fillId="2" borderId="4" xfId="0" applyFont="1" applyFill="1" applyBorder="1" applyAlignment="1" applyProtection="1">
      <alignment horizontal="center" vertical="center"/>
      <protection locked="0"/>
    </xf>
    <xf numFmtId="0" fontId="5" fillId="0" borderId="43" xfId="0" applyFont="1" applyBorder="1" applyAlignment="1">
      <alignment horizontal="center" vertical="center" textRotation="90"/>
    </xf>
    <xf numFmtId="0" fontId="5" fillId="0" borderId="37" xfId="0" applyFont="1" applyBorder="1" applyAlignment="1">
      <alignment horizontal="center" vertical="center" textRotation="90"/>
    </xf>
    <xf numFmtId="0" fontId="5" fillId="0" borderId="12" xfId="0" applyFont="1" applyBorder="1" applyAlignment="1">
      <alignment horizontal="center" vertical="center" textRotation="90"/>
    </xf>
    <xf numFmtId="1" fontId="5" fillId="0" borderId="43" xfId="0" applyNumberFormat="1" applyFont="1" applyBorder="1" applyAlignment="1">
      <alignment horizontal="center" vertical="center"/>
    </xf>
    <xf numFmtId="1" fontId="5" fillId="0" borderId="12" xfId="0" applyNumberFormat="1"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left" vertical="center"/>
    </xf>
    <xf numFmtId="0" fontId="1" fillId="0" borderId="4" xfId="0" applyFont="1" applyBorder="1" applyAlignment="1">
      <alignment horizontal="left" vertical="center" wrapText="1"/>
    </xf>
    <xf numFmtId="0" fontId="1" fillId="2" borderId="4" xfId="0" applyFont="1" applyFill="1" applyBorder="1" applyAlignment="1" applyProtection="1">
      <alignment horizontal="left" vertical="center"/>
      <protection locked="0"/>
    </xf>
    <xf numFmtId="2" fontId="1" fillId="10" borderId="4" xfId="0" applyNumberFormat="1" applyFont="1" applyFill="1" applyBorder="1" applyAlignment="1">
      <alignment horizontal="center" vertical="center"/>
    </xf>
    <xf numFmtId="167" fontId="1" fillId="0" borderId="4" xfId="0" applyNumberFormat="1" applyFont="1" applyBorder="1" applyAlignment="1">
      <alignment horizontal="center" vertical="center"/>
    </xf>
    <xf numFmtId="0" fontId="5" fillId="12" borderId="23" xfId="0" applyFont="1" applyFill="1" applyBorder="1" applyAlignment="1">
      <alignment horizontal="center" vertical="center" wrapText="1"/>
    </xf>
    <xf numFmtId="0" fontId="5" fillId="0" borderId="12" xfId="0" applyFont="1" applyBorder="1" applyAlignment="1">
      <alignment horizontal="left" vertical="center"/>
    </xf>
    <xf numFmtId="0" fontId="1" fillId="0" borderId="46" xfId="0" applyFont="1" applyBorder="1" applyAlignment="1">
      <alignment horizontal="center"/>
    </xf>
    <xf numFmtId="0" fontId="1" fillId="0" borderId="23" xfId="0" applyFont="1" applyBorder="1" applyAlignment="1">
      <alignment horizontal="left" vertical="center"/>
    </xf>
    <xf numFmtId="0" fontId="5" fillId="0" borderId="33" xfId="0" applyFont="1" applyBorder="1" applyAlignment="1">
      <alignment horizontal="left" vertical="center"/>
    </xf>
    <xf numFmtId="0" fontId="1" fillId="0" borderId="43" xfId="0" applyFont="1" applyBorder="1" applyAlignment="1">
      <alignment horizontal="left" vertical="center"/>
    </xf>
    <xf numFmtId="0" fontId="22" fillId="12" borderId="49" xfId="0" applyFont="1" applyFill="1" applyBorder="1" applyAlignment="1">
      <alignment horizontal="center" vertical="center"/>
    </xf>
    <xf numFmtId="0" fontId="7" fillId="13" borderId="15" xfId="0" applyFont="1" applyFill="1" applyBorder="1" applyAlignment="1">
      <alignment horizontal="center" wrapText="1"/>
    </xf>
    <xf numFmtId="0" fontId="7" fillId="12" borderId="20" xfId="0" applyFont="1" applyFill="1" applyBorder="1" applyAlignment="1">
      <alignment horizontal="center" vertical="center"/>
    </xf>
    <xf numFmtId="0" fontId="24" fillId="12" borderId="19" xfId="0" applyFont="1" applyFill="1" applyBorder="1" applyAlignment="1">
      <alignment horizontal="left" vertical="center"/>
    </xf>
    <xf numFmtId="0" fontId="24" fillId="12" borderId="17" xfId="0" applyFont="1" applyFill="1" applyBorder="1" applyAlignment="1">
      <alignment horizontal="left" vertical="center"/>
    </xf>
    <xf numFmtId="0" fontId="24" fillId="12" borderId="20" xfId="0" applyFont="1" applyFill="1" applyBorder="1" applyAlignment="1">
      <alignment horizontal="left" vertical="center"/>
    </xf>
    <xf numFmtId="0" fontId="24" fillId="0" borderId="17" xfId="0" applyFont="1" applyBorder="1" applyAlignment="1">
      <alignment horizontal="left" vertical="center"/>
    </xf>
    <xf numFmtId="0" fontId="10" fillId="0" borderId="17" xfId="0" applyFont="1" applyBorder="1" applyAlignment="1">
      <alignment horizontal="left" vertical="center" wrapText="1"/>
    </xf>
    <xf numFmtId="0" fontId="10" fillId="0" borderId="17" xfId="0" applyFont="1" applyBorder="1" applyAlignment="1">
      <alignment horizontal="left" vertical="center"/>
    </xf>
    <xf numFmtId="0" fontId="25" fillId="0" borderId="17" xfId="0" applyFont="1" applyBorder="1" applyAlignment="1">
      <alignment horizontal="left" vertical="center"/>
    </xf>
    <xf numFmtId="0" fontId="28" fillId="15" borderId="35"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24" fillId="12" borderId="20" xfId="0" applyFont="1" applyFill="1" applyBorder="1" applyAlignment="1">
      <alignment horizontal="center" vertical="center"/>
    </xf>
    <xf numFmtId="0" fontId="24" fillId="12" borderId="42" xfId="0" applyFont="1" applyFill="1" applyBorder="1" applyAlignment="1">
      <alignment horizontal="left" vertical="center"/>
    </xf>
    <xf numFmtId="0" fontId="18" fillId="14" borderId="51" xfId="0" applyFont="1" applyFill="1" applyBorder="1" applyAlignment="1">
      <alignment horizontal="justify" wrapText="1"/>
    </xf>
    <xf numFmtId="0" fontId="19" fillId="18"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9" fillId="8" borderId="58" xfId="0" applyFont="1" applyFill="1" applyBorder="1" applyAlignment="1">
      <alignment horizontal="center" vertical="center"/>
    </xf>
    <xf numFmtId="0" fontId="17" fillId="12" borderId="65" xfId="0" applyFont="1" applyFill="1" applyBorder="1" applyAlignment="1">
      <alignment horizontal="center" vertical="center" wrapText="1"/>
    </xf>
    <xf numFmtId="0" fontId="7" fillId="12" borderId="51" xfId="0" applyFont="1" applyFill="1" applyBorder="1" applyAlignment="1">
      <alignment horizontal="center" vertical="center" textRotation="90"/>
    </xf>
    <xf numFmtId="0" fontId="7" fillId="12" borderId="49" xfId="0" applyFont="1" applyFill="1" applyBorder="1" applyAlignment="1">
      <alignment horizontal="center" vertical="center" textRotation="90"/>
    </xf>
    <xf numFmtId="0" fontId="5" fillId="12" borderId="49" xfId="0" applyFont="1" applyFill="1" applyBorder="1" applyAlignment="1">
      <alignment horizontal="center" vertical="center" wrapText="1"/>
    </xf>
    <xf numFmtId="0" fontId="17" fillId="12" borderId="56" xfId="0" applyFont="1" applyFill="1" applyBorder="1" applyAlignment="1">
      <alignment horizontal="center" vertical="center"/>
    </xf>
    <xf numFmtId="0" fontId="17" fillId="12" borderId="51" xfId="0" applyFont="1" applyFill="1" applyBorder="1" applyAlignment="1">
      <alignment horizontal="center" vertical="center" wrapText="1"/>
    </xf>
    <xf numFmtId="0" fontId="5" fillId="12" borderId="66"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36" xfId="0" applyFont="1" applyFill="1" applyBorder="1" applyAlignment="1">
      <alignment horizontal="center" vertical="center" wrapText="1"/>
    </xf>
    <xf numFmtId="0" fontId="7" fillId="12" borderId="36" xfId="0" applyFont="1" applyFill="1" applyBorder="1" applyAlignment="1">
      <alignment horizontal="center" vertical="center" wrapText="1"/>
    </xf>
    <xf numFmtId="0" fontId="9" fillId="12" borderId="39" xfId="0" applyFont="1" applyFill="1" applyBorder="1" applyAlignment="1">
      <alignment horizontal="center" vertical="center" wrapText="1"/>
    </xf>
    <xf numFmtId="0" fontId="9" fillId="12" borderId="62" xfId="0" applyFont="1" applyFill="1" applyBorder="1" applyAlignment="1">
      <alignment horizontal="center" vertical="center" wrapText="1"/>
    </xf>
    <xf numFmtId="0" fontId="9" fillId="12" borderId="34" xfId="0" applyFont="1" applyFill="1" applyBorder="1" applyAlignment="1">
      <alignment horizontal="center" vertical="center" wrapText="1"/>
    </xf>
    <xf numFmtId="0" fontId="1" fillId="0" borderId="3" xfId="0" applyFont="1" applyBorder="1" applyAlignment="1">
      <alignment horizontal="left" vertical="center" wrapText="1"/>
    </xf>
    <xf numFmtId="0" fontId="17" fillId="12" borderId="9" xfId="0" applyFont="1" applyFill="1" applyBorder="1" applyAlignment="1">
      <alignment horizontal="center" vertical="center" wrapText="1"/>
    </xf>
    <xf numFmtId="0" fontId="17" fillId="12" borderId="9" xfId="0" applyFont="1" applyFill="1" applyBorder="1" applyAlignment="1">
      <alignment horizontal="left" vertical="center"/>
    </xf>
    <xf numFmtId="0" fontId="13" fillId="0" borderId="49" xfId="0" applyFont="1" applyBorder="1" applyAlignment="1">
      <alignment horizontal="left"/>
    </xf>
    <xf numFmtId="0" fontId="9" fillId="0" borderId="49" xfId="0" applyFont="1" applyBorder="1" applyAlignment="1">
      <alignment horizontal="left" vertical="center" wrapText="1"/>
    </xf>
    <xf numFmtId="0" fontId="9" fillId="0" borderId="51" xfId="0" applyFont="1" applyBorder="1" applyAlignment="1">
      <alignment horizontal="left" vertical="top" wrapText="1"/>
    </xf>
    <xf numFmtId="0" fontId="5" fillId="0" borderId="43" xfId="0" applyFont="1" applyBorder="1" applyAlignment="1">
      <alignment horizontal="center" vertical="center"/>
    </xf>
    <xf numFmtId="0" fontId="5" fillId="0" borderId="12" xfId="0" applyFont="1" applyBorder="1" applyAlignment="1">
      <alignment horizontal="center" vertical="center"/>
    </xf>
    <xf numFmtId="0" fontId="9" fillId="12" borderId="35" xfId="0" applyFont="1" applyFill="1" applyBorder="1" applyAlignment="1">
      <alignment horizontal="center" vertical="center" wrapText="1"/>
    </xf>
    <xf numFmtId="0" fontId="16" fillId="12" borderId="67" xfId="0" applyFont="1" applyFill="1" applyBorder="1" applyAlignment="1">
      <alignment horizontal="center" vertical="center" wrapText="1"/>
    </xf>
    <xf numFmtId="0" fontId="5" fillId="0" borderId="4" xfId="0" applyFont="1" applyBorder="1" applyAlignment="1">
      <alignment horizontal="center" vertical="center"/>
    </xf>
    <xf numFmtId="0" fontId="9" fillId="12" borderId="45"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19" fillId="12" borderId="49" xfId="0" applyFont="1" applyFill="1" applyBorder="1" applyAlignment="1">
      <alignment horizontal="center" vertical="center"/>
    </xf>
    <xf numFmtId="0" fontId="5" fillId="13" borderId="15" xfId="0" applyFont="1" applyFill="1" applyBorder="1" applyAlignment="1">
      <alignment horizontal="center" vertical="center" wrapText="1"/>
    </xf>
    <xf numFmtId="0" fontId="30" fillId="12" borderId="1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6" borderId="4" xfId="0" applyFont="1" applyFill="1" applyBorder="1" applyAlignment="1">
      <alignment horizontal="center" vertical="center" wrapText="1"/>
    </xf>
    <xf numFmtId="0" fontId="25" fillId="12" borderId="43" xfId="0" applyFont="1" applyFill="1" applyBorder="1" applyAlignment="1">
      <alignment horizontal="center" vertical="center" wrapText="1"/>
    </xf>
    <xf numFmtId="0" fontId="25" fillId="12" borderId="37" xfId="0" applyFont="1" applyFill="1" applyBorder="1" applyAlignment="1">
      <alignment horizontal="center" vertical="center" wrapText="1"/>
    </xf>
    <xf numFmtId="0" fontId="25" fillId="12" borderId="12" xfId="0" applyFont="1" applyFill="1" applyBorder="1" applyAlignment="1">
      <alignment horizontal="center" vertical="center" wrapText="1"/>
    </xf>
    <xf numFmtId="0" fontId="7" fillId="12" borderId="43" xfId="0" applyFont="1" applyFill="1" applyBorder="1" applyAlignment="1">
      <alignment horizontal="center" vertical="center" wrapText="1"/>
    </xf>
    <xf numFmtId="0" fontId="7" fillId="12" borderId="37"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17" fillId="0" borderId="22" xfId="0" applyFont="1" applyBorder="1" applyAlignment="1">
      <alignment horizontal="center" vertical="center"/>
    </xf>
    <xf numFmtId="0" fontId="5" fillId="0" borderId="59" xfId="0" applyFont="1" applyBorder="1" applyAlignment="1">
      <alignment horizontal="center" vertical="center"/>
    </xf>
    <xf numFmtId="0" fontId="5" fillId="0" borderId="71" xfId="0" applyFont="1" applyBorder="1" applyAlignment="1">
      <alignment horizontal="center" vertical="center"/>
    </xf>
    <xf numFmtId="0" fontId="5" fillId="0" borderId="30" xfId="0" applyFont="1" applyBorder="1" applyAlignment="1">
      <alignment horizontal="center" vertical="center"/>
    </xf>
    <xf numFmtId="0" fontId="17" fillId="0" borderId="49" xfId="0" applyFont="1" applyBorder="1" applyAlignment="1">
      <alignment horizontal="center" vertical="center"/>
    </xf>
    <xf numFmtId="0" fontId="7" fillId="13" borderId="20" xfId="0" applyFont="1" applyFill="1" applyBorder="1" applyAlignment="1">
      <alignment horizontal="center" vertical="center" wrapText="1"/>
    </xf>
    <xf numFmtId="0" fontId="7" fillId="0" borderId="20" xfId="0" applyFont="1" applyBorder="1" applyAlignment="1">
      <alignment horizontal="center" vertical="center"/>
    </xf>
    <xf numFmtId="49" fontId="5" fillId="12" borderId="22" xfId="0" applyNumberFormat="1" applyFont="1" applyFill="1" applyBorder="1" applyAlignment="1">
      <alignment horizontal="left" vertical="center" wrapText="1"/>
    </xf>
    <xf numFmtId="4" fontId="7" fillId="0" borderId="39" xfId="0" applyNumberFormat="1" applyFont="1" applyBorder="1" applyAlignment="1">
      <alignment horizontal="center" vertical="center"/>
    </xf>
    <xf numFmtId="4" fontId="7" fillId="0" borderId="55" xfId="0" applyNumberFormat="1" applyFont="1" applyBorder="1" applyAlignment="1">
      <alignment horizontal="center" vertical="center"/>
    </xf>
    <xf numFmtId="4" fontId="7" fillId="0" borderId="21" xfId="0" applyNumberFormat="1" applyFont="1" applyBorder="1" applyAlignment="1">
      <alignment horizontal="center" vertical="center"/>
    </xf>
    <xf numFmtId="0" fontId="5" fillId="0" borderId="17" xfId="0" applyFont="1" applyBorder="1" applyAlignment="1">
      <alignment horizontal="center" vertical="center"/>
    </xf>
    <xf numFmtId="0" fontId="7" fillId="13" borderId="4" xfId="0" applyFont="1" applyFill="1" applyBorder="1" applyAlignment="1">
      <alignment horizontal="center" vertical="center" wrapText="1"/>
    </xf>
    <xf numFmtId="0" fontId="17" fillId="12" borderId="9" xfId="0" applyFont="1" applyFill="1" applyBorder="1" applyAlignment="1">
      <alignment horizontal="center" vertical="center"/>
    </xf>
    <xf numFmtId="0" fontId="7" fillId="13" borderId="1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1" fillId="0" borderId="20" xfId="0" applyFont="1" applyBorder="1" applyAlignment="1">
      <alignment horizontal="left" vertical="center"/>
    </xf>
    <xf numFmtId="0" fontId="9" fillId="0" borderId="53" xfId="0" applyFont="1" applyBorder="1" applyAlignment="1">
      <alignment horizontal="center" vertical="center" wrapText="1"/>
    </xf>
    <xf numFmtId="0" fontId="9" fillId="0" borderId="69" xfId="0" applyFont="1" applyBorder="1" applyAlignment="1">
      <alignment horizontal="center" vertical="center" wrapText="1"/>
    </xf>
    <xf numFmtId="0" fontId="17" fillId="12" borderId="56" xfId="0" applyFont="1" applyFill="1" applyBorder="1" applyAlignment="1">
      <alignment horizontal="left" vertical="center"/>
    </xf>
    <xf numFmtId="4" fontId="7" fillId="0" borderId="24" xfId="0" applyNumberFormat="1" applyFont="1" applyBorder="1" applyAlignment="1">
      <alignment horizontal="center" vertical="center"/>
    </xf>
    <xf numFmtId="4" fontId="7" fillId="0" borderId="71" xfId="0" applyNumberFormat="1" applyFont="1" applyBorder="1" applyAlignment="1">
      <alignment horizontal="center" vertical="center"/>
    </xf>
    <xf numFmtId="4" fontId="7" fillId="0" borderId="30" xfId="0" applyNumberFormat="1" applyFont="1" applyBorder="1" applyAlignment="1">
      <alignment horizontal="center" vertical="center"/>
    </xf>
    <xf numFmtId="4" fontId="7" fillId="0" borderId="22" xfId="0" applyNumberFormat="1" applyFont="1" applyBorder="1" applyAlignment="1">
      <alignment horizontal="center" vertical="center"/>
    </xf>
    <xf numFmtId="0" fontId="9" fillId="0" borderId="42"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1" xfId="0" applyFont="1" applyBorder="1" applyAlignment="1">
      <alignment horizontal="center" vertical="center" wrapText="1"/>
    </xf>
    <xf numFmtId="4" fontId="7" fillId="0" borderId="59" xfId="0" applyNumberFormat="1" applyFont="1" applyBorder="1" applyAlignment="1">
      <alignment horizontal="center" vertical="center"/>
    </xf>
    <xf numFmtId="0" fontId="17" fillId="12" borderId="49" xfId="0" applyFont="1" applyFill="1" applyBorder="1" applyAlignment="1">
      <alignment horizontal="center" vertical="center"/>
    </xf>
    <xf numFmtId="0" fontId="2" fillId="0" borderId="51" xfId="0" applyFont="1" applyBorder="1" applyAlignment="1">
      <alignment horizontal="left" vertical="center" wrapText="1"/>
    </xf>
    <xf numFmtId="0" fontId="7" fillId="0" borderId="35" xfId="0" applyFont="1" applyBorder="1" applyAlignment="1">
      <alignment horizontal="left" vertical="center" wrapText="1"/>
    </xf>
    <xf numFmtId="4" fontId="25" fillId="12" borderId="9" xfId="0" applyNumberFormat="1" applyFont="1" applyFill="1" applyBorder="1" applyAlignment="1">
      <alignment horizontal="center" vertical="center" wrapText="1"/>
    </xf>
    <xf numFmtId="0" fontId="7" fillId="12" borderId="59" xfId="0" applyFont="1" applyFill="1" applyBorder="1" applyAlignment="1">
      <alignment horizontal="left" vertical="center" wrapText="1"/>
    </xf>
    <xf numFmtId="0" fontId="7" fillId="12" borderId="35" xfId="0" applyFont="1" applyFill="1" applyBorder="1" applyAlignment="1">
      <alignment horizontal="center" vertical="center"/>
    </xf>
    <xf numFmtId="0" fontId="10" fillId="0" borderId="4" xfId="0" applyFont="1" applyBorder="1" applyAlignment="1">
      <alignment horizontal="center" vertical="center"/>
    </xf>
    <xf numFmtId="4" fontId="10" fillId="0" borderId="19" xfId="0" applyNumberFormat="1" applyFont="1" applyBorder="1" applyAlignment="1">
      <alignment horizontal="center" vertical="center" wrapText="1"/>
    </xf>
    <xf numFmtId="0" fontId="9" fillId="0" borderId="42" xfId="0" applyFont="1" applyBorder="1" applyAlignment="1">
      <alignment horizontal="center" vertical="center"/>
    </xf>
    <xf numFmtId="0" fontId="7" fillId="12" borderId="4" xfId="0" applyFont="1" applyFill="1" applyBorder="1" applyAlignment="1">
      <alignment horizontal="left" vertical="center"/>
    </xf>
    <xf numFmtId="0" fontId="9" fillId="0" borderId="37" xfId="0" applyFont="1" applyBorder="1" applyAlignment="1">
      <alignment horizontal="left" vertical="center"/>
    </xf>
    <xf numFmtId="0" fontId="7" fillId="12" borderId="62" xfId="0" applyFont="1" applyFill="1" applyBorder="1" applyAlignment="1">
      <alignment horizontal="left" vertical="center"/>
    </xf>
    <xf numFmtId="0" fontId="7" fillId="12" borderId="15" xfId="0" applyFont="1" applyFill="1" applyBorder="1" applyAlignment="1">
      <alignment horizontal="center" vertical="center"/>
    </xf>
    <xf numFmtId="0" fontId="9" fillId="0" borderId="17" xfId="0" applyFont="1" applyBorder="1" applyAlignment="1">
      <alignment horizontal="center" vertical="center"/>
    </xf>
    <xf numFmtId="0" fontId="9" fillId="0" borderId="4" xfId="0" applyFont="1" applyBorder="1" applyAlignment="1">
      <alignment horizontal="center" vertical="center"/>
    </xf>
    <xf numFmtId="4" fontId="9" fillId="0" borderId="19" xfId="0" applyNumberFormat="1" applyFont="1" applyBorder="1" applyAlignment="1">
      <alignment horizontal="center" vertical="center"/>
    </xf>
    <xf numFmtId="0" fontId="9" fillId="0" borderId="17" xfId="0" applyFont="1" applyBorder="1" applyAlignment="1">
      <alignment horizontal="left" vertical="center"/>
    </xf>
    <xf numFmtId="0" fontId="9" fillId="0" borderId="17" xfId="0" applyFont="1" applyBorder="1" applyAlignment="1">
      <alignment horizontal="left" vertical="center" wrapText="1"/>
    </xf>
    <xf numFmtId="0" fontId="9" fillId="0" borderId="42" xfId="0" applyFont="1" applyBorder="1" applyAlignment="1">
      <alignment horizontal="left" vertical="center"/>
    </xf>
    <xf numFmtId="0" fontId="7" fillId="12" borderId="5" xfId="0" applyFont="1" applyFill="1" applyBorder="1" applyAlignment="1">
      <alignment horizontal="left" vertical="center"/>
    </xf>
    <xf numFmtId="4" fontId="9" fillId="0" borderId="50" xfId="0" applyNumberFormat="1" applyFont="1" applyBorder="1" applyAlignment="1">
      <alignment horizontal="center" vertical="center" wrapText="1"/>
    </xf>
    <xf numFmtId="0" fontId="9" fillId="0" borderId="17" xfId="0" applyFont="1" applyBorder="1" applyAlignment="1">
      <alignment vertical="center"/>
    </xf>
    <xf numFmtId="0" fontId="7" fillId="12" borderId="56" xfId="0" applyFont="1" applyFill="1" applyBorder="1" applyAlignment="1">
      <alignment horizontal="left" vertical="center"/>
    </xf>
    <xf numFmtId="0" fontId="7" fillId="12" borderId="36" xfId="0" applyFont="1" applyFill="1" applyBorder="1" applyAlignment="1">
      <alignment horizontal="center" vertical="center"/>
    </xf>
    <xf numFmtId="4" fontId="7" fillId="13" borderId="23" xfId="0" applyNumberFormat="1" applyFont="1" applyFill="1" applyBorder="1" applyAlignment="1">
      <alignment horizontal="center" vertical="center" wrapText="1"/>
    </xf>
    <xf numFmtId="0" fontId="7" fillId="12" borderId="42" xfId="0" applyFont="1" applyFill="1" applyBorder="1" applyAlignment="1">
      <alignment horizontal="center" vertical="center"/>
    </xf>
    <xf numFmtId="0" fontId="7" fillId="12" borderId="17" xfId="0" applyFont="1" applyFill="1" applyBorder="1" applyAlignment="1">
      <alignment vertical="center"/>
    </xf>
    <xf numFmtId="0" fontId="7" fillId="12" borderId="17" xfId="0" applyFont="1" applyFill="1" applyBorder="1" applyAlignment="1">
      <alignment vertical="center" wrapText="1"/>
    </xf>
    <xf numFmtId="0" fontId="7" fillId="12" borderId="22" xfId="0" applyFont="1" applyFill="1" applyBorder="1" applyAlignment="1">
      <alignment vertical="center"/>
    </xf>
    <xf numFmtId="0" fontId="40" fillId="12" borderId="51" xfId="0" applyFont="1" applyFill="1" applyBorder="1" applyAlignment="1">
      <alignment horizontal="center" vertical="center" wrapText="1"/>
    </xf>
    <xf numFmtId="0" fontId="25" fillId="8" borderId="9" xfId="0" applyFont="1" applyFill="1" applyBorder="1" applyAlignment="1">
      <alignment horizontal="center" vertical="center"/>
    </xf>
    <xf numFmtId="10" fontId="27" fillId="8" borderId="36" xfId="0" applyNumberFormat="1" applyFont="1" applyFill="1" applyBorder="1" applyAlignment="1">
      <alignment horizontal="center" vertical="center"/>
    </xf>
    <xf numFmtId="0" fontId="27" fillId="8" borderId="36" xfId="0" applyFont="1" applyFill="1" applyBorder="1" applyAlignment="1">
      <alignment horizontal="left" vertical="center" wrapText="1"/>
    </xf>
    <xf numFmtId="0" fontId="41" fillId="8" borderId="36" xfId="0" applyFont="1" applyFill="1" applyBorder="1" applyAlignment="1">
      <alignment horizontal="center" vertical="center"/>
    </xf>
    <xf numFmtId="0" fontId="42" fillId="20" borderId="7" xfId="0" applyFont="1" applyFill="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left" vertical="center"/>
    </xf>
    <xf numFmtId="0" fontId="27" fillId="0" borderId="17" xfId="0" applyFont="1" applyBorder="1" applyAlignment="1">
      <alignment horizontal="left" vertical="center" wrapText="1"/>
    </xf>
    <xf numFmtId="0" fontId="27" fillId="12" borderId="19" xfId="0" applyFont="1" applyFill="1" applyBorder="1" applyAlignment="1">
      <alignment horizontal="center" vertical="center"/>
    </xf>
    <xf numFmtId="0" fontId="27" fillId="0" borderId="17" xfId="0" applyFont="1" applyBorder="1" applyAlignment="1">
      <alignment horizontal="left" vertical="center"/>
    </xf>
    <xf numFmtId="0" fontId="27" fillId="12" borderId="4" xfId="0" applyFont="1" applyFill="1" applyBorder="1" applyAlignment="1">
      <alignment horizontal="left" vertical="center" wrapText="1"/>
    </xf>
    <xf numFmtId="0" fontId="7" fillId="0" borderId="4" xfId="0" applyFont="1" applyBorder="1" applyAlignment="1">
      <alignment horizontal="left" vertical="center" wrapText="1"/>
    </xf>
    <xf numFmtId="0" fontId="27" fillId="12" borderId="9" xfId="0" applyFont="1" applyFill="1" applyBorder="1" applyAlignment="1">
      <alignment horizontal="center" vertical="center"/>
    </xf>
    <xf numFmtId="0" fontId="27" fillId="8" borderId="9" xfId="0" applyFont="1" applyFill="1" applyBorder="1" applyAlignment="1">
      <alignment horizontal="center" vertical="center"/>
    </xf>
    <xf numFmtId="0" fontId="27" fillId="12" borderId="14" xfId="0" applyFont="1" applyFill="1" applyBorder="1" applyAlignment="1">
      <alignment horizontal="center" vertical="center"/>
    </xf>
    <xf numFmtId="0" fontId="17" fillId="16" borderId="4" xfId="0" applyFont="1" applyFill="1" applyBorder="1" applyAlignment="1">
      <alignment horizontal="center" vertical="center" wrapText="1"/>
    </xf>
    <xf numFmtId="0" fontId="25" fillId="0" borderId="21" xfId="0" applyFont="1" applyBorder="1" applyAlignment="1">
      <alignment horizontal="left" vertical="center"/>
    </xf>
    <xf numFmtId="0" fontId="28" fillId="16" borderId="4" xfId="0" applyFont="1" applyFill="1" applyBorder="1" applyAlignment="1">
      <alignment horizontal="center" vertical="center"/>
    </xf>
  </cellXfs>
  <cellStyles count="5">
    <cellStyle name="Excel Built-in Explanatory Text" xfId="4" xr:uid="{00000000-0005-0000-0000-000000000000}"/>
    <cellStyle name="Moeda" xfId="2" builtinId="4"/>
    <cellStyle name="Normal" xfId="0" builtinId="0"/>
    <cellStyle name="Porcentagem" xfId="3" builtinId="5"/>
    <cellStyle name="Vírgula" xfId="1" builtinId="3"/>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indexedColors>
      <rgbColor rgb="FF000000"/>
      <rgbColor rgb="FFFFFFFF"/>
      <rgbColor rgb="FFFF0000"/>
      <rgbColor rgb="FF00FF00"/>
      <rgbColor rgb="FF0000FF"/>
      <rgbColor rgb="FFFFF2CC"/>
      <rgbColor rgb="FFFF00FF"/>
      <rgbColor rgb="FF00FFFF"/>
      <rgbColor rgb="FF9C0006"/>
      <rgbColor rgb="FF006100"/>
      <rgbColor rgb="FF000080"/>
      <rgbColor rgb="FF808000"/>
      <rgbColor rgb="FF800080"/>
      <rgbColor rgb="FF008080"/>
      <rgbColor rgb="FFC0C0C0"/>
      <rgbColor rgb="FF808080"/>
      <rgbColor rgb="FFD9D9D9"/>
      <rgbColor rgb="FF993366"/>
      <rgbColor rgb="FFFFFFCC"/>
      <rgbColor rgb="FFDEEBF7"/>
      <rgbColor rgb="FF660066"/>
      <rgbColor rgb="FFF2DCDB"/>
      <rgbColor rgb="FF0066CC"/>
      <rgbColor rgb="FFBDD7EE"/>
      <rgbColor rgb="FF000080"/>
      <rgbColor rgb="FFFF00FF"/>
      <rgbColor rgb="FFF2F2F2"/>
      <rgbColor rgb="FF00FFFF"/>
      <rgbColor rgb="FF800080"/>
      <rgbColor rgb="FFC00000"/>
      <rgbColor rgb="FF008080"/>
      <rgbColor rgb="FF0000FF"/>
      <rgbColor rgb="FF00B0F0"/>
      <rgbColor rgb="FFC6EFCE"/>
      <rgbColor rgb="FFCCFFCC"/>
      <rgbColor rgb="FFFFFF99"/>
      <rgbColor rgb="FFADB9CA"/>
      <rgbColor rgb="FFFFC7CE"/>
      <rgbColor rgb="FFBFBFBF"/>
      <rgbColor rgb="FFF8CBAD"/>
      <rgbColor rgb="FF3366CC"/>
      <rgbColor rgb="FF33CCCC"/>
      <rgbColor rgb="FF99CC00"/>
      <rgbColor rgb="FFFFD966"/>
      <rgbColor rgb="FFFF9900"/>
      <rgbColor rgb="FFFF6600"/>
      <rgbColor rgb="FF606060"/>
      <rgbColor rgb="FFDCE6F2"/>
      <rgbColor rgb="FF10243E"/>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38160</xdr:colOff>
      <xdr:row>0</xdr:row>
      <xdr:rowOff>76320</xdr:rowOff>
    </xdr:from>
    <xdr:to>
      <xdr:col>1</xdr:col>
      <xdr:colOff>1440</xdr:colOff>
      <xdr:row>2</xdr:row>
      <xdr:rowOff>83160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xdr:blipFill>
      <xdr:spPr>
        <a:xfrm>
          <a:off x="38160" y="76320"/>
          <a:ext cx="406440" cy="47340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6" name="Picture 1">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7" name="Picture 1">
          <a:extLst>
            <a:ext uri="{FF2B5EF4-FFF2-40B4-BE49-F238E27FC236}">
              <a16:creationId xmlns:a16="http://schemas.microsoft.com/office/drawing/2014/main" id="{00000000-0008-0000-0A00-000011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xdr:blipFill>
      <xdr:spPr>
        <a:xfrm>
          <a:off x="171360" y="38160"/>
          <a:ext cx="407160" cy="47388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8" name="Picture 1">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19" name="Picture 1">
          <a:extLst>
            <a:ext uri="{FF2B5EF4-FFF2-40B4-BE49-F238E27FC236}">
              <a16:creationId xmlns:a16="http://schemas.microsoft.com/office/drawing/2014/main" id="{00000000-0008-0000-0D00-000013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xdr:blipFill>
      <xdr:spPr>
        <a:xfrm>
          <a:off x="171360" y="38160"/>
          <a:ext cx="407160" cy="473880"/>
        </a:xfrm>
        <a:prstGeom prst="rect">
          <a:avLst/>
        </a:prstGeom>
        <a:ln w="0">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171360</xdr:colOff>
      <xdr:row>0</xdr:row>
      <xdr:rowOff>38160</xdr:rowOff>
    </xdr:from>
    <xdr:to>
      <xdr:col>0</xdr:col>
      <xdr:colOff>578520</xdr:colOff>
      <xdr:row>2</xdr:row>
      <xdr:rowOff>131040</xdr:rowOff>
    </xdr:to>
    <xdr:pic>
      <xdr:nvPicPr>
        <xdr:cNvPr id="20" name="Picture 1">
          <a:extLst>
            <a:ext uri="{FF2B5EF4-FFF2-40B4-BE49-F238E27FC236}">
              <a16:creationId xmlns:a16="http://schemas.microsoft.com/office/drawing/2014/main" id="{00000000-0008-0000-0F00-000014000000}"/>
            </a:ext>
          </a:extLst>
        </xdr:cNvPr>
        <xdr:cNvPicPr/>
      </xdr:nvPicPr>
      <xdr:blipFill>
        <a:blip xmlns:r="http://schemas.openxmlformats.org/officeDocument/2006/relationships" r:embed="rId1" cstate="print"/>
        <a:stretch/>
      </xdr:blipFill>
      <xdr:spPr>
        <a:xfrm>
          <a:off x="171360" y="38160"/>
          <a:ext cx="407160" cy="473760"/>
        </a:xfrm>
        <a:prstGeom prst="rect">
          <a:avLst/>
        </a:prstGeom>
        <a:ln w="0">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397800</xdr:colOff>
      <xdr:row>2</xdr:row>
      <xdr:rowOff>26280</xdr:rowOff>
    </xdr:to>
    <xdr:pic>
      <xdr:nvPicPr>
        <xdr:cNvPr id="22" name="Picture 1">
          <a:extLst>
            <a:ext uri="{FF2B5EF4-FFF2-40B4-BE49-F238E27FC236}">
              <a16:creationId xmlns:a16="http://schemas.microsoft.com/office/drawing/2014/main" id="{00000000-0008-0000-1000-000016000000}"/>
            </a:ext>
          </a:extLst>
        </xdr:cNvPr>
        <xdr:cNvPicPr/>
      </xdr:nvPicPr>
      <xdr:blipFill>
        <a:blip xmlns:r="http://schemas.openxmlformats.org/officeDocument/2006/relationships" r:embed="rId1" cstate="print"/>
        <a:stretch/>
      </xdr:blipFill>
      <xdr:spPr>
        <a:xfrm>
          <a:off x="95400" y="57240"/>
          <a:ext cx="302400" cy="349920"/>
        </a:xfrm>
        <a:prstGeom prst="rect">
          <a:avLst/>
        </a:prstGeom>
        <a:ln w="0">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142920</xdr:colOff>
      <xdr:row>0</xdr:row>
      <xdr:rowOff>38160</xdr:rowOff>
    </xdr:from>
    <xdr:to>
      <xdr:col>0</xdr:col>
      <xdr:colOff>454680</xdr:colOff>
      <xdr:row>2</xdr:row>
      <xdr:rowOff>131040</xdr:rowOff>
    </xdr:to>
    <xdr:pic>
      <xdr:nvPicPr>
        <xdr:cNvPr id="23" name="Picture 1">
          <a:extLst>
            <a:ext uri="{FF2B5EF4-FFF2-40B4-BE49-F238E27FC236}">
              <a16:creationId xmlns:a16="http://schemas.microsoft.com/office/drawing/2014/main" id="{00000000-0008-0000-1100-000017000000}"/>
            </a:ext>
          </a:extLst>
        </xdr:cNvPr>
        <xdr:cNvPicPr/>
      </xdr:nvPicPr>
      <xdr:blipFill>
        <a:blip xmlns:r="http://schemas.openxmlformats.org/officeDocument/2006/relationships" r:embed="rId1" cstate="print"/>
        <a:stretch/>
      </xdr:blipFill>
      <xdr:spPr>
        <a:xfrm>
          <a:off x="142920" y="38160"/>
          <a:ext cx="311760" cy="473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95400</xdr:colOff>
      <xdr:row>0</xdr:row>
      <xdr:rowOff>57240</xdr:rowOff>
    </xdr:from>
    <xdr:to>
      <xdr:col>0</xdr:col>
      <xdr:colOff>400680</xdr:colOff>
      <xdr:row>2</xdr:row>
      <xdr:rowOff>26280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xdr:blipFill>
      <xdr:spPr>
        <a:xfrm>
          <a:off x="95400" y="57240"/>
          <a:ext cx="305280" cy="3499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112680</xdr:colOff>
      <xdr:row>0</xdr:row>
      <xdr:rowOff>56160</xdr:rowOff>
    </xdr:from>
    <xdr:to>
      <xdr:col>0</xdr:col>
      <xdr:colOff>569160</xdr:colOff>
      <xdr:row>2</xdr:row>
      <xdr:rowOff>209940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xdr:blipFill>
      <xdr:spPr>
        <a:xfrm>
          <a:off x="112680" y="56160"/>
          <a:ext cx="456480" cy="52704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47520</xdr:colOff>
      <xdr:row>0</xdr:row>
      <xdr:rowOff>0</xdr:rowOff>
    </xdr:from>
    <xdr:to>
      <xdr:col>0</xdr:col>
      <xdr:colOff>454680</xdr:colOff>
      <xdr:row>2</xdr:row>
      <xdr:rowOff>92880</xdr:rowOff>
    </xdr:to>
    <xdr:pic>
      <xdr:nvPicPr>
        <xdr:cNvPr id="3" name="Picture 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tretch/>
      </xdr:blipFill>
      <xdr:spPr>
        <a:xfrm>
          <a:off x="47520" y="0"/>
          <a:ext cx="407160" cy="47376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257040</xdr:colOff>
      <xdr:row>0</xdr:row>
      <xdr:rowOff>66600</xdr:rowOff>
    </xdr:from>
    <xdr:to>
      <xdr:col>0</xdr:col>
      <xdr:colOff>664200</xdr:colOff>
      <xdr:row>2</xdr:row>
      <xdr:rowOff>94620</xdr:rowOff>
    </xdr:to>
    <xdr:pic>
      <xdr:nvPicPr>
        <xdr:cNvPr id="21" name="Picture 1">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tretch/>
      </xdr:blipFill>
      <xdr:spPr>
        <a:xfrm>
          <a:off x="257040" y="66600"/>
          <a:ext cx="407160" cy="41652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67320</xdr:colOff>
      <xdr:row>0</xdr:row>
      <xdr:rowOff>111960</xdr:rowOff>
    </xdr:from>
    <xdr:to>
      <xdr:col>1</xdr:col>
      <xdr:colOff>22320</xdr:colOff>
      <xdr:row>2</xdr:row>
      <xdr:rowOff>42120</xdr:rowOff>
    </xdr:to>
    <xdr:pic>
      <xdr:nvPicPr>
        <xdr:cNvPr id="4" name="Picture 1">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stretch/>
      </xdr:blipFill>
      <xdr:spPr>
        <a:xfrm>
          <a:off x="67320" y="111960"/>
          <a:ext cx="307440" cy="33984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38160</xdr:colOff>
      <xdr:row>0</xdr:row>
      <xdr:rowOff>85680</xdr:rowOff>
    </xdr:from>
    <xdr:to>
      <xdr:col>0</xdr:col>
      <xdr:colOff>359640</xdr:colOff>
      <xdr:row>2</xdr:row>
      <xdr:rowOff>102240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xdr:blipFill>
      <xdr:spPr>
        <a:xfrm>
          <a:off x="38160" y="85680"/>
          <a:ext cx="321480" cy="30231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38160</xdr:colOff>
      <xdr:row>0</xdr:row>
      <xdr:rowOff>85680</xdr:rowOff>
    </xdr:from>
    <xdr:to>
      <xdr:col>0</xdr:col>
      <xdr:colOff>359640</xdr:colOff>
      <xdr:row>2</xdr:row>
      <xdr:rowOff>102240</xdr:rowOff>
    </xdr:to>
    <xdr:pic>
      <xdr:nvPicPr>
        <xdr:cNvPr id="5" name="Picture 1">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stretch/>
      </xdr:blipFill>
      <xdr:spPr>
        <a:xfrm>
          <a:off x="38160" y="85680"/>
          <a:ext cx="321480" cy="30240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264600</xdr:colOff>
      <xdr:row>0</xdr:row>
      <xdr:rowOff>52200</xdr:rowOff>
    </xdr:from>
    <xdr:to>
      <xdr:col>0</xdr:col>
      <xdr:colOff>630765</xdr:colOff>
      <xdr:row>2</xdr:row>
      <xdr:rowOff>84090</xdr:rowOff>
    </xdr:to>
    <xdr:pic>
      <xdr:nvPicPr>
        <xdr:cNvPr id="6" name="Picture 1">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tretch/>
      </xdr:blipFill>
      <xdr:spPr>
        <a:xfrm>
          <a:off x="264600" y="52200"/>
          <a:ext cx="371880" cy="352080"/>
        </a:xfrm>
        <a:prstGeom prst="rect">
          <a:avLst/>
        </a:prstGeom>
        <a:ln w="0">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44"/>
  <sheetViews>
    <sheetView showGridLines="0" view="pageBreakPreview" topLeftCell="A4" zoomScaleNormal="115" zoomScaleSheetLayoutView="100" zoomScalePageLayoutView="140" workbookViewId="0">
      <selection activeCell="Q18" sqref="Q18"/>
    </sheetView>
  </sheetViews>
  <sheetFormatPr defaultColWidth="8.7109375" defaultRowHeight="15" x14ac:dyDescent="0.25"/>
  <cols>
    <col min="1" max="1" width="6.28515625" style="1" customWidth="1"/>
    <col min="2" max="2" width="41.42578125" style="1" customWidth="1"/>
    <col min="3" max="3" width="7.85546875" style="1" customWidth="1"/>
    <col min="4" max="4" width="16.28515625" style="1" customWidth="1"/>
    <col min="5" max="5" width="12.85546875" style="1" customWidth="1"/>
    <col min="6" max="6" width="16.28515625" style="1" customWidth="1"/>
    <col min="7" max="7" width="17.7109375" style="1" customWidth="1"/>
    <col min="8" max="8" width="20" style="1" customWidth="1"/>
    <col min="9" max="10" width="16.28515625" style="1" customWidth="1"/>
    <col min="11" max="12" width="13.85546875" style="2" customWidth="1"/>
    <col min="13" max="13" width="14.28515625" style="2" customWidth="1"/>
    <col min="14" max="14" width="15.42578125" style="1" customWidth="1"/>
    <col min="15" max="15" width="12.85546875" style="1" customWidth="1"/>
    <col min="16" max="16" width="16.42578125" style="1" customWidth="1"/>
    <col min="17" max="17" width="13.140625" style="1" customWidth="1"/>
    <col min="18" max="18" width="16.42578125" style="3" customWidth="1"/>
    <col min="19" max="19" width="10.140625" style="3" customWidth="1"/>
    <col min="20" max="20" width="13.28515625" style="3" customWidth="1"/>
    <col min="21" max="21" width="13.85546875" style="3" customWidth="1"/>
    <col min="22" max="22" width="13.7109375" style="3" customWidth="1"/>
    <col min="23" max="23" width="12.28515625" style="3" customWidth="1"/>
    <col min="24" max="256" width="9.140625" style="1" customWidth="1"/>
    <col min="257" max="257" width="6.28515625" style="1" customWidth="1"/>
    <col min="258" max="258" width="41.42578125" style="1" customWidth="1"/>
    <col min="259" max="259" width="7.85546875" style="1" customWidth="1"/>
    <col min="260" max="260" width="16.28515625" style="1" customWidth="1"/>
    <col min="261" max="261" width="12.85546875" style="1" customWidth="1"/>
    <col min="262" max="263" width="16.28515625" style="1" customWidth="1"/>
    <col min="264" max="264" width="13.28515625" style="1" customWidth="1"/>
    <col min="265" max="266" width="16.28515625" style="1" customWidth="1"/>
    <col min="267" max="268" width="13.85546875" style="1" customWidth="1"/>
    <col min="269" max="269" width="13" style="1" customWidth="1"/>
    <col min="270" max="270" width="13.5703125" style="1" customWidth="1"/>
    <col min="271" max="271" width="12.85546875" style="1" customWidth="1"/>
    <col min="272" max="272" width="14.140625" style="1" customWidth="1"/>
    <col min="273" max="273" width="12" style="1" customWidth="1"/>
    <col min="274" max="274" width="13" style="1" customWidth="1"/>
    <col min="275" max="275" width="11.85546875" style="1" customWidth="1"/>
    <col min="276" max="276" width="13.28515625" style="1" customWidth="1"/>
    <col min="277" max="277" width="12.28515625" style="1" customWidth="1"/>
    <col min="278" max="278" width="12.42578125" style="1" customWidth="1"/>
    <col min="279" max="279" width="10.5703125" style="1" customWidth="1"/>
    <col min="280" max="512" width="9.140625" style="1" customWidth="1"/>
    <col min="513" max="513" width="6.28515625" style="1" customWidth="1"/>
    <col min="514" max="514" width="41.42578125" style="1" customWidth="1"/>
    <col min="515" max="515" width="7.85546875" style="1" customWidth="1"/>
    <col min="516" max="516" width="16.28515625" style="1" customWidth="1"/>
    <col min="517" max="517" width="12.85546875" style="1" customWidth="1"/>
    <col min="518" max="519" width="16.28515625" style="1" customWidth="1"/>
    <col min="520" max="520" width="13.28515625" style="1" customWidth="1"/>
    <col min="521" max="522" width="16.28515625" style="1" customWidth="1"/>
    <col min="523" max="524" width="13.85546875" style="1" customWidth="1"/>
    <col min="525" max="525" width="13" style="1" customWidth="1"/>
    <col min="526" max="526" width="13.5703125" style="1" customWidth="1"/>
    <col min="527" max="527" width="12.85546875" style="1" customWidth="1"/>
    <col min="528" max="528" width="14.140625" style="1" customWidth="1"/>
    <col min="529" max="529" width="12" style="1" customWidth="1"/>
    <col min="530" max="530" width="13" style="1" customWidth="1"/>
    <col min="531" max="531" width="11.85546875" style="1" customWidth="1"/>
    <col min="532" max="532" width="13.28515625" style="1" customWidth="1"/>
    <col min="533" max="533" width="12.28515625" style="1" customWidth="1"/>
    <col min="534" max="534" width="12.42578125" style="1" customWidth="1"/>
    <col min="535" max="535" width="10.5703125" style="1" customWidth="1"/>
    <col min="536" max="768" width="9.140625" style="1" customWidth="1"/>
    <col min="769" max="769" width="6.28515625" style="1" customWidth="1"/>
    <col min="770" max="770" width="41.42578125" style="1" customWidth="1"/>
    <col min="771" max="771" width="7.85546875" style="1" customWidth="1"/>
    <col min="772" max="772" width="16.28515625" style="1" customWidth="1"/>
    <col min="773" max="773" width="12.85546875" style="1" customWidth="1"/>
    <col min="774" max="775" width="16.28515625" style="1" customWidth="1"/>
    <col min="776" max="776" width="13.28515625" style="1" customWidth="1"/>
    <col min="777" max="778" width="16.28515625" style="1" customWidth="1"/>
    <col min="779" max="780" width="13.85546875" style="1" customWidth="1"/>
    <col min="781" max="781" width="13" style="1" customWidth="1"/>
    <col min="782" max="782" width="13.5703125" style="1" customWidth="1"/>
    <col min="783" max="783" width="12.85546875" style="1" customWidth="1"/>
    <col min="784" max="784" width="14.140625" style="1" customWidth="1"/>
    <col min="785" max="785" width="12" style="1" customWidth="1"/>
    <col min="786" max="786" width="13" style="1" customWidth="1"/>
    <col min="787" max="787" width="11.85546875" style="1" customWidth="1"/>
    <col min="788" max="788" width="13.28515625" style="1" customWidth="1"/>
    <col min="789" max="789" width="12.28515625" style="1" customWidth="1"/>
    <col min="790" max="790" width="12.42578125" style="1" customWidth="1"/>
    <col min="791" max="791" width="10.5703125" style="1" customWidth="1"/>
    <col min="792" max="1025" width="9.140625" style="1" customWidth="1"/>
  </cols>
  <sheetData>
    <row r="1" spans="1:23" ht="17.25" customHeight="1" x14ac:dyDescent="0.25">
      <c r="A1" s="4"/>
      <c r="B1" s="5" t="str">
        <f>INSTRUÇÕES!B1</f>
        <v>Tribunal Regional Federal da 6ª Região</v>
      </c>
      <c r="T1" s="6"/>
      <c r="U1" s="6"/>
      <c r="V1" s="6"/>
    </row>
    <row r="2" spans="1:23" s="11" customFormat="1" ht="19.5" customHeight="1" x14ac:dyDescent="0.25">
      <c r="A2" s="7"/>
      <c r="B2" s="8" t="str">
        <f>INSTRUÇÕES!B2</f>
        <v>Seção Judiciária de Minas Gerais</v>
      </c>
      <c r="C2" s="584" t="s">
        <v>0</v>
      </c>
      <c r="D2" s="584"/>
      <c r="E2" s="584"/>
      <c r="F2" s="584"/>
      <c r="G2" s="584"/>
      <c r="H2" s="584"/>
      <c r="I2" s="584"/>
      <c r="J2" s="584"/>
      <c r="K2" s="584"/>
      <c r="L2" s="584"/>
      <c r="M2" s="584"/>
      <c r="N2" s="584"/>
      <c r="O2" s="584"/>
      <c r="P2" s="584"/>
      <c r="Q2" s="584"/>
      <c r="R2" s="584"/>
      <c r="S2" s="584"/>
      <c r="T2" s="9"/>
      <c r="U2" s="9"/>
      <c r="V2" s="9"/>
      <c r="W2" s="10"/>
    </row>
    <row r="3" spans="1:23" s="11" customFormat="1" ht="23.25" x14ac:dyDescent="0.25">
      <c r="A3" s="7"/>
      <c r="B3" s="12" t="str">
        <f>INSTRUÇÕES!B3</f>
        <v>Subseção Judiciária de Uberaba</v>
      </c>
      <c r="C3" s="584" t="s">
        <v>1</v>
      </c>
      <c r="D3" s="584"/>
      <c r="E3" s="584"/>
      <c r="F3" s="584"/>
      <c r="G3" s="584"/>
      <c r="H3" s="584"/>
      <c r="I3" s="584"/>
      <c r="J3" s="584"/>
      <c r="K3" s="584"/>
      <c r="L3" s="584"/>
      <c r="M3" s="584"/>
      <c r="N3" s="584"/>
      <c r="O3" s="584"/>
      <c r="P3" s="584"/>
      <c r="Q3" s="584"/>
      <c r="R3" s="584"/>
      <c r="S3" s="584"/>
      <c r="W3" s="10"/>
    </row>
    <row r="4" spans="1:23" s="17" customFormat="1" ht="30.75" customHeight="1" x14ac:dyDescent="0.25">
      <c r="A4" s="585" t="s">
        <v>2</v>
      </c>
      <c r="B4" s="585"/>
      <c r="C4" s="585"/>
      <c r="D4" s="586" t="s">
        <v>3</v>
      </c>
      <c r="E4" s="586"/>
      <c r="F4" s="14"/>
      <c r="G4" s="14"/>
      <c r="H4" s="14"/>
      <c r="I4" s="14"/>
      <c r="J4" s="15"/>
      <c r="K4" s="15"/>
      <c r="L4" s="15"/>
      <c r="M4" s="15"/>
      <c r="N4" s="15"/>
      <c r="O4" s="16"/>
      <c r="R4" s="18"/>
      <c r="S4" s="18"/>
      <c r="T4" s="18"/>
      <c r="U4" s="18"/>
      <c r="V4" s="18"/>
      <c r="W4" s="18"/>
    </row>
    <row r="5" spans="1:23" s="17" customFormat="1" ht="23.25" customHeight="1" x14ac:dyDescent="0.25">
      <c r="A5" s="585" t="s">
        <v>4</v>
      </c>
      <c r="B5" s="585"/>
      <c r="C5" s="585"/>
      <c r="D5" s="13" t="s">
        <v>5</v>
      </c>
      <c r="E5" s="19">
        <f>VLOOKUP(D5,B127:C130,2,FALSE())</f>
        <v>30</v>
      </c>
      <c r="F5" s="14" t="str">
        <f>VLOOKUP(D5,B128:D130,3,FALSE())</f>
        <v>Obs: Desconto atualmente aplicado (30 dias corridos).</v>
      </c>
      <c r="G5" s="14"/>
      <c r="H5" s="14"/>
      <c r="I5" s="14"/>
      <c r="J5" s="15"/>
      <c r="K5" s="15"/>
      <c r="L5" s="15"/>
      <c r="M5" s="15"/>
      <c r="N5" s="15"/>
      <c r="O5" s="16"/>
      <c r="R5" s="18"/>
      <c r="S5" s="18"/>
      <c r="T5" s="18"/>
      <c r="U5" s="18"/>
      <c r="V5" s="18"/>
      <c r="W5" s="18"/>
    </row>
    <row r="6" spans="1:23" s="17" customFormat="1" ht="12" customHeight="1" thickBot="1" x14ac:dyDescent="0.3">
      <c r="A6" s="15"/>
      <c r="B6" s="15"/>
      <c r="C6" s="15"/>
      <c r="D6" s="15"/>
      <c r="E6" s="15"/>
      <c r="F6" s="15"/>
      <c r="G6" s="15"/>
      <c r="H6" s="15"/>
      <c r="I6" s="15"/>
      <c r="J6" s="15"/>
      <c r="K6" s="15"/>
      <c r="L6" s="15"/>
      <c r="M6" s="15"/>
      <c r="N6" s="15"/>
      <c r="O6" s="16"/>
      <c r="R6" s="18"/>
      <c r="S6" s="18"/>
      <c r="T6" s="18"/>
      <c r="U6" s="18"/>
      <c r="V6" s="18"/>
      <c r="W6" s="18"/>
    </row>
    <row r="7" spans="1:23" s="17" customFormat="1" ht="31.5" customHeight="1" thickBot="1" x14ac:dyDescent="0.3">
      <c r="A7" s="587" t="s">
        <v>6</v>
      </c>
      <c r="B7" s="587"/>
      <c r="C7" s="587"/>
      <c r="D7" s="588" t="s">
        <v>7</v>
      </c>
      <c r="E7" s="589" t="s">
        <v>8</v>
      </c>
      <c r="F7" s="590" t="s">
        <v>9</v>
      </c>
      <c r="G7" s="590" t="s">
        <v>10</v>
      </c>
      <c r="H7" s="588" t="s">
        <v>11</v>
      </c>
      <c r="I7" s="589" t="s">
        <v>12</v>
      </c>
      <c r="J7" s="590" t="s">
        <v>13</v>
      </c>
      <c r="K7" s="591" t="s">
        <v>14</v>
      </c>
      <c r="L7" s="592" t="s">
        <v>15</v>
      </c>
      <c r="M7" s="592" t="s">
        <v>16</v>
      </c>
      <c r="N7" s="593" t="s">
        <v>17</v>
      </c>
      <c r="O7" s="594" t="s">
        <v>18</v>
      </c>
      <c r="P7" s="590" t="s">
        <v>19</v>
      </c>
      <c r="Q7" s="590" t="s">
        <v>20</v>
      </c>
      <c r="R7" s="591" t="s">
        <v>21</v>
      </c>
      <c r="S7" s="589" t="s">
        <v>22</v>
      </c>
      <c r="T7" s="595" t="s">
        <v>23</v>
      </c>
      <c r="U7" s="595"/>
      <c r="V7" s="595"/>
      <c r="W7" s="595"/>
    </row>
    <row r="8" spans="1:23" s="17" customFormat="1" ht="31.5" customHeight="1" thickBot="1" x14ac:dyDescent="0.3">
      <c r="A8" s="587"/>
      <c r="B8" s="587"/>
      <c r="C8" s="587"/>
      <c r="D8" s="588"/>
      <c r="E8" s="589"/>
      <c r="F8" s="590"/>
      <c r="G8" s="590"/>
      <c r="H8" s="588"/>
      <c r="I8" s="589"/>
      <c r="J8" s="590"/>
      <c r="K8" s="591"/>
      <c r="L8" s="592"/>
      <c r="M8" s="592"/>
      <c r="N8" s="593"/>
      <c r="O8" s="594"/>
      <c r="P8" s="590"/>
      <c r="Q8" s="590"/>
      <c r="R8" s="591"/>
      <c r="S8" s="589"/>
      <c r="T8" s="595"/>
      <c r="U8" s="595"/>
      <c r="V8" s="595"/>
      <c r="W8" s="595"/>
    </row>
    <row r="9" spans="1:23" s="17" customFormat="1" ht="31.5" customHeight="1" thickBot="1" x14ac:dyDescent="0.3">
      <c r="A9" s="587"/>
      <c r="B9" s="587"/>
      <c r="C9" s="587"/>
      <c r="D9" s="588"/>
      <c r="E9" s="589"/>
      <c r="F9" s="590"/>
      <c r="G9" s="590"/>
      <c r="H9" s="588"/>
      <c r="I9" s="589"/>
      <c r="J9" s="590"/>
      <c r="K9" s="591"/>
      <c r="L9" s="592"/>
      <c r="M9" s="592"/>
      <c r="N9" s="593"/>
      <c r="O9" s="594"/>
      <c r="P9" s="590"/>
      <c r="Q9" s="590"/>
      <c r="R9" s="591"/>
      <c r="S9" s="589"/>
      <c r="T9" s="595"/>
      <c r="U9" s="595"/>
      <c r="V9" s="595"/>
      <c r="W9" s="595"/>
    </row>
    <row r="10" spans="1:23" s="17" customFormat="1" ht="63.75" x14ac:dyDescent="0.25">
      <c r="A10" s="20" t="s">
        <v>24</v>
      </c>
      <c r="B10" s="21" t="s">
        <v>25</v>
      </c>
      <c r="C10" s="21" t="s">
        <v>26</v>
      </c>
      <c r="D10" s="22" t="s">
        <v>27</v>
      </c>
      <c r="E10" s="20" t="s">
        <v>28</v>
      </c>
      <c r="F10" s="21" t="s">
        <v>29</v>
      </c>
      <c r="G10" s="21" t="s">
        <v>30</v>
      </c>
      <c r="H10" s="22" t="s">
        <v>31</v>
      </c>
      <c r="I10" s="20" t="s">
        <v>32</v>
      </c>
      <c r="J10" s="21" t="s">
        <v>33</v>
      </c>
      <c r="K10" s="23" t="s">
        <v>33</v>
      </c>
      <c r="L10" s="24" t="s">
        <v>34</v>
      </c>
      <c r="M10" s="24" t="s">
        <v>35</v>
      </c>
      <c r="N10" s="24" t="s">
        <v>36</v>
      </c>
      <c r="O10" s="25" t="s">
        <v>37</v>
      </c>
      <c r="P10" s="21" t="s">
        <v>38</v>
      </c>
      <c r="Q10" s="21" t="s">
        <v>39</v>
      </c>
      <c r="R10" s="23" t="s">
        <v>40</v>
      </c>
      <c r="S10" s="20" t="s">
        <v>41</v>
      </c>
      <c r="T10" s="21" t="s">
        <v>42</v>
      </c>
      <c r="U10" s="21" t="s">
        <v>43</v>
      </c>
      <c r="V10" s="21" t="s">
        <v>44</v>
      </c>
      <c r="W10" s="23" t="s">
        <v>45</v>
      </c>
    </row>
    <row r="11" spans="1:23" s="17" customFormat="1" ht="15.75" x14ac:dyDescent="0.25">
      <c r="A11" s="26">
        <f>Dados!B7</f>
        <v>1</v>
      </c>
      <c r="B11" s="27" t="str">
        <f>Dados!C7</f>
        <v>Servente de Limpeza (40% Insalubridade)</v>
      </c>
      <c r="C11" s="28">
        <f>Dados!D7</f>
        <v>200</v>
      </c>
      <c r="D11" s="30">
        <v>0</v>
      </c>
      <c r="E11" s="26" t="s">
        <v>46</v>
      </c>
      <c r="F11" s="28">
        <f>IF(E11="NÃO",0,D11*Dados!$G$37)</f>
        <v>0</v>
      </c>
      <c r="G11" s="30">
        <v>0</v>
      </c>
      <c r="H11" s="29">
        <v>0</v>
      </c>
      <c r="I11" s="31">
        <v>0</v>
      </c>
      <c r="J11" s="30">
        <v>0</v>
      </c>
      <c r="K11" s="32">
        <f t="shared" ref="K11:K17" si="0">I11+J11</f>
        <v>0</v>
      </c>
      <c r="L11" s="33">
        <v>0</v>
      </c>
      <c r="M11" s="33">
        <v>0</v>
      </c>
      <c r="N11" s="34"/>
      <c r="O11" s="35">
        <f>Resumo!S12</f>
        <v>0</v>
      </c>
      <c r="P11" s="36">
        <f>Resumo!V12</f>
        <v>0</v>
      </c>
      <c r="Q11" s="37">
        <f>Resumo!W12</f>
        <v>6152.04</v>
      </c>
      <c r="R11" s="38">
        <f>Dados!O7+Dados!P7+Dados!Q7</f>
        <v>808.16</v>
      </c>
      <c r="S11" s="26">
        <v>2</v>
      </c>
      <c r="T11" s="39">
        <f>ROUND((Dados!M7*Encargos!$H$59*A11),2)</f>
        <v>647.16</v>
      </c>
      <c r="U11" s="39" t="s">
        <v>47</v>
      </c>
      <c r="V11" s="40">
        <f>SUMIF($S$11:$S$17,1,$Q$11:$Q$17)</f>
        <v>65740.11</v>
      </c>
      <c r="W11" s="41">
        <f>SUMIF($S$11:$S$17,1,$T$11:$T$17)</f>
        <v>8182.93</v>
      </c>
    </row>
    <row r="12" spans="1:23" s="17" customFormat="1" ht="15.75" x14ac:dyDescent="0.25">
      <c r="A12" s="26">
        <f>Dados!B8</f>
        <v>4</v>
      </c>
      <c r="B12" s="27" t="str">
        <f>Dados!C8</f>
        <v xml:space="preserve">Servente de Limpeza  </v>
      </c>
      <c r="C12" s="28">
        <f>Dados!D8</f>
        <v>200</v>
      </c>
      <c r="D12" s="30">
        <v>0</v>
      </c>
      <c r="E12" s="26" t="s">
        <v>46</v>
      </c>
      <c r="F12" s="28">
        <f>IF(E12="NÃO",0,D12*Dados!$G$37)</f>
        <v>0</v>
      </c>
      <c r="G12" s="30">
        <v>0</v>
      </c>
      <c r="H12" s="29">
        <v>0</v>
      </c>
      <c r="I12" s="31">
        <v>0</v>
      </c>
      <c r="J12" s="30">
        <v>0</v>
      </c>
      <c r="K12" s="32">
        <f t="shared" si="0"/>
        <v>0</v>
      </c>
      <c r="L12" s="33">
        <v>0</v>
      </c>
      <c r="M12" s="33">
        <v>0</v>
      </c>
      <c r="N12" s="33">
        <v>0</v>
      </c>
      <c r="O12" s="35">
        <f>Resumo!S13</f>
        <v>0</v>
      </c>
      <c r="P12" s="39">
        <f>Resumo!V13</f>
        <v>0</v>
      </c>
      <c r="Q12" s="37">
        <f>Resumo!W13</f>
        <v>19612.72</v>
      </c>
      <c r="R12" s="38">
        <f>Dados!O8+Dados!P8+Dados!Q8</f>
        <v>808.16</v>
      </c>
      <c r="S12" s="26">
        <v>2</v>
      </c>
      <c r="T12" s="39">
        <f>ROUND((Dados!M8*Encargos!$H$59*A12),2)</f>
        <v>1839.93</v>
      </c>
      <c r="U12" s="39" t="s">
        <v>47</v>
      </c>
      <c r="V12" s="40">
        <f>SUMIF($S$11:$S$17,2,$Q$11:$Q$17)</f>
        <v>42317.15</v>
      </c>
      <c r="W12" s="41">
        <f>SUMIF($S$11:$S$17,2,$T$11:$T$17)</f>
        <v>4150.8700000000008</v>
      </c>
    </row>
    <row r="13" spans="1:23" s="17" customFormat="1" ht="15.75" x14ac:dyDescent="0.25">
      <c r="A13" s="26">
        <f>Dados!B9</f>
        <v>1</v>
      </c>
      <c r="B13" s="27" t="str">
        <f>Dados!C9</f>
        <v>Servente acúmulo função Copeira</v>
      </c>
      <c r="C13" s="28">
        <f>Dados!D9</f>
        <v>200</v>
      </c>
      <c r="D13" s="30">
        <v>0</v>
      </c>
      <c r="E13" s="26" t="s">
        <v>46</v>
      </c>
      <c r="F13" s="28">
        <f>IF(E13="NÃO",0,D13*Dados!$G$37)</f>
        <v>0</v>
      </c>
      <c r="G13" s="30">
        <v>0</v>
      </c>
      <c r="H13" s="29">
        <v>0</v>
      </c>
      <c r="I13" s="31">
        <v>0</v>
      </c>
      <c r="J13" s="30">
        <v>0</v>
      </c>
      <c r="K13" s="32">
        <f>I13+J13</f>
        <v>0</v>
      </c>
      <c r="L13" s="33">
        <v>0</v>
      </c>
      <c r="M13" s="33">
        <v>0</v>
      </c>
      <c r="N13" s="34"/>
      <c r="O13" s="42">
        <f>Resumo!S14</f>
        <v>0</v>
      </c>
      <c r="P13" s="36">
        <f>Resumo!V14</f>
        <v>0</v>
      </c>
      <c r="Q13" s="37">
        <f>Resumo!W14</f>
        <v>5669.34</v>
      </c>
      <c r="R13" s="38">
        <f>Dados!O9+Dados!P9+Dados!Q9</f>
        <v>1297.0733333333333</v>
      </c>
      <c r="S13" s="26">
        <v>2</v>
      </c>
      <c r="T13" s="39">
        <f>ROUND((Dados!M9*Encargos!$H$59*A13),2)</f>
        <v>482.06</v>
      </c>
      <c r="U13" s="39" t="s">
        <v>47</v>
      </c>
      <c r="V13" s="40">
        <f>SUMIF($S$11:$S$17,3,$Q$11:$Q$17)</f>
        <v>0</v>
      </c>
      <c r="W13" s="41">
        <f>SUMIF($S$11:$S$17,3,$T$11:$T$17)</f>
        <v>0</v>
      </c>
    </row>
    <row r="14" spans="1:23" s="17" customFormat="1" ht="15.75" x14ac:dyDescent="0.25">
      <c r="A14" s="26">
        <f>Dados!B10</f>
        <v>1</v>
      </c>
      <c r="B14" s="27" t="str">
        <f>Dados!C10</f>
        <v>Servente acúmulo função Jardineiro</v>
      </c>
      <c r="C14" s="28">
        <f>Dados!D10</f>
        <v>200</v>
      </c>
      <c r="D14" s="30">
        <v>0</v>
      </c>
      <c r="E14" s="26" t="s">
        <v>46</v>
      </c>
      <c r="F14" s="28">
        <f>IF(E14="NÃO",0,D14*Dados!$G$37)</f>
        <v>0</v>
      </c>
      <c r="G14" s="30">
        <v>0</v>
      </c>
      <c r="H14" s="29">
        <v>0</v>
      </c>
      <c r="I14" s="31">
        <v>0</v>
      </c>
      <c r="J14" s="30">
        <v>0</v>
      </c>
      <c r="K14" s="32">
        <f>I14+J14</f>
        <v>0</v>
      </c>
      <c r="L14" s="33">
        <v>0</v>
      </c>
      <c r="M14" s="33">
        <v>0</v>
      </c>
      <c r="N14" s="34"/>
      <c r="O14" s="42">
        <f>Resumo!S15</f>
        <v>0</v>
      </c>
      <c r="P14" s="36"/>
      <c r="Q14" s="37">
        <f>Resumo!W15</f>
        <v>5006.6899999999996</v>
      </c>
      <c r="R14" s="38">
        <f>Dados!O10+Dados!P10+Dados!Q10</f>
        <v>808.16</v>
      </c>
      <c r="S14" s="26">
        <v>2</v>
      </c>
      <c r="T14" s="39">
        <f>ROUND((Dados!M10*Encargos!$H$59*A14),2)</f>
        <v>473.78</v>
      </c>
      <c r="U14" s="39" t="s">
        <v>47</v>
      </c>
      <c r="V14" s="40">
        <f t="shared" ref="V14:V17" si="1">SUMIF($S$11:$S$17,3,$Q$11:$Q$17)</f>
        <v>0</v>
      </c>
      <c r="W14" s="41">
        <f t="shared" ref="W14:W17" si="2">SUMIF($S$11:$S$17,3,$T$11:$T$17)</f>
        <v>0</v>
      </c>
    </row>
    <row r="15" spans="1:23" s="17" customFormat="1" ht="15.75" x14ac:dyDescent="0.25">
      <c r="A15" s="26">
        <f>Dados!B11</f>
        <v>1</v>
      </c>
      <c r="B15" s="27" t="str">
        <f>Dados!C11</f>
        <v>Zelador acúmulo função Lavador de Carro</v>
      </c>
      <c r="C15" s="28">
        <f>Dados!D11</f>
        <v>200</v>
      </c>
      <c r="D15" s="30">
        <v>0</v>
      </c>
      <c r="E15" s="26" t="s">
        <v>46</v>
      </c>
      <c r="F15" s="28">
        <f>IF(E15="NÃO",0,D15*Dados!$G$37)</f>
        <v>0</v>
      </c>
      <c r="G15" s="30">
        <v>0</v>
      </c>
      <c r="H15" s="29">
        <v>0</v>
      </c>
      <c r="I15" s="31">
        <v>0</v>
      </c>
      <c r="J15" s="30">
        <v>0</v>
      </c>
      <c r="K15" s="32">
        <f t="shared" si="0"/>
        <v>0</v>
      </c>
      <c r="L15" s="33">
        <v>0</v>
      </c>
      <c r="M15" s="33">
        <v>0</v>
      </c>
      <c r="N15" s="34"/>
      <c r="O15" s="42">
        <f>Resumo!S16</f>
        <v>0</v>
      </c>
      <c r="P15" s="36">
        <f>Resumo!V16</f>
        <v>0</v>
      </c>
      <c r="Q15" s="37">
        <f>Resumo!W16</f>
        <v>5876.36</v>
      </c>
      <c r="R15" s="38">
        <f>Dados!O11+Dados!P11+Dados!Q11</f>
        <v>281.52999999999997</v>
      </c>
      <c r="S15" s="26">
        <f>Dados!T11</f>
        <v>2</v>
      </c>
      <c r="T15" s="39">
        <f>ROUND((Dados!M11*Encargos!$H$59*A15),2)</f>
        <v>707.94</v>
      </c>
      <c r="U15" s="39" t="s">
        <v>47</v>
      </c>
      <c r="V15" s="40">
        <f t="shared" si="1"/>
        <v>0</v>
      </c>
      <c r="W15" s="41">
        <f t="shared" si="2"/>
        <v>0</v>
      </c>
    </row>
    <row r="16" spans="1:23" s="17" customFormat="1" ht="15.75" x14ac:dyDescent="0.25">
      <c r="A16" s="26">
        <f>Dados!B12</f>
        <v>1</v>
      </c>
      <c r="B16" s="27" t="str">
        <f>Dados!C12</f>
        <v>Encarregado</v>
      </c>
      <c r="C16" s="28">
        <f>Dados!D12</f>
        <v>200</v>
      </c>
      <c r="D16" s="30">
        <v>0</v>
      </c>
      <c r="E16" s="26" t="s">
        <v>46</v>
      </c>
      <c r="F16" s="28">
        <f>IF(E16="NÃO",0,D16*Dados!$G$37)</f>
        <v>0</v>
      </c>
      <c r="G16" s="30">
        <v>0</v>
      </c>
      <c r="H16" s="29">
        <v>0</v>
      </c>
      <c r="I16" s="31">
        <v>0</v>
      </c>
      <c r="J16" s="30">
        <v>0</v>
      </c>
      <c r="K16" s="32">
        <f t="shared" si="0"/>
        <v>0</v>
      </c>
      <c r="L16" s="33">
        <v>0</v>
      </c>
      <c r="M16" s="33">
        <v>0</v>
      </c>
      <c r="N16" s="34"/>
      <c r="O16" s="42">
        <f>Resumo!S18</f>
        <v>0</v>
      </c>
      <c r="P16" s="36"/>
      <c r="Q16" s="37">
        <f>Resumo!W17</f>
        <v>5354.2</v>
      </c>
      <c r="R16" s="38">
        <f>Dados!O12+Dados!P12+Dados!Q12</f>
        <v>0</v>
      </c>
      <c r="S16" s="26">
        <v>1</v>
      </c>
      <c r="T16" s="39">
        <f>ROUND((Dados!M12*Encargos!$H$59*A16),2)</f>
        <v>686.66</v>
      </c>
      <c r="U16" s="39" t="s">
        <v>48</v>
      </c>
      <c r="V16" s="40">
        <f t="shared" si="1"/>
        <v>0</v>
      </c>
      <c r="W16" s="41">
        <f t="shared" si="2"/>
        <v>0</v>
      </c>
    </row>
    <row r="17" spans="1:23" s="17" customFormat="1" ht="16.5" thickBot="1" x14ac:dyDescent="0.3">
      <c r="A17" s="26">
        <f>Dados!B13</f>
        <v>13</v>
      </c>
      <c r="B17" s="27" t="str">
        <f>Dados!C13</f>
        <v>Auxiliar Administrativo</v>
      </c>
      <c r="C17" s="28">
        <f>Dados!D13</f>
        <v>200</v>
      </c>
      <c r="D17" s="30">
        <v>0</v>
      </c>
      <c r="E17" s="43" t="s">
        <v>46</v>
      </c>
      <c r="F17" s="44">
        <f>IF(E17="NÃO",0,D17*Dados!$G$37)</f>
        <v>0</v>
      </c>
      <c r="G17" s="45">
        <v>0</v>
      </c>
      <c r="H17" s="46">
        <v>0</v>
      </c>
      <c r="I17" s="47">
        <v>0</v>
      </c>
      <c r="J17" s="45">
        <v>0</v>
      </c>
      <c r="K17" s="48">
        <f t="shared" si="0"/>
        <v>0</v>
      </c>
      <c r="L17" s="49">
        <v>0</v>
      </c>
      <c r="M17" s="49">
        <v>0</v>
      </c>
      <c r="N17" s="34"/>
      <c r="O17" s="42">
        <f>Resumo!S18</f>
        <v>0</v>
      </c>
      <c r="P17" s="36">
        <f>Resumo!V18</f>
        <v>0</v>
      </c>
      <c r="Q17" s="37">
        <f>Resumo!W18</f>
        <v>60385.91</v>
      </c>
      <c r="R17" s="38">
        <f>Dados!O13+Dados!P13+Dados!Q13</f>
        <v>0</v>
      </c>
      <c r="S17" s="26">
        <f>Dados!T13</f>
        <v>1</v>
      </c>
      <c r="T17" s="39">
        <f>ROUND((Dados!M13*Encargos!$H$59*A17),2)</f>
        <v>7496.27</v>
      </c>
      <c r="U17" s="39" t="s">
        <v>48</v>
      </c>
      <c r="V17" s="40">
        <f t="shared" si="1"/>
        <v>0</v>
      </c>
      <c r="W17" s="41">
        <f t="shared" si="2"/>
        <v>0</v>
      </c>
    </row>
    <row r="18" spans="1:23" s="58" customFormat="1" ht="13.5" customHeight="1" thickBot="1" x14ac:dyDescent="0.3">
      <c r="A18" s="596" t="s">
        <v>49</v>
      </c>
      <c r="B18" s="596"/>
      <c r="C18" s="596"/>
      <c r="D18" s="596"/>
      <c r="E18" s="596"/>
      <c r="F18" s="596"/>
      <c r="G18" s="596"/>
      <c r="H18" s="50">
        <f>Resumo!I19</f>
        <v>0</v>
      </c>
      <c r="I18" s="597"/>
      <c r="J18" s="597"/>
      <c r="K18" s="51">
        <f>Resumo!L19</f>
        <v>0</v>
      </c>
      <c r="L18" s="52">
        <f>Resumo!O19</f>
        <v>0</v>
      </c>
      <c r="M18" s="52">
        <f>Resumo!R19</f>
        <v>0</v>
      </c>
      <c r="N18" s="53">
        <f>Resumo!V19</f>
        <v>0</v>
      </c>
      <c r="O18" s="54">
        <f>(H18+K18+L18+M18)</f>
        <v>0</v>
      </c>
      <c r="P18" s="55">
        <f>Resumo!V19</f>
        <v>0</v>
      </c>
      <c r="Q18" s="540">
        <f>SUM(Q11:Q17)</f>
        <v>108057.26000000001</v>
      </c>
      <c r="R18" s="56">
        <f>SUM(R11:R17)</f>
        <v>4003.083333333333</v>
      </c>
      <c r="S18" s="57"/>
      <c r="T18" s="55">
        <f>SUM(T11:T17)</f>
        <v>12333.800000000001</v>
      </c>
      <c r="U18" s="55"/>
      <c r="V18" s="55">
        <f>SUM(V11:V17)</f>
        <v>108057.26000000001</v>
      </c>
      <c r="W18" s="56">
        <f>SUM(W11:W17)</f>
        <v>12333.800000000001</v>
      </c>
    </row>
    <row r="19" spans="1:23" x14ac:dyDescent="0.25">
      <c r="A19" s="59" t="s">
        <v>50</v>
      </c>
      <c r="B19" s="60"/>
      <c r="C19" s="60"/>
      <c r="D19" s="60"/>
      <c r="E19" s="60"/>
      <c r="F19" s="60"/>
      <c r="G19" s="60"/>
      <c r="H19" s="60"/>
      <c r="I19" s="60"/>
      <c r="J19" s="60"/>
    </row>
    <row r="20" spans="1:23" x14ac:dyDescent="0.25">
      <c r="A20" s="61" t="s">
        <v>51</v>
      </c>
      <c r="B20" s="62"/>
      <c r="C20" s="62"/>
      <c r="D20" s="62"/>
      <c r="E20" s="62"/>
      <c r="F20" s="62"/>
      <c r="G20" s="62"/>
      <c r="H20" s="62"/>
      <c r="I20" s="62"/>
      <c r="J20" s="62"/>
    </row>
    <row r="21" spans="1:23" s="58" customFormat="1" ht="25.5" customHeight="1" x14ac:dyDescent="0.25">
      <c r="A21" s="598" t="s">
        <v>52</v>
      </c>
      <c r="B21" s="598"/>
      <c r="C21" s="63" t="s">
        <v>53</v>
      </c>
      <c r="D21" s="63" t="s">
        <v>54</v>
      </c>
      <c r="E21" s="63" t="s">
        <v>55</v>
      </c>
      <c r="F21" s="63" t="s">
        <v>56</v>
      </c>
      <c r="H21" s="61"/>
      <c r="I21" s="64"/>
      <c r="J21" s="61"/>
      <c r="K21" s="64"/>
      <c r="L21" s="64"/>
      <c r="M21" s="64"/>
      <c r="R21" s="64"/>
      <c r="S21" s="64"/>
      <c r="T21" s="64"/>
      <c r="U21" s="64"/>
      <c r="V21" s="64"/>
      <c r="W21" s="64"/>
    </row>
    <row r="22" spans="1:23" s="58" customFormat="1" ht="12.75" x14ac:dyDescent="0.25">
      <c r="A22" s="598"/>
      <c r="B22" s="598"/>
      <c r="C22" s="65">
        <v>220</v>
      </c>
      <c r="D22" s="65">
        <v>10</v>
      </c>
      <c r="E22" s="65">
        <v>25</v>
      </c>
      <c r="F22" s="66">
        <f>ROUND((D22/VLOOKUP(C22,$B$133:$C$139,2,FALSE())+E22/60/VLOOKUP(C22,$B$133:$C$139,2,FALSE())),2)</f>
        <v>1.18</v>
      </c>
      <c r="H22" s="61"/>
      <c r="I22" s="64"/>
      <c r="J22" s="61"/>
      <c r="K22" s="64"/>
      <c r="L22" s="64"/>
      <c r="M22" s="64"/>
      <c r="R22" s="64"/>
      <c r="S22" s="64"/>
      <c r="T22" s="64"/>
      <c r="U22" s="64"/>
      <c r="V22" s="64"/>
      <c r="W22" s="64"/>
    </row>
    <row r="23" spans="1:23" s="58" customFormat="1" ht="15" customHeight="1" x14ac:dyDescent="0.25">
      <c r="A23" s="599" t="s">
        <v>57</v>
      </c>
      <c r="B23" s="599"/>
      <c r="C23" s="599"/>
      <c r="D23" s="599"/>
      <c r="E23" s="599"/>
      <c r="F23" s="599"/>
      <c r="G23" s="14"/>
      <c r="H23" s="14"/>
      <c r="I23" s="14"/>
      <c r="J23" s="61"/>
      <c r="K23" s="64"/>
      <c r="L23" s="64"/>
      <c r="M23" s="64"/>
      <c r="R23" s="64"/>
      <c r="S23" s="64"/>
      <c r="T23" s="64"/>
      <c r="U23" s="64"/>
      <c r="V23" s="64"/>
      <c r="W23" s="64"/>
    </row>
    <row r="24" spans="1:23" s="58" customFormat="1" x14ac:dyDescent="0.25">
      <c r="A24" s="599"/>
      <c r="B24" s="599"/>
      <c r="C24" s="599"/>
      <c r="D24" s="599"/>
      <c r="E24" s="599"/>
      <c r="F24" s="599"/>
      <c r="G24" s="14"/>
      <c r="H24" s="67"/>
      <c r="I24" s="14"/>
      <c r="J24" s="61"/>
      <c r="K24" s="64"/>
      <c r="L24" s="64"/>
      <c r="M24" s="64"/>
      <c r="R24" s="64"/>
      <c r="S24" s="64"/>
      <c r="T24" s="64"/>
      <c r="U24" s="64"/>
      <c r="V24" s="64"/>
      <c r="W24" s="64"/>
    </row>
    <row r="25" spans="1:23" x14ac:dyDescent="0.25">
      <c r="A25" s="61" t="s">
        <v>58</v>
      </c>
      <c r="B25" s="60"/>
      <c r="C25" s="60"/>
      <c r="D25" s="60"/>
      <c r="E25" s="60"/>
      <c r="F25" s="60"/>
      <c r="G25" s="60"/>
      <c r="H25" s="60"/>
      <c r="I25" s="60"/>
      <c r="J25" s="60"/>
    </row>
    <row r="26" spans="1:23" ht="15.75" thickBot="1" x14ac:dyDescent="0.3">
      <c r="A26" s="60"/>
      <c r="B26" s="60"/>
      <c r="C26" s="60"/>
      <c r="D26" s="60"/>
      <c r="E26" s="60"/>
      <c r="F26" s="60"/>
      <c r="G26" s="60"/>
      <c r="H26" s="60"/>
      <c r="I26" s="60"/>
      <c r="J26" s="60"/>
      <c r="N26" s="68"/>
      <c r="O26" s="69"/>
      <c r="P26" s="69"/>
    </row>
    <row r="27" spans="1:23" ht="15.75" customHeight="1" thickBot="1" x14ac:dyDescent="0.3">
      <c r="A27" s="581" t="s">
        <v>59</v>
      </c>
      <c r="B27" s="600" t="s">
        <v>60</v>
      </c>
      <c r="C27" s="600"/>
      <c r="D27" s="600"/>
      <c r="E27" s="600"/>
      <c r="F27" s="601" t="s">
        <v>61</v>
      </c>
      <c r="G27" s="601"/>
      <c r="H27" s="601"/>
      <c r="I27" s="602" t="s">
        <v>62</v>
      </c>
      <c r="J27" s="602"/>
      <c r="K27" s="602"/>
      <c r="L27" s="603" t="s">
        <v>63</v>
      </c>
      <c r="M27" s="603"/>
      <c r="N27" s="603"/>
      <c r="O27" s="603"/>
      <c r="V27" s="1"/>
      <c r="W27" s="1"/>
    </row>
    <row r="28" spans="1:23" ht="38.25" customHeight="1" x14ac:dyDescent="0.25">
      <c r="A28" s="581"/>
      <c r="B28" s="598" t="s">
        <v>64</v>
      </c>
      <c r="C28" s="598"/>
      <c r="D28" s="598"/>
      <c r="E28" s="63" t="s">
        <v>65</v>
      </c>
      <c r="F28" s="63" t="s">
        <v>66</v>
      </c>
      <c r="G28" s="63" t="s">
        <v>67</v>
      </c>
      <c r="H28" s="73" t="s">
        <v>68</v>
      </c>
      <c r="I28" s="602"/>
      <c r="J28" s="602"/>
      <c r="K28" s="602"/>
      <c r="L28" s="70" t="s">
        <v>69</v>
      </c>
      <c r="M28" s="71" t="s">
        <v>70</v>
      </c>
      <c r="N28" s="71" t="s">
        <v>71</v>
      </c>
      <c r="O28" s="72" t="s">
        <v>72</v>
      </c>
      <c r="V28" s="14"/>
      <c r="W28" s="1"/>
    </row>
    <row r="29" spans="1:23" ht="13.9" customHeight="1" x14ac:dyDescent="0.25">
      <c r="A29" s="74">
        <v>1</v>
      </c>
      <c r="B29" s="576" t="str">
        <f>Materiais!B9</f>
        <v>Água sanitária galão de 5 litros, composição do produto: hipoclorito de sódio 2,5%, hidróxido de sódio e veículo.,teor de cloro ativo entre 2,0 e 2,5% p/p.</v>
      </c>
      <c r="C29" s="576"/>
      <c r="D29" s="576"/>
      <c r="E29" s="75" t="str">
        <f>Materiais!C9</f>
        <v>Galão</v>
      </c>
      <c r="F29" s="75"/>
      <c r="G29" s="76">
        <f t="shared" ref="G29:G80" si="3">IF($D$4="PLANILHA PARA LICITAÇÃO (PRECIFICAÇÃO)",L29,0)</f>
        <v>10</v>
      </c>
      <c r="H29" s="77">
        <f>G29*Materiais!G9</f>
        <v>157.4</v>
      </c>
      <c r="I29" s="574" t="str">
        <f t="shared" ref="I29:I67" si="4">IF(G29&lt;L29,"Fornecimento inferior ao estimado mensalmente",IF(G29=L29,"Fornecimento igual ao estimado mensalmente",IF(G29&gt;L29,"Fornecimento superior ao estimado mensalmente",)))</f>
        <v>Fornecimento igual ao estimado mensalmente</v>
      </c>
      <c r="J29" s="574"/>
      <c r="K29" s="574"/>
      <c r="L29" s="78">
        <f t="shared" ref="L29:L80" si="5">M29/O29</f>
        <v>10</v>
      </c>
      <c r="M29" s="79">
        <f>Materiais!E9</f>
        <v>10</v>
      </c>
      <c r="N29" s="80" t="str">
        <f>Materiais!F9</f>
        <v>Mensal</v>
      </c>
      <c r="O29" s="81">
        <f t="shared" ref="O29:O80" si="6">IF(N29="MENSAL",1,IF(N29="BIMESTRAL",2,IF(N29="TRIMESTRAL",3,IF(N29="QUADRIMESTRAL",4,IF(N29="SEMESTRAL",6,IF(N29="ANUAL",12,IF(N29="BIENAL",24,"")))))))</f>
        <v>1</v>
      </c>
      <c r="W29" s="1"/>
    </row>
    <row r="30" spans="1:23" ht="13.9" customHeight="1" x14ac:dyDescent="0.25">
      <c r="A30" s="82">
        <v>2</v>
      </c>
      <c r="B30" s="576" t="str">
        <f>Materiais!B10</f>
        <v>Refil de álcool em gel 70% 800 ml para dispenser</v>
      </c>
      <c r="C30" s="576"/>
      <c r="D30" s="576"/>
      <c r="E30" s="75" t="str">
        <f>Materiais!C10</f>
        <v>Unid.</v>
      </c>
      <c r="F30" s="75"/>
      <c r="G30" s="76">
        <f t="shared" si="3"/>
        <v>9</v>
      </c>
      <c r="H30" s="77">
        <f>G30*Materiais!G10</f>
        <v>90</v>
      </c>
      <c r="I30" s="574" t="str">
        <f t="shared" si="4"/>
        <v>Fornecimento igual ao estimado mensalmente</v>
      </c>
      <c r="J30" s="574"/>
      <c r="K30" s="574"/>
      <c r="L30" s="78">
        <f t="shared" si="5"/>
        <v>9</v>
      </c>
      <c r="M30" s="79">
        <f>Materiais!E10</f>
        <v>9</v>
      </c>
      <c r="N30" s="80" t="str">
        <f>Materiais!F10</f>
        <v>Mensal</v>
      </c>
      <c r="O30" s="81">
        <f t="shared" si="6"/>
        <v>1</v>
      </c>
      <c r="W30" s="1"/>
    </row>
    <row r="31" spans="1:23" ht="13.9" customHeight="1" x14ac:dyDescent="0.25">
      <c r="A31" s="82">
        <v>3</v>
      </c>
      <c r="B31" s="576" t="str">
        <f>Materiais!B11</f>
        <v>Álcool Líquido 1 Litro: Etilico Hidratado, para limpeza em geral, teor alcoolico 70 inpm. Aprovação Anvisa; Produto devera estar de acordo com legislacao vigente</v>
      </c>
      <c r="C31" s="576"/>
      <c r="D31" s="576"/>
      <c r="E31" s="75" t="str">
        <f>Materiais!C11</f>
        <v>Unid.</v>
      </c>
      <c r="F31" s="75"/>
      <c r="G31" s="76">
        <f t="shared" si="3"/>
        <v>15</v>
      </c>
      <c r="H31" s="77">
        <f>G31*Materiais!G11</f>
        <v>90.6</v>
      </c>
      <c r="I31" s="574" t="str">
        <f t="shared" si="4"/>
        <v>Fornecimento igual ao estimado mensalmente</v>
      </c>
      <c r="J31" s="574"/>
      <c r="K31" s="574"/>
      <c r="L31" s="78">
        <f t="shared" si="5"/>
        <v>15</v>
      </c>
      <c r="M31" s="79">
        <f>Materiais!E11</f>
        <v>15</v>
      </c>
      <c r="N31" s="80" t="str">
        <f>Materiais!F11</f>
        <v>Mensal</v>
      </c>
      <c r="O31" s="81">
        <f t="shared" si="6"/>
        <v>1</v>
      </c>
      <c r="W31" s="1"/>
    </row>
    <row r="32" spans="1:23" ht="13.9" customHeight="1" x14ac:dyDescent="0.25">
      <c r="A32" s="82">
        <v>4</v>
      </c>
      <c r="B32" s="576" t="str">
        <f>Materiais!B12</f>
        <v>Azulim-Limpa cerâmicas e Azulejos; Embalagem com 1L.</v>
      </c>
      <c r="C32" s="576"/>
      <c r="D32" s="576"/>
      <c r="E32" s="75" t="str">
        <f>Materiais!C12</f>
        <v>Unid.</v>
      </c>
      <c r="F32" s="75" t="str">
        <f>Materiais!D12</f>
        <v>Azulim</v>
      </c>
      <c r="G32" s="76">
        <f t="shared" si="3"/>
        <v>10</v>
      </c>
      <c r="H32" s="77">
        <f>G32*Materiais!G12</f>
        <v>74.3</v>
      </c>
      <c r="I32" s="574" t="str">
        <f t="shared" si="4"/>
        <v>Fornecimento igual ao estimado mensalmente</v>
      </c>
      <c r="J32" s="574"/>
      <c r="K32" s="574"/>
      <c r="L32" s="78">
        <f t="shared" si="5"/>
        <v>10</v>
      </c>
      <c r="M32" s="79">
        <f>Materiais!E12</f>
        <v>10</v>
      </c>
      <c r="N32" s="80" t="str">
        <f>Materiais!F12</f>
        <v>Mensal</v>
      </c>
      <c r="O32" s="81">
        <f t="shared" si="6"/>
        <v>1</v>
      </c>
      <c r="W32" s="1"/>
    </row>
    <row r="33" spans="1:23" ht="13.9" customHeight="1" x14ac:dyDescent="0.25">
      <c r="A33" s="82">
        <v>5</v>
      </c>
      <c r="B33" s="576" t="str">
        <f>Materiais!B13</f>
        <v>Balde plástico em polietileno de alta densidade, alta resistência a impacto, com paredes e fundo reforçados, com reforço no encaixe da alça de aço zincado constando no corpo a marcado fabricante, capacidade de 12 litros.</v>
      </c>
      <c r="C33" s="576"/>
      <c r="D33" s="576"/>
      <c r="E33" s="75" t="str">
        <f>Materiais!C13</f>
        <v>Unid.</v>
      </c>
      <c r="F33" s="75" t="str">
        <f>Materiais!D13</f>
        <v>Arqplast</v>
      </c>
      <c r="G33" s="76">
        <f t="shared" si="3"/>
        <v>0.83333333333333337</v>
      </c>
      <c r="H33" s="77">
        <f>G33*Materiais!G13</f>
        <v>13.341666666666669</v>
      </c>
      <c r="I33" s="574" t="str">
        <f t="shared" si="4"/>
        <v>Fornecimento igual ao estimado mensalmente</v>
      </c>
      <c r="J33" s="574"/>
      <c r="K33" s="574"/>
      <c r="L33" s="78">
        <f t="shared" si="5"/>
        <v>0.83333333333333337</v>
      </c>
      <c r="M33" s="79">
        <f>Materiais!E13</f>
        <v>10</v>
      </c>
      <c r="N33" s="80" t="str">
        <f>Materiais!F13</f>
        <v>Anual</v>
      </c>
      <c r="O33" s="81">
        <f t="shared" si="6"/>
        <v>12</v>
      </c>
      <c r="W33" s="1"/>
    </row>
    <row r="34" spans="1:23" ht="13.9" customHeight="1" x14ac:dyDescent="0.25">
      <c r="A34" s="82">
        <v>6</v>
      </c>
      <c r="B34" s="576" t="str">
        <f>Materiais!B14</f>
        <v>Cesto para lixo de 100 litros - tipo balde, com tampa e pedal - confeccionado em material de polipropileno ou poliestireno resistente, atóxico, com tampa sobreposta, duas alças laterais, cesto em formato redondo.</v>
      </c>
      <c r="C34" s="576"/>
      <c r="D34" s="576"/>
      <c r="E34" s="75" t="str">
        <f>Materiais!C14</f>
        <v>Unid.</v>
      </c>
      <c r="F34" s="75">
        <f>Materiais!D14</f>
        <v>0</v>
      </c>
      <c r="G34" s="76">
        <f t="shared" si="3"/>
        <v>0.58333333333333337</v>
      </c>
      <c r="H34" s="77">
        <f>G34*Materiais!G14</f>
        <v>55.539166666666667</v>
      </c>
      <c r="I34" s="574" t="str">
        <f t="shared" si="4"/>
        <v>Fornecimento igual ao estimado mensalmente</v>
      </c>
      <c r="J34" s="574"/>
      <c r="K34" s="574"/>
      <c r="L34" s="78">
        <f t="shared" si="5"/>
        <v>0.58333333333333337</v>
      </c>
      <c r="M34" s="79">
        <f>Materiais!E14</f>
        <v>7</v>
      </c>
      <c r="N34" s="80" t="str">
        <f>Materiais!F14</f>
        <v>Anual</v>
      </c>
      <c r="O34" s="81">
        <f t="shared" si="6"/>
        <v>12</v>
      </c>
      <c r="W34" s="1"/>
    </row>
    <row r="35" spans="1:23" ht="13.9" customHeight="1" x14ac:dyDescent="0.25">
      <c r="A35" s="82">
        <v>7</v>
      </c>
      <c r="B35" s="576" t="str">
        <f>Materiais!B15</f>
        <v>Cesto plástico para lixo com tampa e pedal - 20 lt. cesto para lixo, com tampa e pedal em polipropileno, formato cilíndrico, capacidade aproximada de 20 litros</v>
      </c>
      <c r="C35" s="576"/>
      <c r="D35" s="576"/>
      <c r="E35" s="75" t="str">
        <f>Materiais!C15</f>
        <v>Unid.</v>
      </c>
      <c r="F35" s="75">
        <f>Materiais!D15</f>
        <v>0</v>
      </c>
      <c r="G35" s="76">
        <f t="shared" si="3"/>
        <v>1</v>
      </c>
      <c r="H35" s="77">
        <f>G35*Materiais!G15</f>
        <v>27.41</v>
      </c>
      <c r="I35" s="574" t="str">
        <f t="shared" si="4"/>
        <v>Fornecimento igual ao estimado mensalmente</v>
      </c>
      <c r="J35" s="574"/>
      <c r="K35" s="574"/>
      <c r="L35" s="78">
        <f t="shared" si="5"/>
        <v>1</v>
      </c>
      <c r="M35" s="79">
        <f>Materiais!E15</f>
        <v>12</v>
      </c>
      <c r="N35" s="80" t="str">
        <f>Materiais!F15</f>
        <v>Anual</v>
      </c>
      <c r="O35" s="81">
        <f t="shared" si="6"/>
        <v>12</v>
      </c>
      <c r="W35" s="1"/>
    </row>
    <row r="36" spans="1:23" ht="13.9" customHeight="1" x14ac:dyDescent="0.25">
      <c r="A36" s="82">
        <v>8</v>
      </c>
      <c r="B36" s="576" t="str">
        <f>Materiais!B16</f>
        <v>Desentupidor Vaso Sanitário Material: Borracha Flexível, Comprimento Cabo: 50 CM, Altura: 10 CM, Cor: Preta , Diâmetro: 16 CM, MaterialCabo: Madeira</v>
      </c>
      <c r="C36" s="576"/>
      <c r="D36" s="576"/>
      <c r="E36" s="75" t="str">
        <f>Materiais!C16</f>
        <v>Unid.</v>
      </c>
      <c r="F36" s="75" t="str">
        <f>Materiais!D16</f>
        <v>Canada</v>
      </c>
      <c r="G36" s="76">
        <f t="shared" si="3"/>
        <v>0.25</v>
      </c>
      <c r="H36" s="77">
        <f>G36*Materiais!G16</f>
        <v>3.6675</v>
      </c>
      <c r="I36" s="574" t="str">
        <f t="shared" si="4"/>
        <v>Fornecimento igual ao estimado mensalmente</v>
      </c>
      <c r="J36" s="574"/>
      <c r="K36" s="574"/>
      <c r="L36" s="78">
        <f t="shared" si="5"/>
        <v>0.25</v>
      </c>
      <c r="M36" s="79">
        <f>Materiais!E16</f>
        <v>3</v>
      </c>
      <c r="N36" s="80" t="str">
        <f>Materiais!F16</f>
        <v>Anual</v>
      </c>
      <c r="O36" s="81">
        <f t="shared" si="6"/>
        <v>12</v>
      </c>
      <c r="W36" s="1"/>
    </row>
    <row r="37" spans="1:23" ht="13.9" customHeight="1" x14ac:dyDescent="0.25">
      <c r="A37" s="82">
        <v>9</v>
      </c>
      <c r="B37" s="576" t="str">
        <f>Materiais!B17</f>
        <v>Desodorizador de ambiente com 360ml bom ar</v>
      </c>
      <c r="C37" s="576"/>
      <c r="D37" s="576"/>
      <c r="E37" s="75" t="str">
        <f>Materiais!C17</f>
        <v>Unid.</v>
      </c>
      <c r="F37" s="75" t="str">
        <f>Materiais!D17</f>
        <v>Glade</v>
      </c>
      <c r="G37" s="76">
        <f t="shared" si="3"/>
        <v>12</v>
      </c>
      <c r="H37" s="77">
        <f>G37*Materiais!G17</f>
        <v>199.92000000000002</v>
      </c>
      <c r="I37" s="574" t="str">
        <f t="shared" si="4"/>
        <v>Fornecimento igual ao estimado mensalmente</v>
      </c>
      <c r="J37" s="574"/>
      <c r="K37" s="574"/>
      <c r="L37" s="78">
        <f t="shared" si="5"/>
        <v>12</v>
      </c>
      <c r="M37" s="79">
        <f>Materiais!E17</f>
        <v>12</v>
      </c>
      <c r="N37" s="80" t="str">
        <f>Materiais!F17</f>
        <v>Mensal</v>
      </c>
      <c r="O37" s="81">
        <f t="shared" si="6"/>
        <v>1</v>
      </c>
      <c r="W37" s="1"/>
    </row>
    <row r="38" spans="1:23" ht="13.9" customHeight="1" x14ac:dyDescent="0.25">
      <c r="A38" s="84">
        <v>10</v>
      </c>
      <c r="B38" s="576" t="str">
        <f>Materiais!B18</f>
        <v>Desinfetante concentrado líquido. Aroma floral. Embalagem com 5 litros</v>
      </c>
      <c r="C38" s="576"/>
      <c r="D38" s="576"/>
      <c r="E38" s="75" t="str">
        <f>Materiais!C18</f>
        <v>Galão</v>
      </c>
      <c r="F38" s="75" t="str">
        <f>Materiais!D18</f>
        <v>Mirax Floral Bouquet</v>
      </c>
      <c r="G38" s="76">
        <f t="shared" si="3"/>
        <v>8</v>
      </c>
      <c r="H38" s="77">
        <f>G38*Materiais!G18</f>
        <v>282.16000000000003</v>
      </c>
      <c r="I38" s="574" t="str">
        <f t="shared" si="4"/>
        <v>Fornecimento igual ao estimado mensalmente</v>
      </c>
      <c r="J38" s="574"/>
      <c r="K38" s="574"/>
      <c r="L38" s="78">
        <f t="shared" si="5"/>
        <v>8</v>
      </c>
      <c r="M38" s="79">
        <f>Materiais!E18</f>
        <v>8</v>
      </c>
      <c r="N38" s="80" t="str">
        <f>Materiais!F18</f>
        <v>Mensal</v>
      </c>
      <c r="O38" s="81">
        <f t="shared" si="6"/>
        <v>1</v>
      </c>
      <c r="W38" s="1"/>
    </row>
    <row r="39" spans="1:23" ht="13.9" customHeight="1" x14ac:dyDescent="0.25">
      <c r="A39" s="82">
        <v>11</v>
      </c>
      <c r="B39" s="576" t="str">
        <f>Materiais!B19</f>
        <v>Detergente para piso porcelanato com 5 litros</v>
      </c>
      <c r="C39" s="576"/>
      <c r="D39" s="576"/>
      <c r="E39" s="75" t="str">
        <f>Materiais!C19</f>
        <v>Galão</v>
      </c>
      <c r="F39" s="75"/>
      <c r="G39" s="76">
        <f t="shared" si="3"/>
        <v>6</v>
      </c>
      <c r="H39" s="77">
        <f>G39*Materiais!G19</f>
        <v>309.89999999999998</v>
      </c>
      <c r="I39" s="574" t="str">
        <f t="shared" si="4"/>
        <v>Fornecimento igual ao estimado mensalmente</v>
      </c>
      <c r="J39" s="574"/>
      <c r="K39" s="574"/>
      <c r="L39" s="78">
        <f t="shared" si="5"/>
        <v>6</v>
      </c>
      <c r="M39" s="79">
        <f>Materiais!E19</f>
        <v>6</v>
      </c>
      <c r="N39" s="80" t="str">
        <f>Materiais!F19</f>
        <v>Mensal</v>
      </c>
      <c r="O39" s="81">
        <f t="shared" si="6"/>
        <v>1</v>
      </c>
      <c r="W39" s="1"/>
    </row>
    <row r="40" spans="1:23" ht="13.9" customHeight="1" x14ac:dyDescent="0.25">
      <c r="A40" s="82">
        <v>12</v>
      </c>
      <c r="B40" s="576" t="str">
        <f>Materiais!B20</f>
        <v>Disco Escova Nylon branco ou Verde para Disco de cor verde para enceradeira, limpador confeccionado em fibra sintética e mineral abrasivo; para enceradeira industrial; com diâmetro de 350mm</v>
      </c>
      <c r="C40" s="576"/>
      <c r="D40" s="576"/>
      <c r="E40" s="75" t="str">
        <f>Materiais!C20</f>
        <v>Unid.</v>
      </c>
      <c r="F40" s="75"/>
      <c r="G40" s="76">
        <f t="shared" si="3"/>
        <v>0.66666666666666663</v>
      </c>
      <c r="H40" s="77">
        <f>G40*Materiais!G20</f>
        <v>16.233333333333334</v>
      </c>
      <c r="I40" s="574" t="str">
        <f t="shared" si="4"/>
        <v>Fornecimento igual ao estimado mensalmente</v>
      </c>
      <c r="J40" s="574"/>
      <c r="K40" s="574"/>
      <c r="L40" s="78">
        <f t="shared" si="5"/>
        <v>0.66666666666666663</v>
      </c>
      <c r="M40" s="79">
        <f>Materiais!E20</f>
        <v>8</v>
      </c>
      <c r="N40" s="80" t="str">
        <f>Materiais!F20</f>
        <v>Anual</v>
      </c>
      <c r="O40" s="81">
        <f t="shared" si="6"/>
        <v>12</v>
      </c>
      <c r="W40" s="1"/>
    </row>
    <row r="41" spans="1:23" ht="13.9" customHeight="1" x14ac:dyDescent="0.25">
      <c r="A41" s="84">
        <v>13</v>
      </c>
      <c r="B41" s="576" t="str">
        <f>Materiais!B21</f>
        <v>Escova para lavar multiuso, oval, base plástica e cerdas de escova para lavar multiuso, oval, base plástica e cerdas de nylon.</v>
      </c>
      <c r="C41" s="576"/>
      <c r="D41" s="576"/>
      <c r="E41" s="75" t="str">
        <f>Materiais!C21</f>
        <v>Unid.</v>
      </c>
      <c r="F41" s="75"/>
      <c r="G41" s="76">
        <f t="shared" si="3"/>
        <v>8</v>
      </c>
      <c r="H41" s="77">
        <f>G41*Materiais!G21</f>
        <v>24.96</v>
      </c>
      <c r="I41" s="574" t="str">
        <f t="shared" si="4"/>
        <v>Fornecimento igual ao estimado mensalmente</v>
      </c>
      <c r="J41" s="574"/>
      <c r="K41" s="574"/>
      <c r="L41" s="78">
        <f t="shared" si="5"/>
        <v>8</v>
      </c>
      <c r="M41" s="79">
        <f>Materiais!E21</f>
        <v>8</v>
      </c>
      <c r="N41" s="80" t="str">
        <f>Materiais!F21</f>
        <v>Mensal</v>
      </c>
      <c r="O41" s="81">
        <f t="shared" si="6"/>
        <v>1</v>
      </c>
      <c r="W41" s="1"/>
    </row>
    <row r="42" spans="1:23" ht="13.9" customHeight="1" x14ac:dyDescent="0.25">
      <c r="A42" s="82">
        <v>14</v>
      </c>
      <c r="B42" s="576" t="str">
        <f>Materiais!B22</f>
        <v>Escova Sanitária Redonda em plástico Branco contendo 01 escova para vaso sanitário e 01 suporte redondo: Branco Tamanho: 14 x 42 cm</v>
      </c>
      <c r="C42" s="576"/>
      <c r="D42" s="576"/>
      <c r="E42" s="75" t="str">
        <f>Materiais!C22</f>
        <v>Unid.</v>
      </c>
      <c r="F42" s="75" t="str">
        <f>Materiais!D22</f>
        <v>Limpamania</v>
      </c>
      <c r="G42" s="76">
        <f t="shared" si="3"/>
        <v>0.83333333333333337</v>
      </c>
      <c r="H42" s="77">
        <f>G42*Materiais!G22</f>
        <v>9.7916666666666679</v>
      </c>
      <c r="I42" s="574" t="str">
        <f t="shared" si="4"/>
        <v>Fornecimento igual ao estimado mensalmente</v>
      </c>
      <c r="J42" s="574"/>
      <c r="K42" s="574"/>
      <c r="L42" s="78">
        <f t="shared" si="5"/>
        <v>0.83333333333333337</v>
      </c>
      <c r="M42" s="79">
        <f>Materiais!E22</f>
        <v>10</v>
      </c>
      <c r="N42" s="80" t="str">
        <f>Materiais!F22</f>
        <v>Anual</v>
      </c>
      <c r="O42" s="81">
        <f t="shared" si="6"/>
        <v>12</v>
      </c>
      <c r="W42" s="1"/>
    </row>
    <row r="43" spans="1:23" ht="13.9" customHeight="1" x14ac:dyDescent="0.25">
      <c r="A43" s="82">
        <v>15</v>
      </c>
      <c r="B43" s="576" t="str">
        <f>Materiais!B23</f>
        <v>Espanador de pó de penas nº 25. Medidas: 25 cm de penas e 40 cm de cabo</v>
      </c>
      <c r="C43" s="576"/>
      <c r="D43" s="576"/>
      <c r="E43" s="75" t="str">
        <f>Materiais!C23</f>
        <v>Unid.</v>
      </c>
      <c r="F43" s="75"/>
      <c r="G43" s="76">
        <f t="shared" si="3"/>
        <v>0.83333333333333337</v>
      </c>
      <c r="H43" s="77">
        <f>G43*Materiais!G23</f>
        <v>13.691666666666666</v>
      </c>
      <c r="I43" s="574" t="str">
        <f t="shared" si="4"/>
        <v>Fornecimento igual ao estimado mensalmente</v>
      </c>
      <c r="J43" s="574"/>
      <c r="K43" s="574"/>
      <c r="L43" s="78">
        <f t="shared" si="5"/>
        <v>0.83333333333333337</v>
      </c>
      <c r="M43" s="79">
        <f>Materiais!E23</f>
        <v>10</v>
      </c>
      <c r="N43" s="80" t="str">
        <f>Materiais!F23</f>
        <v>Anual</v>
      </c>
      <c r="O43" s="81">
        <f t="shared" si="6"/>
        <v>12</v>
      </c>
      <c r="W43" s="1"/>
    </row>
    <row r="44" spans="1:23" ht="13.9" customHeight="1" x14ac:dyDescent="0.25">
      <c r="A44" s="82">
        <v>16</v>
      </c>
      <c r="B44" s="576" t="str">
        <f>Materiais!B24</f>
        <v>Fibra de limpeza de uso geral - pacote com 10 unidades</v>
      </c>
      <c r="C44" s="576"/>
      <c r="D44" s="576"/>
      <c r="E44" s="75" t="str">
        <f>Materiais!C24</f>
        <v>Pct</v>
      </c>
      <c r="F44" s="75"/>
      <c r="G44" s="76">
        <f t="shared" si="3"/>
        <v>0.5</v>
      </c>
      <c r="H44" s="77">
        <f>G44*Materiais!G24</f>
        <v>7.1050000000000004</v>
      </c>
      <c r="I44" s="574" t="str">
        <f t="shared" si="4"/>
        <v>Fornecimento igual ao estimado mensalmente</v>
      </c>
      <c r="J44" s="574"/>
      <c r="K44" s="574"/>
      <c r="L44" s="78">
        <f t="shared" si="5"/>
        <v>0.5</v>
      </c>
      <c r="M44" s="79">
        <f>Materiais!E24</f>
        <v>6</v>
      </c>
      <c r="N44" s="80" t="str">
        <f>Materiais!F24</f>
        <v>Anual</v>
      </c>
      <c r="O44" s="81">
        <f t="shared" si="6"/>
        <v>12</v>
      </c>
      <c r="W44" s="1"/>
    </row>
    <row r="45" spans="1:23" ht="13.9" customHeight="1" x14ac:dyDescent="0.25">
      <c r="A45" s="82">
        <v>17</v>
      </c>
      <c r="B45" s="576" t="str">
        <f>Materiais!B25</f>
        <v>Extensão elétrica 20 metros 3 tomada 20a cabo pp2x1,5mm reforçada, 2 cabos de som 10m para ligar as caixas xlr/p10, 2cabos xlr para microfones sem fio (especificações mínima)</v>
      </c>
      <c r="C45" s="576"/>
      <c r="D45" s="576"/>
      <c r="E45" s="75" t="str">
        <f>Materiais!C25</f>
        <v>Unid.</v>
      </c>
      <c r="F45" s="75"/>
      <c r="G45" s="76">
        <f t="shared" si="3"/>
        <v>0.16666666666666666</v>
      </c>
      <c r="H45" s="77">
        <f>G45*Materiais!G25</f>
        <v>20.611666666666665</v>
      </c>
      <c r="I45" s="574" t="str">
        <f t="shared" si="4"/>
        <v>Fornecimento igual ao estimado mensalmente</v>
      </c>
      <c r="J45" s="574"/>
      <c r="K45" s="574"/>
      <c r="L45" s="78">
        <f t="shared" si="5"/>
        <v>0.16666666666666666</v>
      </c>
      <c r="M45" s="79">
        <f>Materiais!E25</f>
        <v>2</v>
      </c>
      <c r="N45" s="80" t="str">
        <f>Materiais!F25</f>
        <v>Anual</v>
      </c>
      <c r="O45" s="81">
        <f t="shared" si="6"/>
        <v>12</v>
      </c>
      <c r="W45" s="1"/>
    </row>
    <row r="46" spans="1:23" ht="13.9" customHeight="1" x14ac:dyDescent="0.25">
      <c r="A46" s="82">
        <v>18</v>
      </c>
      <c r="B46" s="576" t="str">
        <f>Materiais!B26</f>
        <v>Flanela Branca Pano de Limpeza. APLICAÇÃO: para limpeza de móveis, vidros e objetos. CARACTERÍSTICA(S): macia, com bainha em todas as bordas. MATERIAL(IS): 100 % algodão. BORDA: com bainha (costura reforçada). MEDIDA(S) Aproximadas: mínimo 40 cm X 60 cm de largura x comprimento. GRAMATURA: 120 g/m², no mínimo. ACONDICIONAMENTO: embalagem original de fábrica, com identificação e quantidade do material. OBSERVAÇÃO(ÕES): o produto deve conter etiqueta ou vir acompanhado de declaração do fabricante que informe o material em que é fabricado.</v>
      </c>
      <c r="C46" s="576"/>
      <c r="D46" s="576"/>
      <c r="E46" s="75" t="str">
        <f>Materiais!C26</f>
        <v>Unid.</v>
      </c>
      <c r="F46" s="75" t="str">
        <f>Materiais!D26</f>
        <v>Intextil</v>
      </c>
      <c r="G46" s="76">
        <f t="shared" si="3"/>
        <v>15</v>
      </c>
      <c r="H46" s="77">
        <f>G46*Materiais!G26</f>
        <v>61.949999999999996</v>
      </c>
      <c r="I46" s="574" t="str">
        <f t="shared" si="4"/>
        <v>Fornecimento igual ao estimado mensalmente</v>
      </c>
      <c r="J46" s="574"/>
      <c r="K46" s="574"/>
      <c r="L46" s="78">
        <f t="shared" si="5"/>
        <v>15</v>
      </c>
      <c r="M46" s="79">
        <f>Materiais!E26</f>
        <v>15</v>
      </c>
      <c r="N46" s="80" t="str">
        <f>Materiais!F26</f>
        <v>Mensal</v>
      </c>
      <c r="O46" s="81">
        <f t="shared" si="6"/>
        <v>1</v>
      </c>
      <c r="W46" s="1"/>
    </row>
    <row r="47" spans="1:23" ht="13.9" customHeight="1" x14ac:dyDescent="0.25">
      <c r="A47" s="82">
        <v>19</v>
      </c>
      <c r="B47" s="576" t="str">
        <f>Materiais!B27</f>
        <v>Funil, material plástico, uso doméstico, diâmetro nominal 120 mm, características adicionais branco, com pegador.</v>
      </c>
      <c r="C47" s="576"/>
      <c r="D47" s="576"/>
      <c r="E47" s="75" t="str">
        <f>Materiais!C27</f>
        <v>Unid.</v>
      </c>
      <c r="F47" s="75"/>
      <c r="G47" s="76">
        <f t="shared" si="3"/>
        <v>0.33333333333333331</v>
      </c>
      <c r="H47" s="77">
        <f>G47*Materiais!G27</f>
        <v>3.0066666666666664</v>
      </c>
      <c r="I47" s="574" t="str">
        <f t="shared" si="4"/>
        <v>Fornecimento igual ao estimado mensalmente</v>
      </c>
      <c r="J47" s="574"/>
      <c r="K47" s="574"/>
      <c r="L47" s="78">
        <f t="shared" si="5"/>
        <v>0.33333333333333331</v>
      </c>
      <c r="M47" s="79">
        <f>Materiais!E27</f>
        <v>4</v>
      </c>
      <c r="N47" s="80" t="str">
        <f>Materiais!F27</f>
        <v>Anual</v>
      </c>
      <c r="O47" s="81">
        <f t="shared" si="6"/>
        <v>12</v>
      </c>
      <c r="W47" s="1"/>
    </row>
    <row r="48" spans="1:23" ht="13.9" customHeight="1" x14ac:dyDescent="0.25">
      <c r="A48" s="82">
        <v>20</v>
      </c>
      <c r="B48" s="576" t="str">
        <f>Materiais!B28</f>
        <v>Removedor de sujeiras para piso granilite com 5 litros</v>
      </c>
      <c r="C48" s="576"/>
      <c r="D48" s="576"/>
      <c r="E48" s="75" t="str">
        <f>Materiais!C28</f>
        <v>Galão</v>
      </c>
      <c r="F48" s="75"/>
      <c r="G48" s="76">
        <f t="shared" si="3"/>
        <v>3.3333333333333335</v>
      </c>
      <c r="H48" s="77">
        <f>G48*Materiais!G28</f>
        <v>173.13333333333333</v>
      </c>
      <c r="I48" s="574" t="str">
        <f t="shared" si="4"/>
        <v>Fornecimento igual ao estimado mensalmente</v>
      </c>
      <c r="J48" s="574"/>
      <c r="K48" s="574"/>
      <c r="L48" s="78">
        <f t="shared" si="5"/>
        <v>3.3333333333333335</v>
      </c>
      <c r="M48" s="79">
        <f>Materiais!E28</f>
        <v>40</v>
      </c>
      <c r="N48" s="80" t="str">
        <f>Materiais!F28</f>
        <v>Anual</v>
      </c>
      <c r="O48" s="81">
        <f t="shared" si="6"/>
        <v>12</v>
      </c>
      <c r="W48" s="1"/>
    </row>
    <row r="49" spans="1:23" ht="13.9" customHeight="1" x14ac:dyDescent="0.25">
      <c r="A49" s="82">
        <v>21</v>
      </c>
      <c r="B49" s="576" t="str">
        <f>Materiais!B29</f>
        <v>Impermeabilizante/acabamento para piso porcelanato com 5 litros</v>
      </c>
      <c r="C49" s="576"/>
      <c r="D49" s="576"/>
      <c r="E49" s="75" t="str">
        <f>Materiais!C29</f>
        <v>Galão</v>
      </c>
      <c r="F49" s="75" t="str">
        <f>Materiais!D29</f>
        <v>finish clear 300 ou similar</v>
      </c>
      <c r="G49" s="76">
        <f t="shared" si="3"/>
        <v>0.66666666666666663</v>
      </c>
      <c r="H49" s="77">
        <f>G49*Materiais!G29</f>
        <v>79.446666666666658</v>
      </c>
      <c r="I49" s="574" t="str">
        <f t="shared" si="4"/>
        <v>Fornecimento igual ao estimado mensalmente</v>
      </c>
      <c r="J49" s="574"/>
      <c r="K49" s="574"/>
      <c r="L49" s="78">
        <f t="shared" si="5"/>
        <v>0.66666666666666663</v>
      </c>
      <c r="M49" s="79">
        <f>Materiais!E29</f>
        <v>8</v>
      </c>
      <c r="N49" s="80" t="str">
        <f>Materiais!F29</f>
        <v>Anual</v>
      </c>
      <c r="O49" s="81">
        <f t="shared" si="6"/>
        <v>12</v>
      </c>
      <c r="W49" s="1"/>
    </row>
    <row r="50" spans="1:23" ht="13.9" customHeight="1" x14ac:dyDescent="0.25">
      <c r="A50" s="82">
        <v>22</v>
      </c>
      <c r="B50" s="576" t="str">
        <f>Materiais!B30</f>
        <v>Impermeabilizante/acabamento para piso granilite com 5 litros</v>
      </c>
      <c r="C50" s="576"/>
      <c r="D50" s="576"/>
      <c r="E50" s="75" t="str">
        <f>Materiais!C30</f>
        <v>Galão</v>
      </c>
      <c r="F50" s="75" t="str">
        <f>Materiais!D30</f>
        <v>Ecolab ou similar</v>
      </c>
      <c r="G50" s="76">
        <f t="shared" si="3"/>
        <v>3.3333333333333335</v>
      </c>
      <c r="H50" s="77">
        <f>G50*Materiais!G30</f>
        <v>441.13333333333338</v>
      </c>
      <c r="I50" s="574" t="str">
        <f t="shared" si="4"/>
        <v>Fornecimento igual ao estimado mensalmente</v>
      </c>
      <c r="J50" s="574"/>
      <c r="K50" s="574"/>
      <c r="L50" s="78">
        <f t="shared" si="5"/>
        <v>3.3333333333333335</v>
      </c>
      <c r="M50" s="79">
        <f>Materiais!E30</f>
        <v>40</v>
      </c>
      <c r="N50" s="80" t="str">
        <f>Materiais!F30</f>
        <v>Anual</v>
      </c>
      <c r="O50" s="81">
        <f t="shared" si="6"/>
        <v>12</v>
      </c>
      <c r="W50" s="1"/>
    </row>
    <row r="51" spans="1:23" ht="13.9" customHeight="1" x14ac:dyDescent="0.25">
      <c r="A51" s="82">
        <v>23</v>
      </c>
      <c r="B51" s="576" t="str">
        <f>Materiais!B31</f>
        <v>Kit limpador de vidro: Rodo limpa vidros com cabo telescópico extensor de 06 (seis)metros. Extremidade composta por lavador de acrílico e limpador com lâmina de borracha de aproximadamente 35 cm. Utilizado para limpeza de vidros e vidraças.</v>
      </c>
      <c r="C51" s="576"/>
      <c r="D51" s="576"/>
      <c r="E51" s="75" t="str">
        <f>Materiais!C31</f>
        <v>Unid.</v>
      </c>
      <c r="F51" s="75"/>
      <c r="G51" s="76">
        <f t="shared" si="3"/>
        <v>8.3333333333333329E-2</v>
      </c>
      <c r="H51" s="77">
        <f>G51*Materiais!G31</f>
        <v>6.4549999999999992</v>
      </c>
      <c r="I51" s="574" t="str">
        <f t="shared" si="4"/>
        <v>Fornecimento igual ao estimado mensalmente</v>
      </c>
      <c r="J51" s="574"/>
      <c r="K51" s="574"/>
      <c r="L51" s="78">
        <f t="shared" si="5"/>
        <v>8.3333333333333329E-2</v>
      </c>
      <c r="M51" s="79">
        <f>Materiais!E31</f>
        <v>1</v>
      </c>
      <c r="N51" s="80" t="str">
        <f>Materiais!F31</f>
        <v>Anual</v>
      </c>
      <c r="O51" s="81">
        <f t="shared" si="6"/>
        <v>12</v>
      </c>
      <c r="W51" s="1"/>
    </row>
    <row r="52" spans="1:23" ht="13.9" customHeight="1" x14ac:dyDescent="0.25">
      <c r="A52" s="82">
        <v>24</v>
      </c>
      <c r="B52" s="576" t="str">
        <f>Materiais!B32</f>
        <v>Limpa vidro 500ml (Veja ou similar)</v>
      </c>
      <c r="C52" s="576"/>
      <c r="D52" s="576"/>
      <c r="E52" s="75" t="str">
        <f>Materiais!C32</f>
        <v>Unid.</v>
      </c>
      <c r="F52" s="75" t="str">
        <f>Materiais!D32</f>
        <v>Veja</v>
      </c>
      <c r="G52" s="76">
        <f t="shared" si="3"/>
        <v>12</v>
      </c>
      <c r="H52" s="77">
        <f>G52*Materiais!G32</f>
        <v>211.68</v>
      </c>
      <c r="I52" s="574" t="str">
        <f t="shared" si="4"/>
        <v>Fornecimento igual ao estimado mensalmente</v>
      </c>
      <c r="J52" s="574"/>
      <c r="K52" s="574"/>
      <c r="L52" s="78">
        <f t="shared" si="5"/>
        <v>12</v>
      </c>
      <c r="M52" s="79">
        <f>Materiais!E32</f>
        <v>12</v>
      </c>
      <c r="N52" s="80" t="str">
        <f>Materiais!F32</f>
        <v>Mensal</v>
      </c>
      <c r="O52" s="81">
        <f t="shared" si="6"/>
        <v>1</v>
      </c>
      <c r="W52" s="1"/>
    </row>
    <row r="53" spans="1:23" ht="13.9" customHeight="1" x14ac:dyDescent="0.25">
      <c r="A53" s="82">
        <v>25</v>
      </c>
      <c r="B53" s="576" t="str">
        <f>Materiais!B33</f>
        <v>Limpa Pedras Pisos, lajota removedor de encardido pedra e cerâmica - Ácido Sulfônico - 5 litro concentrado com baixo odor e pH ácido sinergicamente balanceado para uma ação rápida e eficaz. Limpeza pesada, sem danificar, de sujidades como terra, fuligem, ferrugem, incrustações e encardidos em geral</v>
      </c>
      <c r="C53" s="576"/>
      <c r="D53" s="576"/>
      <c r="E53" s="75" t="str">
        <f>Materiais!C33</f>
        <v>Galão</v>
      </c>
      <c r="F53" s="75" t="str">
        <f>Materiais!D33</f>
        <v>Pedrex</v>
      </c>
      <c r="G53" s="76">
        <f t="shared" si="3"/>
        <v>5</v>
      </c>
      <c r="H53" s="77">
        <f>G53*Materiais!G33</f>
        <v>175.75</v>
      </c>
      <c r="I53" s="574" t="str">
        <f t="shared" si="4"/>
        <v>Fornecimento igual ao estimado mensalmente</v>
      </c>
      <c r="J53" s="574"/>
      <c r="K53" s="574"/>
      <c r="L53" s="78">
        <f t="shared" si="5"/>
        <v>5</v>
      </c>
      <c r="M53" s="79">
        <f>Materiais!E33</f>
        <v>5</v>
      </c>
      <c r="N53" s="80" t="str">
        <f>Materiais!F33</f>
        <v>Mensal</v>
      </c>
      <c r="O53" s="81">
        <f t="shared" si="6"/>
        <v>1</v>
      </c>
      <c r="W53" s="1"/>
    </row>
    <row r="54" spans="1:23" ht="13.9" customHeight="1" x14ac:dyDescent="0.25">
      <c r="A54" s="82">
        <v>26</v>
      </c>
      <c r="B54" s="576" t="str">
        <f>Materiais!B34</f>
        <v>Lustra Móveis, Embalagem de 200 ml, Emulsão aquosa cremosa, perfumada, para aplicação em móveis e superfícies
lisas. aromas diversos. frasco plástico de 200ml com bico econômico. embalagem certificada pelo INMETRO contendo data de fabricação, validade.</v>
      </c>
      <c r="C54" s="576"/>
      <c r="D54" s="576"/>
      <c r="E54" s="75" t="str">
        <f>Materiais!C34</f>
        <v>Unid.</v>
      </c>
      <c r="F54" s="75" t="str">
        <f>Materiais!D34</f>
        <v>Ypê</v>
      </c>
      <c r="G54" s="76">
        <f t="shared" si="3"/>
        <v>6</v>
      </c>
      <c r="H54" s="77">
        <f>G54*Materiais!G34</f>
        <v>40.32</v>
      </c>
      <c r="I54" s="574" t="str">
        <f t="shared" si="4"/>
        <v>Fornecimento igual ao estimado mensalmente</v>
      </c>
      <c r="J54" s="574"/>
      <c r="K54" s="574"/>
      <c r="L54" s="78">
        <f t="shared" si="5"/>
        <v>6</v>
      </c>
      <c r="M54" s="79">
        <f>Materiais!E34</f>
        <v>6</v>
      </c>
      <c r="N54" s="80" t="str">
        <f>Materiais!F34</f>
        <v>Mensal</v>
      </c>
      <c r="O54" s="81">
        <f t="shared" si="6"/>
        <v>1</v>
      </c>
      <c r="W54" s="1"/>
    </row>
    <row r="55" spans="1:23" ht="13.9" customHeight="1" x14ac:dyDescent="0.25">
      <c r="A55" s="82">
        <v>27</v>
      </c>
      <c r="B55" s="576" t="str">
        <f>Materiais!B35</f>
        <v>Luva Segurança Com Forro. Material: 100% Látex Nitrílico , Tamanho: M ou G ,Aplicação: Manuseio Reagente Químico E Radioativo , Características Adicionais: Com Forro, Sem Talco, Pulso Com Bainha , Modelo: Palma Antiderrapante, Cor: Verde, Tipo: Ambidestra</v>
      </c>
      <c r="C55" s="576"/>
      <c r="D55" s="576"/>
      <c r="E55" s="75" t="str">
        <f>Materiais!C35</f>
        <v>Par</v>
      </c>
      <c r="F55" s="75" t="str">
        <f>Materiais!D35</f>
        <v>Bettanin</v>
      </c>
      <c r="G55" s="76">
        <f t="shared" si="3"/>
        <v>10</v>
      </c>
      <c r="H55" s="77">
        <f>G55*Materiais!G35</f>
        <v>141.6</v>
      </c>
      <c r="I55" s="574" t="str">
        <f t="shared" si="4"/>
        <v>Fornecimento igual ao estimado mensalmente</v>
      </c>
      <c r="J55" s="574"/>
      <c r="K55" s="574"/>
      <c r="L55" s="78">
        <f t="shared" si="5"/>
        <v>10</v>
      </c>
      <c r="M55" s="79">
        <f>Materiais!E35</f>
        <v>10</v>
      </c>
      <c r="N55" s="80" t="str">
        <f>Materiais!F35</f>
        <v>Mensal</v>
      </c>
      <c r="O55" s="81">
        <f t="shared" si="6"/>
        <v>1</v>
      </c>
      <c r="W55" s="1"/>
    </row>
    <row r="56" spans="1:23" ht="13.9" customHeight="1" x14ac:dyDescent="0.25">
      <c r="A56" s="82">
        <v>28</v>
      </c>
      <c r="B56" s="576" t="str">
        <f>Materiais!B36</f>
        <v>Mangueira para jardim, com 50 metros de extensão, antitorção, com engate de torneira e esguicho</v>
      </c>
      <c r="C56" s="576"/>
      <c r="D56" s="576"/>
      <c r="E56" s="75" t="str">
        <f>Materiais!C36</f>
        <v>Unid.</v>
      </c>
      <c r="F56" s="75" t="str">
        <f>Materiais!D36</f>
        <v>Tramontina</v>
      </c>
      <c r="G56" s="76">
        <f t="shared" si="3"/>
        <v>0.16666666666666666</v>
      </c>
      <c r="H56" s="77">
        <f>G56*Materiais!G36</f>
        <v>37.388333333333335</v>
      </c>
      <c r="I56" s="574" t="str">
        <f t="shared" si="4"/>
        <v>Fornecimento igual ao estimado mensalmente</v>
      </c>
      <c r="J56" s="574"/>
      <c r="K56" s="574"/>
      <c r="L56" s="78">
        <f t="shared" si="5"/>
        <v>0.16666666666666666</v>
      </c>
      <c r="M56" s="79">
        <f>Materiais!E36</f>
        <v>2</v>
      </c>
      <c r="N56" s="80" t="str">
        <f>Materiais!F36</f>
        <v>Anual</v>
      </c>
      <c r="O56" s="81">
        <f t="shared" si="6"/>
        <v>12</v>
      </c>
      <c r="W56" s="1"/>
    </row>
    <row r="57" spans="1:23" ht="13.9" customHeight="1" x14ac:dyDescent="0.25">
      <c r="A57" s="82">
        <v>29</v>
      </c>
      <c r="B57" s="576" t="str">
        <f>Materiais!B37</f>
        <v>Máscara descartável pff2 com válvula. Composição: Feltro</v>
      </c>
      <c r="C57" s="576"/>
      <c r="D57" s="576"/>
      <c r="E57" s="75" t="str">
        <f>Materiais!C37</f>
        <v>Unid.</v>
      </c>
      <c r="F57" s="75"/>
      <c r="G57" s="76">
        <f t="shared" si="3"/>
        <v>20</v>
      </c>
      <c r="H57" s="77">
        <f>G57*Materiais!G37</f>
        <v>31.200000000000003</v>
      </c>
      <c r="I57" s="574" t="str">
        <f t="shared" si="4"/>
        <v>Fornecimento igual ao estimado mensalmente</v>
      </c>
      <c r="J57" s="574"/>
      <c r="K57" s="574"/>
      <c r="L57" s="78">
        <f t="shared" si="5"/>
        <v>20</v>
      </c>
      <c r="M57" s="79">
        <f>Materiais!E37</f>
        <v>20</v>
      </c>
      <c r="N57" s="80" t="str">
        <f>Materiais!F37</f>
        <v>Mensal</v>
      </c>
      <c r="O57" s="81">
        <f t="shared" si="6"/>
        <v>1</v>
      </c>
      <c r="W57" s="1"/>
    </row>
    <row r="58" spans="1:23" ht="13.9" customHeight="1" x14ac:dyDescent="0.25">
      <c r="A58" s="82">
        <v>30</v>
      </c>
      <c r="B58" s="576" t="str">
        <f>Materiais!B38</f>
        <v>Pá p/ lixo em plástico resistente c/ cabo de madeira de 60cm de altura na vertical.</v>
      </c>
      <c r="C58" s="576"/>
      <c r="D58" s="576"/>
      <c r="E58" s="75" t="str">
        <f>Materiais!C38</f>
        <v>Unid.</v>
      </c>
      <c r="F58" s="75"/>
      <c r="G58" s="76">
        <f t="shared" si="3"/>
        <v>0.83333333333333337</v>
      </c>
      <c r="H58" s="77">
        <f>G58*Materiais!G38</f>
        <v>9.7249999999999996</v>
      </c>
      <c r="I58" s="574" t="str">
        <f t="shared" si="4"/>
        <v>Fornecimento igual ao estimado mensalmente</v>
      </c>
      <c r="J58" s="574"/>
      <c r="K58" s="574"/>
      <c r="L58" s="78">
        <f t="shared" si="5"/>
        <v>0.83333333333333337</v>
      </c>
      <c r="M58" s="79">
        <f>Materiais!E38</f>
        <v>10</v>
      </c>
      <c r="N58" s="80" t="str">
        <f>Materiais!F38</f>
        <v>Anual</v>
      </c>
      <c r="O58" s="81">
        <f t="shared" si="6"/>
        <v>12</v>
      </c>
      <c r="W58" s="1"/>
    </row>
    <row r="59" spans="1:23" ht="13.9" customHeight="1" x14ac:dyDescent="0.25">
      <c r="A59" s="82">
        <v>31</v>
      </c>
      <c r="B59" s="576" t="str">
        <f>Materiais!B39</f>
        <v>Papel higiênico branco, folha dupla, de alta qualidade, com dimensões 10cm X 30m, com a marca do fabricante e indicação na embalagem, absorvente e resistente, fardo com 64 rolos de 30 metros. Tipo Neve ou de melhor qualidade.</v>
      </c>
      <c r="C59" s="576"/>
      <c r="D59" s="576"/>
      <c r="E59" s="75" t="str">
        <f>Materiais!C39</f>
        <v>fardo com 64 rolos</v>
      </c>
      <c r="F59" s="75" t="str">
        <f>Materiais!D39</f>
        <v>Neve</v>
      </c>
      <c r="G59" s="76">
        <f t="shared" si="3"/>
        <v>1</v>
      </c>
      <c r="H59" s="77">
        <f>G59*Materiais!G39</f>
        <v>76.72</v>
      </c>
      <c r="I59" s="574" t="str">
        <f t="shared" si="4"/>
        <v>Fornecimento igual ao estimado mensalmente</v>
      </c>
      <c r="J59" s="574"/>
      <c r="K59" s="574"/>
      <c r="L59" s="78">
        <f t="shared" si="5"/>
        <v>1</v>
      </c>
      <c r="M59" s="79">
        <f>Materiais!E39</f>
        <v>1</v>
      </c>
      <c r="N59" s="80" t="str">
        <f>Materiais!F39</f>
        <v>Mensal</v>
      </c>
      <c r="O59" s="81">
        <f t="shared" si="6"/>
        <v>1</v>
      </c>
      <c r="W59" s="1"/>
    </row>
    <row r="60" spans="1:23" ht="13.9" customHeight="1" x14ac:dyDescent="0.25">
      <c r="A60" s="82">
        <v>32</v>
      </c>
      <c r="B60" s="576" t="str">
        <f>Materiais!B40</f>
        <v>Papel higiênico de alta qualidade . Material: fibras celulósicas, com dimensões 21,5cm x 11cm. Interfolhado. Folha dupla. Cor branca. Caixa com 8.000 folhas</v>
      </c>
      <c r="C60" s="576"/>
      <c r="D60" s="576"/>
      <c r="E60" s="75" t="str">
        <f>Materiais!C40</f>
        <v>cx.</v>
      </c>
      <c r="F60" s="75" t="str">
        <f>Materiais!D40</f>
        <v xml:space="preserve">Melhoramentos </v>
      </c>
      <c r="G60" s="76">
        <f t="shared" si="3"/>
        <v>2</v>
      </c>
      <c r="H60" s="77">
        <f>G60*Materiais!G40</f>
        <v>179.6</v>
      </c>
      <c r="I60" s="574" t="str">
        <f t="shared" si="4"/>
        <v>Fornecimento igual ao estimado mensalmente</v>
      </c>
      <c r="J60" s="574"/>
      <c r="K60" s="574"/>
      <c r="L60" s="78">
        <f t="shared" si="5"/>
        <v>2</v>
      </c>
      <c r="M60" s="79">
        <f>Materiais!E40</f>
        <v>2</v>
      </c>
      <c r="N60" s="80" t="str">
        <f>Materiais!F40</f>
        <v>Mensal</v>
      </c>
      <c r="O60" s="81">
        <f t="shared" si="6"/>
        <v>1</v>
      </c>
      <c r="W60" s="1"/>
    </row>
    <row r="61" spans="1:23" ht="13.9" customHeight="1" x14ac:dyDescent="0.25">
      <c r="A61" s="82">
        <v>33</v>
      </c>
      <c r="B61" s="576" t="str">
        <f>Materiais!B41</f>
        <v>Papel Toalha Interfolhado, 2 dobras, 100% fibras celulósicas, branco extra luxo, sem pintas ou outros tipos de sujidades, boa qualidade , medindo aproximadamente 23cm x 23 cm , acondicionado em caixa c/1000 folhas.</v>
      </c>
      <c r="C61" s="576"/>
      <c r="D61" s="576"/>
      <c r="E61" s="75" t="str">
        <f>Materiais!C41</f>
        <v>pacote</v>
      </c>
      <c r="F61" s="75" t="str">
        <f>Materiais!D41</f>
        <v>Economy (Jofel) ou similar</v>
      </c>
      <c r="G61" s="76">
        <f t="shared" si="3"/>
        <v>40</v>
      </c>
      <c r="H61" s="77">
        <f>G61*Materiais!G41</f>
        <v>1010.4000000000001</v>
      </c>
      <c r="I61" s="574" t="str">
        <f t="shared" si="4"/>
        <v>Fornecimento igual ao estimado mensalmente</v>
      </c>
      <c r="J61" s="574"/>
      <c r="K61" s="574"/>
      <c r="L61" s="78">
        <f t="shared" si="5"/>
        <v>40</v>
      </c>
      <c r="M61" s="79">
        <f>Materiais!E41</f>
        <v>40</v>
      </c>
      <c r="N61" s="80" t="str">
        <f>Materiais!F41</f>
        <v>Mensal</v>
      </c>
      <c r="O61" s="81">
        <f t="shared" si="6"/>
        <v>1</v>
      </c>
      <c r="W61" s="1"/>
    </row>
    <row r="62" spans="1:23" ht="13.9" customHeight="1" x14ac:dyDescent="0.25">
      <c r="A62" s="82">
        <v>34</v>
      </c>
      <c r="B62" s="576" t="str">
        <f>Materiais!B42</f>
        <v>Pedra sanitária c/ 25g - com suporte para fixar no vaso sanitário. Desinfetante sanitário em pedra 25 g</v>
      </c>
      <c r="C62" s="576"/>
      <c r="D62" s="576"/>
      <c r="E62" s="75" t="str">
        <f>Materiais!C42</f>
        <v>Unid.</v>
      </c>
      <c r="F62" s="75" t="str">
        <f>Materiais!D42</f>
        <v>Harpic, Pato</v>
      </c>
      <c r="G62" s="76">
        <f t="shared" si="3"/>
        <v>60</v>
      </c>
      <c r="H62" s="77">
        <f>G62*Materiais!G42</f>
        <v>211.2</v>
      </c>
      <c r="I62" s="574" t="str">
        <f t="shared" si="4"/>
        <v>Fornecimento igual ao estimado mensalmente</v>
      </c>
      <c r="J62" s="574"/>
      <c r="K62" s="574"/>
      <c r="L62" s="78">
        <f t="shared" si="5"/>
        <v>60</v>
      </c>
      <c r="M62" s="79">
        <f>Materiais!E42</f>
        <v>60</v>
      </c>
      <c r="N62" s="80" t="str">
        <f>Materiais!F42</f>
        <v>Mensal</v>
      </c>
      <c r="O62" s="81">
        <f t="shared" si="6"/>
        <v>1</v>
      </c>
      <c r="W62" s="1"/>
    </row>
    <row r="63" spans="1:23" ht="13.9" customHeight="1" x14ac:dyDescent="0.25">
      <c r="A63" s="82">
        <v>35</v>
      </c>
      <c r="B63" s="576" t="str">
        <f>Materiais!B43</f>
        <v>Pulverizador, multiuso, em plastico resistente, com bico de regulagem de spray, capacidade 500 ml.</v>
      </c>
      <c r="C63" s="576"/>
      <c r="D63" s="576"/>
      <c r="E63" s="75" t="str">
        <f>Materiais!C43</f>
        <v>Unid.</v>
      </c>
      <c r="F63" s="75">
        <f>Materiais!D43</f>
        <v>0</v>
      </c>
      <c r="G63" s="76">
        <f t="shared" si="3"/>
        <v>1</v>
      </c>
      <c r="H63" s="77">
        <f>G63*Materiais!G43</f>
        <v>6.19</v>
      </c>
      <c r="I63" s="574" t="str">
        <f t="shared" si="4"/>
        <v>Fornecimento igual ao estimado mensalmente</v>
      </c>
      <c r="J63" s="574"/>
      <c r="K63" s="574"/>
      <c r="L63" s="78">
        <f t="shared" si="5"/>
        <v>1</v>
      </c>
      <c r="M63" s="79">
        <f>Materiais!E43</f>
        <v>12</v>
      </c>
      <c r="N63" s="80" t="str">
        <f>Materiais!F43</f>
        <v>Anual</v>
      </c>
      <c r="O63" s="81">
        <f t="shared" si="6"/>
        <v>12</v>
      </c>
      <c r="W63" s="1"/>
    </row>
    <row r="64" spans="1:23" ht="13.9" customHeight="1" x14ac:dyDescent="0.25">
      <c r="A64" s="82">
        <v>36</v>
      </c>
      <c r="B64" s="576" t="str">
        <f>Materiais!B44</f>
        <v>Rodo Plástico e borracha dupla expandida de 40cm de largura, acompanha cabo de madeira plastificado de aproximadamente 1,26m, com garras pontiagudas nas laterais para melhor fixar panos de chão</v>
      </c>
      <c r="C64" s="576"/>
      <c r="D64" s="576"/>
      <c r="E64" s="75" t="str">
        <f>Materiais!C44</f>
        <v>Unid.</v>
      </c>
      <c r="F64" s="75"/>
      <c r="G64" s="76">
        <f t="shared" si="3"/>
        <v>0.66666666666666663</v>
      </c>
      <c r="H64" s="77">
        <f>G64*Materiais!G44</f>
        <v>8.2199999999999989</v>
      </c>
      <c r="I64" s="574" t="str">
        <f t="shared" si="4"/>
        <v>Fornecimento igual ao estimado mensalmente</v>
      </c>
      <c r="J64" s="574"/>
      <c r="K64" s="574"/>
      <c r="L64" s="78">
        <f t="shared" si="5"/>
        <v>0.66666666666666663</v>
      </c>
      <c r="M64" s="79">
        <f>Materiais!E44</f>
        <v>8</v>
      </c>
      <c r="N64" s="80" t="str">
        <f>Materiais!F44</f>
        <v>Anual</v>
      </c>
      <c r="O64" s="81">
        <f t="shared" si="6"/>
        <v>12</v>
      </c>
      <c r="W64" s="1"/>
    </row>
    <row r="65" spans="1:23" ht="13.9" customHeight="1" x14ac:dyDescent="0.25">
      <c r="A65" s="82">
        <v>37</v>
      </c>
      <c r="B65" s="576" t="str">
        <f>Materiais!B45</f>
        <v>Rodo Plástico e borracha dupla expandida de 60cm, resistente e durável, que puxa e seca a água, feita em EVA e cepo em polipropileno com garras pontiagudas nas laterais para melhor fixar panos de chão.</v>
      </c>
      <c r="C65" s="576"/>
      <c r="D65" s="576"/>
      <c r="E65" s="75" t="str">
        <f>Materiais!C45</f>
        <v>Unid.</v>
      </c>
      <c r="F65" s="75" t="str">
        <f>Materiais!D45</f>
        <v>Brubalar</v>
      </c>
      <c r="G65" s="76">
        <f t="shared" si="3"/>
        <v>0.66666666666666663</v>
      </c>
      <c r="H65" s="77">
        <f>G65*Materiais!G45</f>
        <v>9.966666666666665</v>
      </c>
      <c r="I65" s="574" t="str">
        <f t="shared" si="4"/>
        <v>Fornecimento igual ao estimado mensalmente</v>
      </c>
      <c r="J65" s="574"/>
      <c r="K65" s="574"/>
      <c r="L65" s="78">
        <f t="shared" si="5"/>
        <v>0.66666666666666663</v>
      </c>
      <c r="M65" s="79">
        <f>Materiais!E45</f>
        <v>8</v>
      </c>
      <c r="N65" s="80" t="str">
        <f>Materiais!F45</f>
        <v>Anual</v>
      </c>
      <c r="O65" s="81">
        <f t="shared" si="6"/>
        <v>12</v>
      </c>
      <c r="W65" s="1"/>
    </row>
    <row r="66" spans="1:23" ht="13.9" customHeight="1" x14ac:dyDescent="0.25">
      <c r="A66" s="82">
        <v>38</v>
      </c>
      <c r="B66" s="576" t="str">
        <f>Materiais!B46</f>
        <v>Sabão em barra glicerinado - cor neutra. Pacote com 5 de 200g cada unidade.</v>
      </c>
      <c r="C66" s="576"/>
      <c r="D66" s="576"/>
      <c r="E66" s="75" t="str">
        <f>Materiais!C46</f>
        <v>pacote</v>
      </c>
      <c r="F66" s="75" t="str">
        <f>Materiais!D46</f>
        <v>Minuano</v>
      </c>
      <c r="G66" s="76">
        <f t="shared" si="3"/>
        <v>4</v>
      </c>
      <c r="H66" s="77">
        <f>G66*Materiais!G46</f>
        <v>41</v>
      </c>
      <c r="I66" s="574" t="str">
        <f t="shared" si="4"/>
        <v>Fornecimento igual ao estimado mensalmente</v>
      </c>
      <c r="J66" s="574"/>
      <c r="K66" s="574"/>
      <c r="L66" s="78">
        <f t="shared" si="5"/>
        <v>4</v>
      </c>
      <c r="M66" s="79">
        <f>Materiais!E46</f>
        <v>4</v>
      </c>
      <c r="N66" s="80" t="str">
        <f>Materiais!F46</f>
        <v>Mensal</v>
      </c>
      <c r="O66" s="81">
        <f t="shared" si="6"/>
        <v>1</v>
      </c>
      <c r="W66" s="1"/>
    </row>
    <row r="67" spans="1:23" ht="13.9" customHeight="1" thickBot="1" x14ac:dyDescent="0.3">
      <c r="A67" s="552">
        <v>39</v>
      </c>
      <c r="B67" s="576" t="str">
        <f>Materiais!B47</f>
        <v>Sabão em Pó – Caixa de 0,8 a 1Kg. Sabão em pó, convencional, de primeira linha. Para lavar roupas e limpeza em geral.</v>
      </c>
      <c r="C67" s="576"/>
      <c r="D67" s="576"/>
      <c r="E67" s="75" t="str">
        <f>Materiais!C47</f>
        <v>cx.</v>
      </c>
      <c r="F67" s="75" t="str">
        <f>Materiais!D47</f>
        <v>Omo ou similar</v>
      </c>
      <c r="G67" s="76">
        <f t="shared" si="3"/>
        <v>6</v>
      </c>
      <c r="H67" s="38">
        <f>G67*Materiais!G47</f>
        <v>97.62</v>
      </c>
      <c r="I67" s="604" t="str">
        <f t="shared" si="4"/>
        <v>Fornecimento igual ao estimado mensalmente</v>
      </c>
      <c r="J67" s="604"/>
      <c r="K67" s="604"/>
      <c r="L67" s="562">
        <f t="shared" si="5"/>
        <v>6</v>
      </c>
      <c r="M67" s="79">
        <f>Materiais!E47</f>
        <v>6</v>
      </c>
      <c r="N67" s="80" t="str">
        <f>Materiais!F47</f>
        <v>Mensal</v>
      </c>
      <c r="O67" s="85">
        <f t="shared" si="6"/>
        <v>1</v>
      </c>
      <c r="W67" s="1"/>
    </row>
    <row r="68" spans="1:23" ht="13.9" customHeight="1" thickBot="1" x14ac:dyDescent="0.3">
      <c r="A68" s="561">
        <v>40</v>
      </c>
      <c r="B68" s="576" t="str">
        <f>Materiais!B48</f>
        <v>Sabão pastoso com 5 litros</v>
      </c>
      <c r="C68" s="576"/>
      <c r="D68" s="576"/>
      <c r="E68" s="75" t="str">
        <f>Materiais!C48</f>
        <v>Galão</v>
      </c>
      <c r="F68" s="75">
        <f>Materiais!D48</f>
        <v>0</v>
      </c>
      <c r="G68" s="76">
        <f t="shared" si="3"/>
        <v>5</v>
      </c>
      <c r="H68" s="77">
        <f>G68*Materiais!G48</f>
        <v>117.69999999999999</v>
      </c>
      <c r="I68" s="604" t="str">
        <f t="shared" ref="I68" si="7">IF(G68&lt;L68,"Fornecimento inferior ao estimado mensalmente",IF(G68=L68,"Fornecimento igual ao estimado mensalmente",IF(G68&gt;L68,"Fornecimento superior ao estimado mensalmente",)))</f>
        <v>Fornecimento igual ao estimado mensalmente</v>
      </c>
      <c r="J68" s="604"/>
      <c r="K68" s="604"/>
      <c r="L68" s="562">
        <f t="shared" si="5"/>
        <v>5</v>
      </c>
      <c r="M68" s="79">
        <f>Materiais!E48</f>
        <v>5</v>
      </c>
      <c r="N68" s="80" t="str">
        <f>Materiais!F48</f>
        <v>Mensal</v>
      </c>
      <c r="O68" s="85">
        <f t="shared" si="6"/>
        <v>1</v>
      </c>
      <c r="W68" s="1"/>
    </row>
    <row r="69" spans="1:23" ht="13.9" customHeight="1" thickBot="1" x14ac:dyDescent="0.3">
      <c r="A69" s="561">
        <v>41</v>
      </c>
      <c r="B69" s="576" t="str">
        <f>Materiais!B49</f>
        <v>Sapólio em pó 300g</v>
      </c>
      <c r="C69" s="576"/>
      <c r="D69" s="576"/>
      <c r="E69" s="75" t="str">
        <f>Materiais!C49</f>
        <v>Unid.</v>
      </c>
      <c r="F69" s="75" t="str">
        <f>Materiais!D49</f>
        <v>Bombril</v>
      </c>
      <c r="G69" s="76">
        <f t="shared" si="3"/>
        <v>48</v>
      </c>
      <c r="H69" s="77">
        <f>G69*Materiais!G49</f>
        <v>288.95999999999998</v>
      </c>
      <c r="I69" s="574" t="str">
        <f t="shared" ref="I69:I80" si="8">IF(G69&lt;L69,"Fornecimento inferior ao estimado mensalmente",IF(G69=L69,"Fornecimento igual ao estimado mensalmente",IF(G69&gt;L69,"Fornecimento superior ao estimado mensalmente",)))</f>
        <v>Fornecimento igual ao estimado mensalmente</v>
      </c>
      <c r="J69" s="574"/>
      <c r="K69" s="574"/>
      <c r="L69" s="562">
        <f t="shared" si="5"/>
        <v>48</v>
      </c>
      <c r="M69" s="79">
        <f>Materiais!E49</f>
        <v>48</v>
      </c>
      <c r="N69" s="80" t="str">
        <f>Materiais!F49</f>
        <v>Mensal</v>
      </c>
      <c r="O69" s="85">
        <f t="shared" si="6"/>
        <v>1</v>
      </c>
      <c r="W69" s="1"/>
    </row>
    <row r="70" spans="1:23" ht="13.9" customHeight="1" thickBot="1" x14ac:dyDescent="0.3">
      <c r="A70" s="561">
        <v>42</v>
      </c>
      <c r="B70" s="576" t="str">
        <f>Materiais!B50</f>
        <v>Sabonete líquido Concentrado, cremoso perolizado, pronto pra uso, aroma erva-doce, lavanda ou similar, galão de 05 litros</v>
      </c>
      <c r="C70" s="576"/>
      <c r="D70" s="576"/>
      <c r="E70" s="75" t="str">
        <f>Materiais!C50</f>
        <v>Galão</v>
      </c>
      <c r="F70" s="75" t="str">
        <f>Materiais!D50</f>
        <v>Nobre, Start, Ikebana</v>
      </c>
      <c r="G70" s="76">
        <f t="shared" si="3"/>
        <v>5</v>
      </c>
      <c r="H70" s="77">
        <f>G70*Materiais!G50</f>
        <v>102.6</v>
      </c>
      <c r="I70" s="574" t="str">
        <f t="shared" si="8"/>
        <v>Fornecimento igual ao estimado mensalmente</v>
      </c>
      <c r="J70" s="574"/>
      <c r="K70" s="574"/>
      <c r="L70" s="562">
        <f t="shared" si="5"/>
        <v>5</v>
      </c>
      <c r="M70" s="79">
        <f>Materiais!E50</f>
        <v>5</v>
      </c>
      <c r="N70" s="80" t="str">
        <f>Materiais!F50</f>
        <v>Mensal</v>
      </c>
      <c r="O70" s="85">
        <f t="shared" si="6"/>
        <v>1</v>
      </c>
      <c r="W70" s="1"/>
    </row>
    <row r="71" spans="1:23" ht="13.9" customHeight="1" thickBot="1" x14ac:dyDescent="0.3">
      <c r="A71" s="561">
        <v>43</v>
      </c>
      <c r="B71" s="576" t="str">
        <f>Materiais!B51</f>
        <v>Saco de Algodão Tipo: Alvejado, Tamanho: 60 X 80 CM, Cor: Branco, Características Adicionais: Dupla Face</v>
      </c>
      <c r="C71" s="576"/>
      <c r="D71" s="576"/>
      <c r="E71" s="75" t="str">
        <f>Materiais!C51</f>
        <v>Unid.</v>
      </c>
      <c r="F71" s="75" t="str">
        <f>Materiais!D51</f>
        <v>Santa Margarida</v>
      </c>
      <c r="G71" s="76">
        <f t="shared" si="3"/>
        <v>20</v>
      </c>
      <c r="H71" s="77">
        <f>G71*Materiais!G51</f>
        <v>217</v>
      </c>
      <c r="I71" s="577" t="str">
        <f t="shared" si="8"/>
        <v>Fornecimento igual ao estimado mensalmente</v>
      </c>
      <c r="J71" s="577"/>
      <c r="K71" s="577"/>
      <c r="L71" s="562">
        <f t="shared" si="5"/>
        <v>20</v>
      </c>
      <c r="M71" s="79">
        <f>Materiais!E51</f>
        <v>20</v>
      </c>
      <c r="N71" s="80" t="str">
        <f>Materiais!F51</f>
        <v>Mensal</v>
      </c>
      <c r="O71" s="85">
        <f t="shared" si="6"/>
        <v>1</v>
      </c>
      <c r="W71" s="1"/>
    </row>
    <row r="72" spans="1:23" ht="13.9" customHeight="1" thickBot="1" x14ac:dyDescent="0.3">
      <c r="A72" s="561">
        <v>44</v>
      </c>
      <c r="B72" s="576" t="str">
        <f>Materiais!B52</f>
        <v>Saco plástico reforçado para lixo em polietileno, com capacidade de 100 litros, com estanqueidade suficiente para que não haja vazamento de lixo líquido. com espessura mínima de 10 micra, na cor preta. Pacote com 100 unidades.</v>
      </c>
      <c r="C72" s="576"/>
      <c r="D72" s="576"/>
      <c r="E72" s="75" t="str">
        <f>Materiais!C52</f>
        <v>pacote</v>
      </c>
      <c r="F72" s="75" t="str">
        <f>Materiais!D52</f>
        <v>Polisac</v>
      </c>
      <c r="G72" s="76">
        <f t="shared" si="3"/>
        <v>6</v>
      </c>
      <c r="H72" s="77">
        <f>G72*Materiais!G52</f>
        <v>355.02</v>
      </c>
      <c r="I72" s="578" t="str">
        <f t="shared" si="8"/>
        <v>Fornecimento igual ao estimado mensalmente</v>
      </c>
      <c r="J72" s="578"/>
      <c r="K72" s="578"/>
      <c r="L72" s="562">
        <f t="shared" si="5"/>
        <v>6</v>
      </c>
      <c r="M72" s="79">
        <f>Materiais!E52</f>
        <v>6</v>
      </c>
      <c r="N72" s="80" t="str">
        <f>Materiais!F52</f>
        <v>Mensal</v>
      </c>
      <c r="O72" s="85">
        <f t="shared" si="6"/>
        <v>1</v>
      </c>
      <c r="W72" s="1"/>
    </row>
    <row r="73" spans="1:23" ht="13.9" customHeight="1" thickBot="1" x14ac:dyDescent="0.3">
      <c r="A73" s="561">
        <v>45</v>
      </c>
      <c r="B73" s="576" t="str">
        <f>Materiais!B53</f>
        <v>Saco plástico reforçado para lixo em polietileno, com capacidade de 20 litros, com estanqueidade suficiente para que não haja vazamento de lixo líquido. com espessura mínima de 09 micra, na cor preta. Pacote com 100 unidades.</v>
      </c>
      <c r="C73" s="576"/>
      <c r="D73" s="576"/>
      <c r="E73" s="75" t="str">
        <f>Materiais!C53</f>
        <v>pacote</v>
      </c>
      <c r="F73" s="75" t="str">
        <f>Materiais!D53</f>
        <v>Altaplast</v>
      </c>
      <c r="G73" s="76">
        <f t="shared" si="3"/>
        <v>6</v>
      </c>
      <c r="H73" s="77">
        <f>G73*Materiais!G53</f>
        <v>96.600000000000009</v>
      </c>
      <c r="I73" s="574" t="str">
        <f t="shared" si="8"/>
        <v>Fornecimento igual ao estimado mensalmente</v>
      </c>
      <c r="J73" s="574"/>
      <c r="K73" s="574"/>
      <c r="L73" s="562">
        <f t="shared" si="5"/>
        <v>6</v>
      </c>
      <c r="M73" s="79">
        <f>Materiais!E53</f>
        <v>6</v>
      </c>
      <c r="N73" s="80" t="str">
        <f>Materiais!F53</f>
        <v>Mensal</v>
      </c>
      <c r="O73" s="85">
        <f t="shared" si="6"/>
        <v>1</v>
      </c>
      <c r="W73" s="1"/>
    </row>
    <row r="74" spans="1:23" ht="13.9" customHeight="1" thickBot="1" x14ac:dyDescent="0.3">
      <c r="A74" s="561">
        <v>46</v>
      </c>
      <c r="B74" s="576" t="str">
        <f>Materiais!B54</f>
        <v>Vassoura limpa teto, com cerdas macias de sisal e cabo de madeira de 2,70 metros. Ideal para uso na limpeza de locais de difícil acesso.</v>
      </c>
      <c r="C74" s="576"/>
      <c r="D74" s="576"/>
      <c r="E74" s="75" t="str">
        <f>Materiais!C54</f>
        <v>Unid.</v>
      </c>
      <c r="F74" s="75" t="str">
        <f>Materiais!D54</f>
        <v>Oliveira e Azevedo</v>
      </c>
      <c r="G74" s="76">
        <f t="shared" si="3"/>
        <v>0.16666666666666666</v>
      </c>
      <c r="H74" s="77">
        <f>G74*Materiais!G54</f>
        <v>3.5966666666666662</v>
      </c>
      <c r="I74" s="574" t="str">
        <f t="shared" si="8"/>
        <v>Fornecimento igual ao estimado mensalmente</v>
      </c>
      <c r="J74" s="574"/>
      <c r="K74" s="574"/>
      <c r="L74" s="562">
        <f t="shared" si="5"/>
        <v>0.16666666666666666</v>
      </c>
      <c r="M74" s="79">
        <f>Materiais!E54</f>
        <v>2</v>
      </c>
      <c r="N74" s="80" t="str">
        <f>Materiais!F54</f>
        <v>Anual</v>
      </c>
      <c r="O74" s="85">
        <f t="shared" si="6"/>
        <v>12</v>
      </c>
      <c r="W74" s="1"/>
    </row>
    <row r="75" spans="1:23" ht="13.9" customHeight="1" thickBot="1" x14ac:dyDescent="0.3">
      <c r="A75" s="561">
        <v>47</v>
      </c>
      <c r="B75" s="576" t="str">
        <f>Materiais!B55</f>
        <v>Vassoura Material Cerdas: Pêlo Sintético, Comprimento Cepa: 60 CM, Tipo Cabo: Reforçado, Material Cabo: Madeira</v>
      </c>
      <c r="C75" s="576"/>
      <c r="D75" s="576"/>
      <c r="E75" s="75" t="str">
        <f>Materiais!C55</f>
        <v>Unid.</v>
      </c>
      <c r="F75" s="75" t="str">
        <f>Materiais!D55</f>
        <v>Brubalar</v>
      </c>
      <c r="G75" s="76">
        <f t="shared" si="3"/>
        <v>0.66666666666666663</v>
      </c>
      <c r="H75" s="77">
        <f>G75*Materiais!G55</f>
        <v>10.653333333333332</v>
      </c>
      <c r="I75" s="574" t="str">
        <f t="shared" si="8"/>
        <v>Fornecimento igual ao estimado mensalmente</v>
      </c>
      <c r="J75" s="574"/>
      <c r="K75" s="574"/>
      <c r="L75" s="562">
        <f t="shared" si="5"/>
        <v>0.66666666666666663</v>
      </c>
      <c r="M75" s="79">
        <f>Materiais!E55</f>
        <v>8</v>
      </c>
      <c r="N75" s="80" t="str">
        <f>Materiais!F55</f>
        <v>Anual</v>
      </c>
      <c r="O75" s="85">
        <f t="shared" si="6"/>
        <v>12</v>
      </c>
      <c r="W75" s="1"/>
    </row>
    <row r="76" spans="1:23" ht="13.9" customHeight="1" thickBot="1" x14ac:dyDescent="0.3">
      <c r="A76" s="561">
        <v>48</v>
      </c>
      <c r="B76" s="576" t="str">
        <f>Materiais!B56</f>
        <v>Vassoura Material Cerdas: Piaçava, Aplicação: Limpeza, Material Cepa: Madeira, Comprimento Cepa: 40 CM, Comprimento Cerdas: 13 CM, Largura Cepa: 5 CM, Altura Cepa: 4 CM, Material Cabo: Madeira</v>
      </c>
      <c r="C76" s="576"/>
      <c r="D76" s="576"/>
      <c r="E76" s="75" t="str">
        <f>Materiais!C56</f>
        <v>Unid.</v>
      </c>
      <c r="F76" s="75" t="str">
        <f>Materiais!D56</f>
        <v>Noviça</v>
      </c>
      <c r="G76" s="76">
        <f t="shared" si="3"/>
        <v>0.83333333333333337</v>
      </c>
      <c r="H76" s="77">
        <f>G76*Materiais!G56</f>
        <v>14.675000000000001</v>
      </c>
      <c r="I76" s="574" t="str">
        <f t="shared" si="8"/>
        <v>Fornecimento igual ao estimado mensalmente</v>
      </c>
      <c r="J76" s="574"/>
      <c r="K76" s="574"/>
      <c r="L76" s="562">
        <f t="shared" si="5"/>
        <v>0.83333333333333337</v>
      </c>
      <c r="M76" s="79">
        <f>Materiais!E56</f>
        <v>10</v>
      </c>
      <c r="N76" s="80" t="str">
        <f>Materiais!F56</f>
        <v>Anual</v>
      </c>
      <c r="O76" s="85">
        <f t="shared" si="6"/>
        <v>12</v>
      </c>
      <c r="W76" s="1"/>
    </row>
    <row r="77" spans="1:23" ht="15.75" customHeight="1" thickBot="1" x14ac:dyDescent="0.3">
      <c r="A77" s="561">
        <v>49</v>
      </c>
      <c r="B77" s="576">
        <f>Materiais!B57</f>
        <v>0</v>
      </c>
      <c r="C77" s="576"/>
      <c r="D77" s="576"/>
      <c r="E77" s="75">
        <f>Materiais!C57</f>
        <v>0</v>
      </c>
      <c r="F77" s="75">
        <f>Materiais!D57</f>
        <v>0</v>
      </c>
      <c r="G77" s="76">
        <f t="shared" si="3"/>
        <v>0</v>
      </c>
      <c r="H77" s="77">
        <f>G77*Materiais!G57</f>
        <v>0</v>
      </c>
      <c r="I77" s="574" t="str">
        <f t="shared" si="8"/>
        <v>Fornecimento igual ao estimado mensalmente</v>
      </c>
      <c r="J77" s="574"/>
      <c r="K77" s="574"/>
      <c r="L77" s="562">
        <f t="shared" si="5"/>
        <v>0</v>
      </c>
      <c r="M77" s="79">
        <f>Materiais!E57</f>
        <v>0</v>
      </c>
      <c r="N77" s="80" t="str">
        <f>Materiais!F57</f>
        <v>Mensal</v>
      </c>
      <c r="O77" s="85">
        <f t="shared" si="6"/>
        <v>1</v>
      </c>
      <c r="W77" s="1"/>
    </row>
    <row r="78" spans="1:23" ht="15.75" customHeight="1" thickBot="1" x14ac:dyDescent="0.3">
      <c r="A78" s="561">
        <v>50</v>
      </c>
      <c r="B78" s="576">
        <f>Materiais!B58</f>
        <v>0</v>
      </c>
      <c r="C78" s="576"/>
      <c r="D78" s="576"/>
      <c r="E78" s="75">
        <f>Materiais!C58</f>
        <v>0</v>
      </c>
      <c r="F78" s="75">
        <f>Materiais!D58</f>
        <v>0</v>
      </c>
      <c r="G78" s="76">
        <f t="shared" si="3"/>
        <v>0</v>
      </c>
      <c r="H78" s="77">
        <f>G78*Materiais!G58</f>
        <v>0</v>
      </c>
      <c r="I78" s="578" t="str">
        <f t="shared" si="8"/>
        <v>Fornecimento igual ao estimado mensalmente</v>
      </c>
      <c r="J78" s="578"/>
      <c r="K78" s="578"/>
      <c r="L78" s="562">
        <f t="shared" si="5"/>
        <v>0</v>
      </c>
      <c r="M78" s="79">
        <f>Materiais!E58</f>
        <v>0</v>
      </c>
      <c r="N78" s="80" t="str">
        <f>Materiais!F58</f>
        <v>Mensal</v>
      </c>
      <c r="O78" s="85">
        <f t="shared" si="6"/>
        <v>1</v>
      </c>
      <c r="W78" s="1"/>
    </row>
    <row r="79" spans="1:23" ht="15.75" customHeight="1" thickBot="1" x14ac:dyDescent="0.3">
      <c r="A79" s="561">
        <v>51</v>
      </c>
      <c r="B79" s="576">
        <f>Materiais!B59</f>
        <v>0</v>
      </c>
      <c r="C79" s="576"/>
      <c r="D79" s="576"/>
      <c r="E79" s="75">
        <f>Materiais!C59</f>
        <v>0</v>
      </c>
      <c r="F79" s="75">
        <f>Materiais!D59</f>
        <v>0</v>
      </c>
      <c r="G79" s="76">
        <f t="shared" si="3"/>
        <v>0</v>
      </c>
      <c r="H79" s="77">
        <f>G79*Materiais!G59</f>
        <v>0</v>
      </c>
      <c r="I79" s="574" t="str">
        <f t="shared" si="8"/>
        <v>Fornecimento igual ao estimado mensalmente</v>
      </c>
      <c r="J79" s="574"/>
      <c r="K79" s="574"/>
      <c r="L79" s="562">
        <f t="shared" si="5"/>
        <v>0</v>
      </c>
      <c r="M79" s="79">
        <f>Materiais!E59</f>
        <v>0</v>
      </c>
      <c r="N79" s="80" t="str">
        <f>Materiais!F59</f>
        <v>Mensal</v>
      </c>
      <c r="O79" s="85">
        <f t="shared" si="6"/>
        <v>1</v>
      </c>
      <c r="W79" s="1"/>
    </row>
    <row r="80" spans="1:23" ht="15.75" customHeight="1" thickBot="1" x14ac:dyDescent="0.3">
      <c r="A80" s="561">
        <v>52</v>
      </c>
      <c r="B80" s="576">
        <f>Materiais!B60</f>
        <v>0</v>
      </c>
      <c r="C80" s="576"/>
      <c r="D80" s="576"/>
      <c r="E80" s="75">
        <f>Materiais!C60</f>
        <v>0</v>
      </c>
      <c r="F80" s="75">
        <f>Materiais!D60</f>
        <v>0</v>
      </c>
      <c r="G80" s="76">
        <f t="shared" si="3"/>
        <v>0</v>
      </c>
      <c r="H80" s="77">
        <f>G80*Materiais!G60</f>
        <v>0</v>
      </c>
      <c r="I80" s="575" t="str">
        <f t="shared" si="8"/>
        <v>Fornecimento igual ao estimado mensalmente</v>
      </c>
      <c r="J80" s="575"/>
      <c r="K80" s="575"/>
      <c r="L80" s="563">
        <f t="shared" si="5"/>
        <v>0</v>
      </c>
      <c r="M80" s="564">
        <f>Materiais!E60</f>
        <v>0</v>
      </c>
      <c r="N80" s="565" t="str">
        <f>Materiais!F60</f>
        <v>Mensal</v>
      </c>
      <c r="O80" s="85">
        <f t="shared" si="6"/>
        <v>1</v>
      </c>
      <c r="W80" s="1"/>
    </row>
    <row r="81" spans="1:23" ht="15" customHeight="1" x14ac:dyDescent="0.25">
      <c r="A81" s="605" t="s">
        <v>73</v>
      </c>
      <c r="B81" s="605"/>
      <c r="C81" s="605"/>
      <c r="D81" s="605"/>
      <c r="E81" s="605"/>
      <c r="F81" s="605"/>
      <c r="G81" s="605"/>
      <c r="H81" s="86">
        <f>ROUND(SUM(H29:H80),2)</f>
        <v>5657.14</v>
      </c>
      <c r="I81" s="58"/>
      <c r="J81" s="58"/>
      <c r="K81" s="1"/>
      <c r="L81" s="1"/>
      <c r="M81" s="1"/>
      <c r="N81" s="69"/>
      <c r="O81" s="69"/>
    </row>
    <row r="82" spans="1:23" ht="15" customHeight="1" x14ac:dyDescent="0.25">
      <c r="A82" s="579" t="s">
        <v>74</v>
      </c>
      <c r="B82" s="579"/>
      <c r="C82" s="579"/>
      <c r="D82" s="579"/>
      <c r="E82" s="579"/>
      <c r="F82" s="579"/>
      <c r="G82" s="87">
        <f>Dados!G46</f>
        <v>0.03</v>
      </c>
      <c r="H82" s="88">
        <f>ROUND((H81*G82),2)</f>
        <v>169.71</v>
      </c>
      <c r="I82" s="58"/>
      <c r="J82" s="58"/>
      <c r="K82" s="1"/>
      <c r="L82" s="1"/>
      <c r="M82" s="1"/>
      <c r="N82" s="69"/>
      <c r="O82" s="69"/>
    </row>
    <row r="83" spans="1:23" ht="15" customHeight="1" x14ac:dyDescent="0.25">
      <c r="A83" s="579" t="s">
        <v>75</v>
      </c>
      <c r="B83" s="579"/>
      <c r="C83" s="579"/>
      <c r="D83" s="579"/>
      <c r="E83" s="579"/>
      <c r="F83" s="579"/>
      <c r="G83" s="87">
        <f>Dados!G47</f>
        <v>6.7900000000000002E-2</v>
      </c>
      <c r="H83" s="88">
        <f>ROUND((SUM(H81:H82)*G83),2)</f>
        <v>395.64</v>
      </c>
      <c r="I83" s="58"/>
      <c r="J83" s="58"/>
      <c r="K83" s="1"/>
      <c r="L83" s="1"/>
      <c r="M83" s="1"/>
      <c r="N83" s="69"/>
      <c r="O83" s="69"/>
    </row>
    <row r="84" spans="1:23" ht="15" customHeight="1" x14ac:dyDescent="0.25">
      <c r="A84" s="579" t="s">
        <v>76</v>
      </c>
      <c r="B84" s="579"/>
      <c r="C84" s="579"/>
      <c r="D84" s="579"/>
      <c r="E84" s="579"/>
      <c r="F84" s="579"/>
      <c r="G84" s="87">
        <f>Dados!G58</f>
        <v>0.1225</v>
      </c>
      <c r="H84" s="88">
        <f>ROUND((H85*G84),2)</f>
        <v>868.67</v>
      </c>
      <c r="I84" s="58"/>
      <c r="J84" s="58"/>
      <c r="K84" s="1"/>
      <c r="L84" s="1"/>
      <c r="M84" s="1"/>
      <c r="N84" s="69"/>
      <c r="O84" s="69"/>
    </row>
    <row r="85" spans="1:23" ht="15.75" customHeight="1" thickBot="1" x14ac:dyDescent="0.3">
      <c r="A85" s="580" t="s">
        <v>77</v>
      </c>
      <c r="B85" s="580"/>
      <c r="C85" s="580"/>
      <c r="D85" s="580"/>
      <c r="E85" s="580"/>
      <c r="F85" s="580"/>
      <c r="G85" s="580"/>
      <c r="H85" s="89">
        <f>ROUND((SUM(H81:H83)/(1-G84)),2)</f>
        <v>7091.16</v>
      </c>
      <c r="I85" s="58"/>
      <c r="J85" s="58"/>
      <c r="K85" s="1"/>
      <c r="L85" s="1"/>
      <c r="M85" s="1"/>
      <c r="N85" s="69"/>
      <c r="O85" s="69"/>
    </row>
    <row r="86" spans="1:23" ht="15.75" thickBot="1" x14ac:dyDescent="0.3">
      <c r="A86" s="64"/>
      <c r="B86" s="69"/>
      <c r="C86" s="69"/>
      <c r="D86" s="69"/>
      <c r="E86" s="69"/>
      <c r="F86" s="69"/>
      <c r="G86" s="64"/>
      <c r="H86" s="69"/>
      <c r="I86" s="69"/>
      <c r="J86" s="69"/>
      <c r="K86" s="1"/>
      <c r="L86" s="1"/>
      <c r="M86" s="1"/>
      <c r="N86" s="69"/>
      <c r="O86" s="69"/>
    </row>
    <row r="87" spans="1:23" ht="24.75" customHeight="1" thickBot="1" x14ac:dyDescent="0.3">
      <c r="A87" s="581" t="s">
        <v>59</v>
      </c>
      <c r="B87" s="582" t="s">
        <v>78</v>
      </c>
      <c r="C87" s="582"/>
      <c r="D87" s="582"/>
      <c r="E87" s="582"/>
      <c r="F87" s="583" t="s">
        <v>61</v>
      </c>
      <c r="G87" s="583"/>
      <c r="H87" s="583"/>
      <c r="I87" s="602" t="s">
        <v>62</v>
      </c>
      <c r="J87" s="602"/>
      <c r="K87" s="602"/>
      <c r="L87" s="606" t="s">
        <v>63</v>
      </c>
      <c r="M87" s="606"/>
      <c r="N87" s="606"/>
      <c r="O87" s="606"/>
      <c r="V87" s="1"/>
      <c r="W87" s="1"/>
    </row>
    <row r="88" spans="1:23" ht="38.25" customHeight="1" x14ac:dyDescent="0.25">
      <c r="A88" s="581"/>
      <c r="B88" s="598" t="s">
        <v>64</v>
      </c>
      <c r="C88" s="598"/>
      <c r="D88" s="598"/>
      <c r="E88" s="63" t="s">
        <v>65</v>
      </c>
      <c r="F88" s="63" t="s">
        <v>66</v>
      </c>
      <c r="G88" s="63" t="s">
        <v>67</v>
      </c>
      <c r="H88" s="73" t="s">
        <v>68</v>
      </c>
      <c r="I88" s="602"/>
      <c r="J88" s="602"/>
      <c r="K88" s="602"/>
      <c r="L88" s="70" t="s">
        <v>69</v>
      </c>
      <c r="M88" s="71" t="s">
        <v>70</v>
      </c>
      <c r="N88" s="71" t="s">
        <v>71</v>
      </c>
      <c r="O88" s="72" t="s">
        <v>72</v>
      </c>
      <c r="V88" s="1"/>
      <c r="W88" s="1"/>
    </row>
    <row r="89" spans="1:23" x14ac:dyDescent="0.25">
      <c r="A89" s="90">
        <v>1</v>
      </c>
      <c r="B89" s="576" t="str">
        <f>Materiais!B67</f>
        <v>Coador de Café. Especificação: Em pano 100% algodão, cor branca, dimensões de 20cm (diâmetro) x 30cm (profundidade), cabo 16 cm de comprimento feito de arame de aço galvanizado revestido com PVC. O rótulo do produto deve estampar o nome do fabricante.</v>
      </c>
      <c r="C89" s="576"/>
      <c r="D89" s="576"/>
      <c r="E89" s="83" t="str">
        <f>Materiais!C67</f>
        <v>Unid.</v>
      </c>
      <c r="F89" s="83" t="str">
        <f>Materiais!D67</f>
        <v>Stolf</v>
      </c>
      <c r="G89" s="76">
        <f t="shared" ref="G89:G98" si="9">IF($D$4="PLANILHA PARA LICITAÇÃO (PRECIFICAÇÃO)",L89,0)</f>
        <v>0.66666666666666663</v>
      </c>
      <c r="H89" s="77">
        <f>G89*Materiais!G67</f>
        <v>7.1533333333333333</v>
      </c>
      <c r="I89" s="574" t="str">
        <f t="shared" ref="I89:I94" si="10">IF(G89&lt;L89,"Fornecimento inferior ao estimado mensalmente",IF(G89=L89,"Fornecimento igual ao estimado mensalmente",IF(G89&gt;L89,"Fornecimento superior ao estimado mensalmente",)))</f>
        <v>Fornecimento igual ao estimado mensalmente</v>
      </c>
      <c r="J89" s="574"/>
      <c r="K89" s="574"/>
      <c r="L89" s="78">
        <f t="shared" ref="L89" si="11">M89/O89</f>
        <v>0.66666666666666663</v>
      </c>
      <c r="M89" s="91">
        <f>Materiais!E67</f>
        <v>8</v>
      </c>
      <c r="N89" s="91" t="str">
        <f>Materiais!F67</f>
        <v>Anual</v>
      </c>
      <c r="O89" s="81">
        <f t="shared" ref="O89" si="12">IF(N89="MENSAL",1,IF(N89="BIMESTRAL",2,IF(N89="TRIMESTRAL",3,IF(N89="QUADRIMESTRAL",4,IF(N89="SEMESTRAL",6,IF(N89="ANUAL",12,IF(N89="BIENAL",24,"")))))))</f>
        <v>12</v>
      </c>
      <c r="W89" s="1"/>
    </row>
    <row r="90" spans="1:23" x14ac:dyDescent="0.25">
      <c r="A90" s="90">
        <v>2</v>
      </c>
      <c r="B90" s="576" t="str">
        <f>Materiais!B68</f>
        <v>Desentupidor Pia Material: Borracha Flexível, Cor: Preta , Material Cabo: Plástico Resistente , Comprimento Cabo: 20 CM, Tipo: Sanfonado</v>
      </c>
      <c r="C90" s="576"/>
      <c r="D90" s="576"/>
      <c r="E90" s="83" t="str">
        <f>Materiais!C68</f>
        <v>Unid.</v>
      </c>
      <c r="F90" s="83" t="str">
        <f>Materiais!D68</f>
        <v>Oliveira e Azevedo</v>
      </c>
      <c r="G90" s="76">
        <f t="shared" si="9"/>
        <v>0.16666666666666666</v>
      </c>
      <c r="H90" s="77">
        <f>G90*Materiais!G68</f>
        <v>1.62</v>
      </c>
      <c r="I90" s="574" t="str">
        <f t="shared" si="10"/>
        <v>Fornecimento igual ao estimado mensalmente</v>
      </c>
      <c r="J90" s="574"/>
      <c r="K90" s="574"/>
      <c r="L90" s="78">
        <f t="shared" ref="L90:L98" si="13">M90/O90</f>
        <v>0.16666666666666666</v>
      </c>
      <c r="M90" s="91">
        <f>Materiais!E68</f>
        <v>2</v>
      </c>
      <c r="N90" s="91" t="str">
        <f>Materiais!F68</f>
        <v>Anual</v>
      </c>
      <c r="O90" s="81">
        <f t="shared" ref="O90:O98" si="14">IF(N90="MENSAL",1,IF(N90="BIMESTRAL",2,IF(N90="TRIMESTRAL",3,IF(N90="QUADRIMESTRAL",4,IF(N90="SEMESTRAL",6,IF(N90="ANUAL",12,IF(N90="BIENAL",24,"")))))))</f>
        <v>12</v>
      </c>
      <c r="W90" s="1"/>
    </row>
    <row r="91" spans="1:23" x14ac:dyDescent="0.25">
      <c r="A91" s="90">
        <v>3</v>
      </c>
      <c r="B91" s="576" t="str">
        <f>Materiais!B69</f>
        <v>Detergente líquido para louça, neutro, embalagem de 500ml, com tampa Push Pool. Deverá conter glicerina e ser testado e aprovado por dermatologistas. Com fórmula biodegradável. Deve possuir registro na Anvisa/Ministério da Saúde, o qual deverá estar impresso no rótulo.</v>
      </c>
      <c r="C91" s="576"/>
      <c r="D91" s="576"/>
      <c r="E91" s="83" t="str">
        <f>Materiais!C69</f>
        <v>Unid.</v>
      </c>
      <c r="F91" s="83"/>
      <c r="G91" s="76">
        <f t="shared" si="9"/>
        <v>25</v>
      </c>
      <c r="H91" s="77">
        <f>G91*Materiais!G69</f>
        <v>115.5</v>
      </c>
      <c r="I91" s="574" t="str">
        <f t="shared" si="10"/>
        <v>Fornecimento igual ao estimado mensalmente</v>
      </c>
      <c r="J91" s="574"/>
      <c r="K91" s="574"/>
      <c r="L91" s="78">
        <f t="shared" si="13"/>
        <v>25</v>
      </c>
      <c r="M91" s="91">
        <f>Materiais!E69</f>
        <v>25</v>
      </c>
      <c r="N91" s="91" t="str">
        <f>Materiais!F69</f>
        <v>Mensal</v>
      </c>
      <c r="O91" s="81">
        <f t="shared" si="14"/>
        <v>1</v>
      </c>
      <c r="W91" s="1"/>
    </row>
    <row r="92" spans="1:23" x14ac:dyDescent="0.25">
      <c r="A92" s="90">
        <v>4</v>
      </c>
      <c r="B92" s="576" t="str">
        <f>Materiais!B70</f>
        <v>Esponja Para Lavagem De Louças E Limpeza Em Geral, Dupla Face Sintética, Um Lado Em Espuma Poliuretano E Outro Em Fibra Sintética Abrasiva, Antibacteriana, Formato Retangular, Medindo Aproximadamente 110mm X 75mm X 20mm De Espessura. Pacote com 4 unidades.</v>
      </c>
      <c r="C92" s="576"/>
      <c r="D92" s="576"/>
      <c r="E92" s="83" t="str">
        <f>Materiais!C70</f>
        <v>Unid.</v>
      </c>
      <c r="F92" s="83" t="str">
        <f>Materiais!D70</f>
        <v>Scotch-Brite</v>
      </c>
      <c r="G92" s="76">
        <f t="shared" si="9"/>
        <v>13</v>
      </c>
      <c r="H92" s="77">
        <f>G92*Materiais!G70</f>
        <v>60.319999999999993</v>
      </c>
      <c r="I92" s="574" t="str">
        <f t="shared" si="10"/>
        <v>Fornecimento igual ao estimado mensalmente</v>
      </c>
      <c r="J92" s="574"/>
      <c r="K92" s="574"/>
      <c r="L92" s="78">
        <f t="shared" si="13"/>
        <v>13</v>
      </c>
      <c r="M92" s="91">
        <f>Materiais!E70</f>
        <v>13</v>
      </c>
      <c r="N92" s="91" t="str">
        <f>Materiais!F70</f>
        <v>Mensal</v>
      </c>
      <c r="O92" s="81">
        <f t="shared" si="14"/>
        <v>1</v>
      </c>
      <c r="W92" s="1"/>
    </row>
    <row r="93" spans="1:23" x14ac:dyDescent="0.25">
      <c r="A93" s="90">
        <v>5</v>
      </c>
      <c r="B93" s="576" t="str">
        <f>Materiais!B71</f>
        <v>Esponja de LÃ DE AÇO, composição básica: aço carbono abrasivo, p/ limpeza em geral, acondicionada em embalagem plástica original do fabricante, peso líquido aproximado de 60g, pacote c/ 08 unidades</v>
      </c>
      <c r="C93" s="576"/>
      <c r="D93" s="576"/>
      <c r="E93" s="83" t="str">
        <f>Materiais!C71</f>
        <v>pacote</v>
      </c>
      <c r="F93" s="83" t="str">
        <f>Materiais!D71</f>
        <v>Bombril</v>
      </c>
      <c r="G93" s="76">
        <f t="shared" si="9"/>
        <v>10</v>
      </c>
      <c r="H93" s="77">
        <f>G93*Materiais!G71</f>
        <v>26.7</v>
      </c>
      <c r="I93" s="574" t="str">
        <f t="shared" si="10"/>
        <v>Fornecimento igual ao estimado mensalmente</v>
      </c>
      <c r="J93" s="574"/>
      <c r="K93" s="574"/>
      <c r="L93" s="78">
        <f t="shared" si="13"/>
        <v>10</v>
      </c>
      <c r="M93" s="91">
        <f>Materiais!E71</f>
        <v>10</v>
      </c>
      <c r="N93" s="91" t="str">
        <f>Materiais!F71</f>
        <v>Mensal</v>
      </c>
      <c r="O93" s="81">
        <f t="shared" si="14"/>
        <v>1</v>
      </c>
      <c r="W93" s="1"/>
    </row>
    <row r="94" spans="1:23" x14ac:dyDescent="0.25">
      <c r="A94" s="90">
        <v>6</v>
      </c>
      <c r="B94" s="576" t="str">
        <f>Materiais!B74</f>
        <v>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v>
      </c>
      <c r="C94" s="576"/>
      <c r="D94" s="576"/>
      <c r="E94" s="83" t="str">
        <f>Materiais!C74</f>
        <v>Unid.</v>
      </c>
      <c r="F94" s="83" t="str">
        <f>Materiais!D72</f>
        <v>Santepel</v>
      </c>
      <c r="G94" s="76">
        <f t="shared" si="9"/>
        <v>2</v>
      </c>
      <c r="H94" s="77">
        <f>G94*Materiais!G72</f>
        <v>8.02</v>
      </c>
      <c r="I94" s="574" t="str">
        <f t="shared" si="10"/>
        <v>Fornecimento igual ao estimado mensalmente</v>
      </c>
      <c r="J94" s="574"/>
      <c r="K94" s="574"/>
      <c r="L94" s="78">
        <f t="shared" si="13"/>
        <v>2</v>
      </c>
      <c r="M94" s="91">
        <f>Materiais!E72</f>
        <v>2</v>
      </c>
      <c r="N94" s="91" t="str">
        <f>Materiais!F72</f>
        <v>Mensal</v>
      </c>
      <c r="O94" s="81">
        <f t="shared" si="14"/>
        <v>1</v>
      </c>
      <c r="W94" s="1"/>
    </row>
    <row r="95" spans="1:23" x14ac:dyDescent="0.25">
      <c r="A95" s="90">
        <v>7</v>
      </c>
      <c r="B95" s="576" t="str">
        <f>Materiais!B76</f>
        <v>Pano de copa aberto 100% dimensões mínimas 40x60cm</v>
      </c>
      <c r="C95" s="576"/>
      <c r="D95" s="576"/>
      <c r="E95" s="83" t="str">
        <f>Materiais!C76</f>
        <v>Unid.</v>
      </c>
      <c r="F95" s="83" t="str">
        <f>Materiais!D73</f>
        <v>Santepel</v>
      </c>
      <c r="G95" s="76">
        <f t="shared" si="9"/>
        <v>1</v>
      </c>
      <c r="H95" s="77">
        <f>G95*Materiais!G73</f>
        <v>5.23</v>
      </c>
      <c r="I95" s="574" t="str">
        <f t="shared" ref="I95" si="15">IF(G95&lt;L95,"Fornecimento inferior ao estimado mensalmente",IF(G95=L95,"Fornecimento igual ao estimado mensalmente",IF(G95&gt;L95,"Fornecimento superior ao estimado mensalmente",)))</f>
        <v>Fornecimento igual ao estimado mensalmente</v>
      </c>
      <c r="J95" s="574"/>
      <c r="K95" s="574"/>
      <c r="L95" s="78">
        <f t="shared" si="13"/>
        <v>1</v>
      </c>
      <c r="M95" s="91">
        <f>Materiais!E73</f>
        <v>1</v>
      </c>
      <c r="N95" s="91" t="str">
        <f>Materiais!F73</f>
        <v>Mensal</v>
      </c>
      <c r="O95" s="81">
        <f t="shared" si="14"/>
        <v>1</v>
      </c>
      <c r="W95" s="1"/>
    </row>
    <row r="96" spans="1:23" x14ac:dyDescent="0.25">
      <c r="A96" s="90">
        <v>8</v>
      </c>
      <c r="B96" s="576" t="str">
        <f>Materiais!B74</f>
        <v>Brilho Limpa alumínio 500 ml – serve para limpar e dar brilho aos alumínios e inox. formula composta basicamente por detergentes de alta umectação associados à componentes ácidos que lavam e eliminam manchas dos utensílios domésticos, eficiente na remoção de sujeiras e manchas incrustadas, deve além de remover sujeiras e manchas dar brilho ao alumínio embalagem contendo identificação do produto, marca do fabricante, prazo de validade, peso liquido, registro no Ministério da Saúde, instruções e cuidados na utilização.</v>
      </c>
      <c r="C96" s="576"/>
      <c r="D96" s="576"/>
      <c r="E96" s="83" t="str">
        <f>Materiais!C74</f>
        <v>Unid.</v>
      </c>
      <c r="F96" s="83" t="str">
        <f>Materiais!D74</f>
        <v>Start</v>
      </c>
      <c r="G96" s="76">
        <f t="shared" si="9"/>
        <v>2</v>
      </c>
      <c r="H96" s="77">
        <f>G96*Materiais!G74</f>
        <v>9.82</v>
      </c>
      <c r="I96" s="574" t="str">
        <f>IF(G96&lt;L96,"Fornecimento inferior ao estimado mensalmente",IF(G96=L96,"Fornecimento igual ao estimado mensalmente",IF(G96&gt;L96,"Fornecimento superior ao estimado mensalmente",)))</f>
        <v>Fornecimento igual ao estimado mensalmente</v>
      </c>
      <c r="J96" s="574"/>
      <c r="K96" s="574"/>
      <c r="L96" s="78">
        <f t="shared" si="13"/>
        <v>2</v>
      </c>
      <c r="M96" s="91">
        <f>Materiais!E74</f>
        <v>2</v>
      </c>
      <c r="N96" s="91" t="str">
        <f>Materiais!F74</f>
        <v>Mensal</v>
      </c>
      <c r="O96" s="81">
        <f t="shared" si="14"/>
        <v>1</v>
      </c>
      <c r="W96" s="1"/>
    </row>
    <row r="97" spans="1:23" ht="25.5" x14ac:dyDescent="0.25">
      <c r="A97" s="90">
        <v>9</v>
      </c>
      <c r="B97" s="576" t="str">
        <f>Materiais!B75</f>
        <v>Multiuso para limpeza diária 500ml - . limpador instantâneo, para remoção de gorduras, fuligem, poeira, marcas de dedos e de sapatos, riscos de lápis, etc. ingredientes: alquil benzeno sulfonato de sódio, álcool etoxilado, coadjuvantes, sequestrante, fragrância e água. frascos de 500 ml de produto (marca de referência: veja).</v>
      </c>
      <c r="C97" s="576"/>
      <c r="D97" s="576"/>
      <c r="E97" s="83" t="str">
        <f>Materiais!C75</f>
        <v>Unid.</v>
      </c>
      <c r="F97" s="83" t="str">
        <f>Materiais!D75</f>
        <v xml:space="preserve">	
Veja</v>
      </c>
      <c r="G97" s="76">
        <f t="shared" si="9"/>
        <v>24</v>
      </c>
      <c r="H97" s="77">
        <f>G97*Materiais!G75</f>
        <v>151.19999999999999</v>
      </c>
      <c r="I97" s="574" t="str">
        <f t="shared" ref="I97:I98" si="16">IF(G97&lt;L97,"Fornecimento inferior ao estimado mensalmente",IF(G97=L97,"Fornecimento igual ao estimado mensalmente",IF(G97&gt;L97,"Fornecimento superior ao estimado mensalmente",)))</f>
        <v>Fornecimento igual ao estimado mensalmente</v>
      </c>
      <c r="J97" s="574"/>
      <c r="K97" s="574"/>
      <c r="L97" s="78">
        <f t="shared" si="13"/>
        <v>24</v>
      </c>
      <c r="M97" s="91">
        <f>Materiais!E75</f>
        <v>24</v>
      </c>
      <c r="N97" s="91" t="str">
        <f>Materiais!F75</f>
        <v>Mensal</v>
      </c>
      <c r="O97" s="81">
        <f t="shared" si="14"/>
        <v>1</v>
      </c>
      <c r="W97" s="1"/>
    </row>
    <row r="98" spans="1:23" ht="15.75" thickBot="1" x14ac:dyDescent="0.3">
      <c r="A98" s="90">
        <v>10</v>
      </c>
      <c r="B98" s="576" t="str">
        <f>Materiais!B76</f>
        <v>Pano de copa aberto 100% dimensões mínimas 40x60cm</v>
      </c>
      <c r="C98" s="576"/>
      <c r="D98" s="576"/>
      <c r="E98" s="83" t="str">
        <f>Materiais!C76</f>
        <v>Unid.</v>
      </c>
      <c r="F98" s="83" t="str">
        <f>Materiais!D76</f>
        <v>Karsten</v>
      </c>
      <c r="G98" s="76">
        <f t="shared" si="9"/>
        <v>15</v>
      </c>
      <c r="H98" s="77">
        <f>G98*Materiais!G76</f>
        <v>103.35</v>
      </c>
      <c r="I98" s="574" t="str">
        <f t="shared" si="16"/>
        <v>Fornecimento igual ao estimado mensalmente</v>
      </c>
      <c r="J98" s="574"/>
      <c r="K98" s="574"/>
      <c r="L98" s="78">
        <f t="shared" si="13"/>
        <v>15</v>
      </c>
      <c r="M98" s="91">
        <f>Materiais!E76</f>
        <v>15</v>
      </c>
      <c r="N98" s="91" t="str">
        <f>Materiais!F76</f>
        <v>Mensal</v>
      </c>
      <c r="O98" s="81">
        <f t="shared" si="14"/>
        <v>1</v>
      </c>
      <c r="W98" s="1"/>
    </row>
    <row r="99" spans="1:23" ht="15" customHeight="1" x14ac:dyDescent="0.25">
      <c r="A99" s="581" t="s">
        <v>73</v>
      </c>
      <c r="B99" s="581"/>
      <c r="C99" s="581"/>
      <c r="D99" s="581"/>
      <c r="E99" s="581"/>
      <c r="F99" s="581"/>
      <c r="G99" s="581"/>
      <c r="H99" s="92">
        <f>SUM(H89:H98)</f>
        <v>488.9133333333333</v>
      </c>
      <c r="I99" s="58"/>
      <c r="J99" s="58"/>
      <c r="K99" s="1"/>
      <c r="L99" s="69"/>
      <c r="M99" s="69"/>
      <c r="N99" s="69"/>
      <c r="V99" s="1"/>
      <c r="W99" s="1"/>
    </row>
    <row r="100" spans="1:23" ht="15" customHeight="1" x14ac:dyDescent="0.25">
      <c r="A100" s="579" t="s">
        <v>74</v>
      </c>
      <c r="B100" s="579"/>
      <c r="C100" s="579"/>
      <c r="D100" s="579"/>
      <c r="E100" s="579"/>
      <c r="F100" s="579"/>
      <c r="G100" s="87">
        <f>Dados!$G$46</f>
        <v>0.03</v>
      </c>
      <c r="H100" s="88">
        <f>ROUND((H99*G100),2)</f>
        <v>14.67</v>
      </c>
      <c r="I100" s="69"/>
      <c r="J100" s="69"/>
      <c r="K100" s="1"/>
      <c r="L100" s="69"/>
      <c r="M100" s="69"/>
      <c r="N100" s="69"/>
      <c r="V100" s="1"/>
      <c r="W100" s="1"/>
    </row>
    <row r="101" spans="1:23" ht="15" customHeight="1" x14ac:dyDescent="0.25">
      <c r="A101" s="579" t="s">
        <v>75</v>
      </c>
      <c r="B101" s="579"/>
      <c r="C101" s="579"/>
      <c r="D101" s="579"/>
      <c r="E101" s="579"/>
      <c r="F101" s="579"/>
      <c r="G101" s="87">
        <f>Dados!$G$47</f>
        <v>6.7900000000000002E-2</v>
      </c>
      <c r="H101" s="88">
        <f>ROUND((SUM(H99:H100)*G101),2)</f>
        <v>34.19</v>
      </c>
      <c r="I101" s="69"/>
      <c r="J101" s="69"/>
      <c r="K101" s="1"/>
      <c r="L101" s="69"/>
      <c r="M101" s="69"/>
      <c r="N101" s="69"/>
      <c r="V101" s="1"/>
      <c r="W101" s="1"/>
    </row>
    <row r="102" spans="1:23" ht="15" customHeight="1" x14ac:dyDescent="0.25">
      <c r="A102" s="579" t="s">
        <v>76</v>
      </c>
      <c r="B102" s="579"/>
      <c r="C102" s="579"/>
      <c r="D102" s="579"/>
      <c r="E102" s="579"/>
      <c r="F102" s="579"/>
      <c r="G102" s="87">
        <f>Dados!$G$58</f>
        <v>0.1225</v>
      </c>
      <c r="H102" s="88">
        <f>ROUND((H103*G102),2)</f>
        <v>75.069999999999993</v>
      </c>
      <c r="I102" s="69"/>
      <c r="J102" s="69"/>
      <c r="K102" s="1"/>
      <c r="L102" s="69"/>
      <c r="M102" s="69"/>
      <c r="N102" s="69"/>
      <c r="V102" s="1"/>
      <c r="W102" s="1"/>
    </row>
    <row r="103" spans="1:23" ht="15.75" customHeight="1" thickBot="1" x14ac:dyDescent="0.3">
      <c r="A103" s="580" t="s">
        <v>79</v>
      </c>
      <c r="B103" s="580"/>
      <c r="C103" s="580"/>
      <c r="D103" s="580"/>
      <c r="E103" s="580"/>
      <c r="F103" s="580"/>
      <c r="G103" s="580"/>
      <c r="H103" s="89">
        <f>ROUND((SUM(H99:H101)/(1-G102)),2)</f>
        <v>612.85</v>
      </c>
      <c r="I103" s="69"/>
      <c r="J103" s="69"/>
      <c r="K103" s="1"/>
      <c r="L103" s="69"/>
      <c r="M103" s="69"/>
      <c r="N103" s="69"/>
      <c r="V103" s="1"/>
      <c r="W103" s="1"/>
    </row>
    <row r="104" spans="1:23" ht="15.75" thickBot="1" x14ac:dyDescent="0.3">
      <c r="A104" s="64"/>
      <c r="B104" s="69"/>
      <c r="C104" s="69"/>
      <c r="D104" s="69"/>
      <c r="E104" s="69"/>
      <c r="F104" s="69"/>
      <c r="G104" s="64"/>
      <c r="H104" s="69"/>
      <c r="I104" s="69"/>
      <c r="J104" s="69"/>
      <c r="K104" s="1"/>
      <c r="L104" s="69"/>
      <c r="M104" s="69"/>
      <c r="N104" s="69"/>
      <c r="V104" s="1"/>
      <c r="W104" s="1"/>
    </row>
    <row r="105" spans="1:23" ht="25.5" customHeight="1" thickBot="1" x14ac:dyDescent="0.3">
      <c r="A105" s="581" t="s">
        <v>59</v>
      </c>
      <c r="B105" s="600" t="s">
        <v>549</v>
      </c>
      <c r="C105" s="600"/>
      <c r="D105" s="600"/>
      <c r="E105" s="600"/>
      <c r="F105" s="601" t="s">
        <v>61</v>
      </c>
      <c r="G105" s="601"/>
      <c r="H105" s="601"/>
      <c r="I105" s="602" t="s">
        <v>62</v>
      </c>
      <c r="J105" s="602"/>
      <c r="K105" s="602"/>
      <c r="L105" s="607" t="s">
        <v>63</v>
      </c>
      <c r="M105" s="607"/>
      <c r="N105" s="607"/>
      <c r="O105" s="607"/>
      <c r="V105" s="1"/>
      <c r="W105" s="1"/>
    </row>
    <row r="106" spans="1:23" ht="38.25" customHeight="1" x14ac:dyDescent="0.25">
      <c r="A106" s="581"/>
      <c r="B106" s="598" t="s">
        <v>64</v>
      </c>
      <c r="C106" s="598"/>
      <c r="D106" s="598"/>
      <c r="E106" s="63" t="s">
        <v>65</v>
      </c>
      <c r="F106" s="63" t="s">
        <v>66</v>
      </c>
      <c r="G106" s="63" t="s">
        <v>67</v>
      </c>
      <c r="H106" s="73" t="s">
        <v>68</v>
      </c>
      <c r="I106" s="602"/>
      <c r="J106" s="602"/>
      <c r="K106" s="602"/>
      <c r="L106" s="93" t="s">
        <v>69</v>
      </c>
      <c r="M106" s="63" t="s">
        <v>70</v>
      </c>
      <c r="N106" s="63" t="s">
        <v>71</v>
      </c>
      <c r="O106" s="73" t="s">
        <v>72</v>
      </c>
      <c r="V106" s="1"/>
      <c r="W106" s="1"/>
    </row>
    <row r="107" spans="1:23" x14ac:dyDescent="0.25">
      <c r="A107" s="90">
        <v>1</v>
      </c>
      <c r="B107" s="576" t="str">
        <f>Materiais!B83</f>
        <v>LIMPA PNEU, aspecto físico líquido, composição glicerina, tensoativos, pigmentos, água, aplicação em superfícies emborrachadas e similares, frasco 500ml</v>
      </c>
      <c r="C107" s="576"/>
      <c r="D107" s="576"/>
      <c r="E107" s="83" t="str">
        <f>Materiais!C83</f>
        <v>Unid.</v>
      </c>
      <c r="F107" s="83"/>
      <c r="G107" s="76">
        <f t="shared" ref="G107:G112" si="17">IF($D$4="PLANILHA PARA LICITAÇÃO (PRECIFICAÇÃO)",L107,0)</f>
        <v>6</v>
      </c>
      <c r="H107" s="77">
        <f>G107*Materiais!G83</f>
        <v>117.12</v>
      </c>
      <c r="I107" s="574" t="str">
        <f t="shared" ref="I107:I112" si="18">IF(G107&lt;L107,"Fornecimento inferior ao estimado mensalmente",IF(G107=L107,"Fornecimento igual ao estimado mensalmente",IF(G107&gt;L107,"Fornecimento superior ao estimado mensalmente",)))</f>
        <v>Fornecimento igual ao estimado mensalmente</v>
      </c>
      <c r="J107" s="574"/>
      <c r="K107" s="574"/>
      <c r="L107" s="78">
        <f t="shared" ref="L107:L112" si="19">M107/O107</f>
        <v>6</v>
      </c>
      <c r="M107" s="91">
        <f>Materiais!E83</f>
        <v>6</v>
      </c>
      <c r="N107" s="91" t="str">
        <f>Materiais!F83</f>
        <v>Mensal</v>
      </c>
      <c r="O107" s="81">
        <f t="shared" ref="O107:O112" si="20">IF(N107="MENSAL",1,IF(N107="BIMESTRAL",2,IF(N107="TRIMESTRAL",3,IF(N107="QUADRIMESTRAL",4,IF(N107="SEMESTRAL",6,IF(N107="ANUAL",12,IF(N107="BIENAL",24,"")))))))</f>
        <v>1</v>
      </c>
      <c r="W107" s="1"/>
    </row>
    <row r="108" spans="1:23" x14ac:dyDescent="0.25">
      <c r="A108" s="90">
        <v>2</v>
      </c>
      <c r="B108" s="576" t="str">
        <f>Materiais!B84</f>
        <v>Toalha Mágica - Pano Limpeza Material: Microfibra. Aplicação: Uso Geral, Comprimento: 60 CM, Tipo: Toalha, Largura: 40 CM, Características Adicionais: Alto Grau Absorção.</v>
      </c>
      <c r="C108" s="576"/>
      <c r="D108" s="576"/>
      <c r="E108" s="83" t="str">
        <f>Materiais!C84</f>
        <v>Unid.</v>
      </c>
      <c r="F108" s="83"/>
      <c r="G108" s="76">
        <f t="shared" si="17"/>
        <v>2</v>
      </c>
      <c r="H108" s="77">
        <f>G108*Materiais!G84</f>
        <v>21.06</v>
      </c>
      <c r="I108" s="574" t="str">
        <f t="shared" si="18"/>
        <v>Fornecimento igual ao estimado mensalmente</v>
      </c>
      <c r="J108" s="574"/>
      <c r="K108" s="574"/>
      <c r="L108" s="78">
        <f t="shared" si="19"/>
        <v>2</v>
      </c>
      <c r="M108" s="91">
        <f>Materiais!E84</f>
        <v>2</v>
      </c>
      <c r="N108" s="91" t="str">
        <f>Materiais!F84</f>
        <v>Mensal</v>
      </c>
      <c r="O108" s="81">
        <f t="shared" si="20"/>
        <v>1</v>
      </c>
      <c r="W108" s="1"/>
    </row>
    <row r="109" spans="1:23" x14ac:dyDescent="0.25">
      <c r="A109" s="90">
        <v>3</v>
      </c>
      <c r="B109" s="576" t="str">
        <f>Materiais!B85</f>
        <v>SHAMPOO AUTOMOTIVO - 5 LITROS Especificações Mínimas: tipo neutro; produto concentrado 1 x 40; composto de tensoativo aniônico, coadjuvante, conservante, corante e veículo; produto com validade de 12 (doze) meses. Produto com registro/notificação/isenção na ANVISA/MS.</v>
      </c>
      <c r="C109" s="576"/>
      <c r="D109" s="576"/>
      <c r="E109" s="83" t="str">
        <f>Materiais!C85</f>
        <v>Unid.</v>
      </c>
      <c r="F109" s="83"/>
      <c r="G109" s="76">
        <f t="shared" si="17"/>
        <v>1</v>
      </c>
      <c r="H109" s="77">
        <f>G109*Materiais!G85</f>
        <v>52.13</v>
      </c>
      <c r="I109" s="574" t="str">
        <f t="shared" si="18"/>
        <v>Fornecimento igual ao estimado mensalmente</v>
      </c>
      <c r="J109" s="574"/>
      <c r="K109" s="574"/>
      <c r="L109" s="78">
        <f t="shared" si="19"/>
        <v>1</v>
      </c>
      <c r="M109" s="91">
        <f>Materiais!E85</f>
        <v>1</v>
      </c>
      <c r="N109" s="91" t="str">
        <f>Materiais!F85</f>
        <v>Mensal</v>
      </c>
      <c r="O109" s="81">
        <f t="shared" si="20"/>
        <v>1</v>
      </c>
      <c r="W109" s="1"/>
    </row>
    <row r="110" spans="1:23" ht="26.45" customHeight="1" thickBot="1" x14ac:dyDescent="0.3">
      <c r="A110" s="90">
        <v>4</v>
      </c>
      <c r="B110" s="576" t="str">
        <f>Materiais!B86</f>
        <v>Silicone - Silicone Componentes: Glicerina+Água+Espessante+Essências , Apresentação: Gel , Cor: Branco, Finalidade: Proteção E Brilho De Superfícies De Plástico E Borracha , Aplicação: Superfícies De Plástico E Borracha.</v>
      </c>
      <c r="C110" s="576"/>
      <c r="D110" s="576"/>
      <c r="E110" s="83" t="str">
        <f>Materiais!C86</f>
        <v>Unid.</v>
      </c>
      <c r="F110" s="83"/>
      <c r="G110" s="76">
        <f t="shared" si="17"/>
        <v>2</v>
      </c>
      <c r="H110" s="77">
        <f>G110*Materiais!G86</f>
        <v>91.22</v>
      </c>
      <c r="I110" s="574" t="str">
        <f t="shared" ref="I110" si="21">IF(G110&lt;L110,"Fornecimento inferior ao estimado mensalmente",IF(G110=L110,"Fornecimento igual ao estimado mensalmente",IF(G110&gt;L110,"Fornecimento superior ao estimado mensalmente",)))</f>
        <v>Fornecimento igual ao estimado mensalmente</v>
      </c>
      <c r="J110" s="574"/>
      <c r="K110" s="574"/>
      <c r="L110" s="78">
        <f t="shared" si="19"/>
        <v>2</v>
      </c>
      <c r="M110" s="91">
        <f>Materiais!E86</f>
        <v>2</v>
      </c>
      <c r="N110" s="91" t="str">
        <f>Materiais!F86</f>
        <v>Mensal</v>
      </c>
      <c r="O110" s="81">
        <f t="shared" si="20"/>
        <v>1</v>
      </c>
      <c r="W110" s="1"/>
    </row>
    <row r="111" spans="1:23" hidden="1" x14ac:dyDescent="0.25">
      <c r="A111" s="90">
        <v>5</v>
      </c>
      <c r="B111" s="576">
        <f>Materiais!B87</f>
        <v>0</v>
      </c>
      <c r="C111" s="576"/>
      <c r="D111" s="576"/>
      <c r="E111" s="83">
        <f>Materiais!C87</f>
        <v>0</v>
      </c>
      <c r="F111" s="83"/>
      <c r="G111" s="76">
        <f t="shared" si="17"/>
        <v>0</v>
      </c>
      <c r="H111" s="77">
        <f>G111*Materiais!G87</f>
        <v>0</v>
      </c>
      <c r="I111" s="574" t="str">
        <f t="shared" ref="I111" si="22">IF(G111&lt;L111,"Fornecimento inferior ao estimado mensalmente",IF(G111=L111,"Fornecimento igual ao estimado mensalmente",IF(G111&gt;L111,"Fornecimento superior ao estimado mensalmente",)))</f>
        <v>Fornecimento igual ao estimado mensalmente</v>
      </c>
      <c r="J111" s="574"/>
      <c r="K111" s="574"/>
      <c r="L111" s="78">
        <f t="shared" si="19"/>
        <v>0</v>
      </c>
      <c r="M111" s="91">
        <f>Materiais!E87</f>
        <v>0</v>
      </c>
      <c r="N111" s="91" t="str">
        <f>Materiais!F87</f>
        <v>Mensal</v>
      </c>
      <c r="O111" s="81">
        <f t="shared" si="20"/>
        <v>1</v>
      </c>
      <c r="W111" s="1"/>
    </row>
    <row r="112" spans="1:23" ht="15.75" hidden="1" thickBot="1" x14ac:dyDescent="0.3">
      <c r="A112" s="90">
        <v>6</v>
      </c>
      <c r="B112" s="576">
        <f>Materiais!B88</f>
        <v>0</v>
      </c>
      <c r="C112" s="576"/>
      <c r="D112" s="576"/>
      <c r="E112" s="83">
        <f>Materiais!C88</f>
        <v>0</v>
      </c>
      <c r="F112" s="83"/>
      <c r="G112" s="76">
        <f t="shared" si="17"/>
        <v>0</v>
      </c>
      <c r="H112" s="77">
        <f>G112*Materiais!G88</f>
        <v>0</v>
      </c>
      <c r="I112" s="574" t="str">
        <f t="shared" si="18"/>
        <v>Fornecimento igual ao estimado mensalmente</v>
      </c>
      <c r="J112" s="574"/>
      <c r="K112" s="574"/>
      <c r="L112" s="78">
        <f t="shared" si="19"/>
        <v>0</v>
      </c>
      <c r="M112" s="91">
        <f>Materiais!E88</f>
        <v>0</v>
      </c>
      <c r="N112" s="91" t="str">
        <f>Materiais!F88</f>
        <v>Mensal</v>
      </c>
      <c r="O112" s="81">
        <f t="shared" si="20"/>
        <v>1</v>
      </c>
      <c r="W112" s="1"/>
    </row>
    <row r="113" spans="1:23" ht="15" customHeight="1" x14ac:dyDescent="0.25">
      <c r="A113" s="608" t="s">
        <v>73</v>
      </c>
      <c r="B113" s="608"/>
      <c r="C113" s="608"/>
      <c r="D113" s="608"/>
      <c r="E113" s="608"/>
      <c r="F113" s="608"/>
      <c r="G113" s="608"/>
      <c r="H113" s="92">
        <f>SUM(H107:H112)</f>
        <v>281.52999999999997</v>
      </c>
      <c r="I113" s="58"/>
      <c r="J113" s="58"/>
      <c r="K113" s="1"/>
      <c r="L113" s="69"/>
      <c r="M113" s="69"/>
      <c r="N113" s="69"/>
      <c r="P113" s="3"/>
      <c r="Q113" s="3"/>
      <c r="V113" s="1"/>
      <c r="W113" s="1"/>
    </row>
    <row r="114" spans="1:23" ht="15" customHeight="1" x14ac:dyDescent="0.25">
      <c r="A114" s="579" t="s">
        <v>74</v>
      </c>
      <c r="B114" s="579"/>
      <c r="C114" s="579"/>
      <c r="D114" s="579"/>
      <c r="E114" s="579"/>
      <c r="F114" s="579"/>
      <c r="G114" s="87">
        <f>Dados!$G$46</f>
        <v>0.03</v>
      </c>
      <c r="H114" s="88">
        <f>ROUND((H113*G114),2)</f>
        <v>8.4499999999999993</v>
      </c>
      <c r="L114" s="1"/>
      <c r="M114" s="1"/>
      <c r="P114" s="3"/>
      <c r="Q114" s="3"/>
      <c r="V114" s="1"/>
      <c r="W114" s="1"/>
    </row>
    <row r="115" spans="1:23" ht="15" customHeight="1" x14ac:dyDescent="0.25">
      <c r="A115" s="579" t="s">
        <v>75</v>
      </c>
      <c r="B115" s="579"/>
      <c r="C115" s="579"/>
      <c r="D115" s="579"/>
      <c r="E115" s="579"/>
      <c r="F115" s="579"/>
      <c r="G115" s="87">
        <f>Dados!$G$47</f>
        <v>6.7900000000000002E-2</v>
      </c>
      <c r="H115" s="88">
        <f>ROUND((SUM(H113:H114)*G115),2)</f>
        <v>19.690000000000001</v>
      </c>
      <c r="L115" s="1"/>
      <c r="M115" s="1"/>
      <c r="P115" s="3"/>
      <c r="Q115" s="3"/>
      <c r="V115" s="1"/>
      <c r="W115" s="1"/>
    </row>
    <row r="116" spans="1:23" ht="15" customHeight="1" x14ac:dyDescent="0.25">
      <c r="A116" s="579" t="s">
        <v>76</v>
      </c>
      <c r="B116" s="579"/>
      <c r="C116" s="579"/>
      <c r="D116" s="579"/>
      <c r="E116" s="579"/>
      <c r="F116" s="579"/>
      <c r="G116" s="87">
        <f>Dados!$G$58</f>
        <v>0.1225</v>
      </c>
      <c r="H116" s="88">
        <f>ROUND((H117*G116),2)</f>
        <v>43.23</v>
      </c>
      <c r="L116" s="1"/>
      <c r="M116" s="1"/>
      <c r="P116" s="3"/>
      <c r="Q116" s="3"/>
      <c r="V116" s="1"/>
      <c r="W116" s="1"/>
    </row>
    <row r="117" spans="1:23" ht="15.75" customHeight="1" thickBot="1" x14ac:dyDescent="0.3">
      <c r="A117" s="580" t="s">
        <v>80</v>
      </c>
      <c r="B117" s="580"/>
      <c r="C117" s="580"/>
      <c r="D117" s="580"/>
      <c r="E117" s="580"/>
      <c r="F117" s="580"/>
      <c r="G117" s="580"/>
      <c r="H117" s="89">
        <f>ROUND((SUM(H113:H115)/(1-G116)),2)</f>
        <v>352.9</v>
      </c>
      <c r="L117" s="1"/>
      <c r="M117" s="1"/>
      <c r="P117" s="3"/>
      <c r="Q117" s="3"/>
      <c r="V117" s="1"/>
      <c r="W117" s="1"/>
    </row>
    <row r="118" spans="1:23" x14ac:dyDescent="0.25">
      <c r="L118" s="1"/>
      <c r="M118" s="1"/>
      <c r="P118" s="3"/>
      <c r="Q118" s="3"/>
      <c r="V118" s="1"/>
      <c r="W118" s="1"/>
    </row>
    <row r="119" spans="1:23" x14ac:dyDescent="0.25">
      <c r="L119" s="1"/>
      <c r="M119" s="1"/>
      <c r="P119" s="3"/>
      <c r="Q119" s="3"/>
      <c r="V119" s="1"/>
      <c r="W119" s="1"/>
    </row>
    <row r="120" spans="1:23" x14ac:dyDescent="0.25">
      <c r="L120" s="1"/>
      <c r="M120" s="1"/>
      <c r="P120" s="3"/>
      <c r="Q120" s="3"/>
      <c r="V120" s="1"/>
      <c r="W120" s="1"/>
    </row>
    <row r="121" spans="1:23" x14ac:dyDescent="0.25">
      <c r="L121" s="1"/>
      <c r="M121" s="1"/>
      <c r="P121" s="3"/>
      <c r="Q121" s="3"/>
      <c r="V121" s="1"/>
      <c r="W121" s="1"/>
    </row>
    <row r="122" spans="1:23" x14ac:dyDescent="0.25">
      <c r="L122" s="1"/>
      <c r="M122" s="1"/>
      <c r="P122" s="3"/>
      <c r="Q122" s="3"/>
      <c r="V122" s="1"/>
      <c r="W122" s="1"/>
    </row>
    <row r="123" spans="1:23" x14ac:dyDescent="0.25">
      <c r="L123" s="1"/>
      <c r="M123" s="1"/>
      <c r="P123" s="3"/>
      <c r="Q123" s="3"/>
      <c r="V123" s="1"/>
      <c r="W123" s="1"/>
    </row>
    <row r="124" spans="1:23" x14ac:dyDescent="0.25">
      <c r="L124" s="1"/>
      <c r="M124" s="1"/>
      <c r="P124" s="3"/>
      <c r="Q124" s="3"/>
      <c r="V124" s="1"/>
      <c r="W124" s="1"/>
    </row>
    <row r="125" spans="1:23" x14ac:dyDescent="0.25">
      <c r="L125" s="1"/>
      <c r="M125" s="1"/>
      <c r="P125" s="3"/>
      <c r="Q125" s="3"/>
      <c r="V125" s="1"/>
      <c r="W125" s="1"/>
    </row>
    <row r="127" spans="1:23" x14ac:dyDescent="0.25">
      <c r="B127" s="609" t="s">
        <v>81</v>
      </c>
      <c r="C127" s="609"/>
    </row>
    <row r="128" spans="1:23" x14ac:dyDescent="0.25">
      <c r="B128" s="94" t="s">
        <v>82</v>
      </c>
      <c r="C128" s="95">
        <v>22</v>
      </c>
      <c r="D128" s="1" t="s">
        <v>83</v>
      </c>
    </row>
    <row r="129" spans="2:4" x14ac:dyDescent="0.25">
      <c r="B129" s="94" t="s">
        <v>5</v>
      </c>
      <c r="C129" s="96">
        <v>30</v>
      </c>
      <c r="D129" s="1" t="s">
        <v>84</v>
      </c>
    </row>
    <row r="130" spans="2:4" x14ac:dyDescent="0.25">
      <c r="B130" s="94" t="s">
        <v>85</v>
      </c>
      <c r="C130" s="96" t="s">
        <v>86</v>
      </c>
      <c r="D130" s="1" t="s">
        <v>87</v>
      </c>
    </row>
    <row r="132" spans="2:4" x14ac:dyDescent="0.25">
      <c r="B132" s="94" t="s">
        <v>88</v>
      </c>
      <c r="C132" s="94" t="s">
        <v>89</v>
      </c>
    </row>
    <row r="133" spans="2:4" x14ac:dyDescent="0.25">
      <c r="B133" s="94">
        <v>220</v>
      </c>
      <c r="C133" s="94">
        <v>8.8000000000000007</v>
      </c>
    </row>
    <row r="134" spans="2:4" x14ac:dyDescent="0.25">
      <c r="B134" s="94">
        <v>200</v>
      </c>
      <c r="C134" s="94">
        <v>8</v>
      </c>
    </row>
    <row r="135" spans="2:4" x14ac:dyDescent="0.25">
      <c r="B135" s="94">
        <v>180</v>
      </c>
      <c r="C135" s="94">
        <v>7.2</v>
      </c>
    </row>
    <row r="136" spans="2:4" x14ac:dyDescent="0.25">
      <c r="B136" s="94">
        <v>150</v>
      </c>
      <c r="C136" s="94">
        <v>6</v>
      </c>
    </row>
    <row r="137" spans="2:4" x14ac:dyDescent="0.25">
      <c r="B137" s="94">
        <v>120</v>
      </c>
      <c r="C137" s="94">
        <v>4.8</v>
      </c>
    </row>
    <row r="138" spans="2:4" x14ac:dyDescent="0.25">
      <c r="B138" s="94">
        <v>100</v>
      </c>
      <c r="C138" s="94">
        <v>4</v>
      </c>
    </row>
    <row r="139" spans="2:4" x14ac:dyDescent="0.25">
      <c r="B139" s="94">
        <v>75</v>
      </c>
      <c r="C139" s="94">
        <v>3</v>
      </c>
    </row>
    <row r="141" spans="2:4" x14ac:dyDescent="0.25">
      <c r="B141" s="94" t="s">
        <v>90</v>
      </c>
    </row>
    <row r="142" spans="2:4" x14ac:dyDescent="0.25">
      <c r="B142" s="97">
        <v>0</v>
      </c>
    </row>
    <row r="143" spans="2:4" x14ac:dyDescent="0.25">
      <c r="B143" s="97">
        <v>1</v>
      </c>
    </row>
    <row r="144" spans="2:4" x14ac:dyDescent="0.25">
      <c r="B144" s="97">
        <v>2</v>
      </c>
    </row>
  </sheetData>
  <sheetProtection algorithmName="SHA-512" hashValue="B19Q5RNN5g6VUFXUWghEXW8WeT7ENm9DeinfrlevGplkhAT+w6kO3hNhETflSIW0eTRaujr+74zAjYgg2ohfdw==" saltValue="GbMWK/vCO/psbxX780D1+A==" spinCount="100000" sheet="1" objects="1" scenarios="1"/>
  <mergeCells count="197">
    <mergeCell ref="A113:G113"/>
    <mergeCell ref="A114:F114"/>
    <mergeCell ref="A115:F115"/>
    <mergeCell ref="A116:F116"/>
    <mergeCell ref="A117:G117"/>
    <mergeCell ref="B127:C127"/>
    <mergeCell ref="B108:D108"/>
    <mergeCell ref="I108:K108"/>
    <mergeCell ref="B109:D109"/>
    <mergeCell ref="I109:K109"/>
    <mergeCell ref="B112:D112"/>
    <mergeCell ref="I112:K112"/>
    <mergeCell ref="A102:F102"/>
    <mergeCell ref="A103:G103"/>
    <mergeCell ref="A105:A106"/>
    <mergeCell ref="B105:E105"/>
    <mergeCell ref="F105:H105"/>
    <mergeCell ref="I105:K106"/>
    <mergeCell ref="L105:O105"/>
    <mergeCell ref="B106:D106"/>
    <mergeCell ref="B107:D107"/>
    <mergeCell ref="I107:K107"/>
    <mergeCell ref="I87:K88"/>
    <mergeCell ref="L87:O87"/>
    <mergeCell ref="B88:D88"/>
    <mergeCell ref="A99:G99"/>
    <mergeCell ref="A100:F100"/>
    <mergeCell ref="A101:F101"/>
    <mergeCell ref="B94:D94"/>
    <mergeCell ref="I94:K94"/>
    <mergeCell ref="B89:D89"/>
    <mergeCell ref="I89:K89"/>
    <mergeCell ref="B90:D90"/>
    <mergeCell ref="I90:K90"/>
    <mergeCell ref="B91:D91"/>
    <mergeCell ref="I91:K91"/>
    <mergeCell ref="B92:D92"/>
    <mergeCell ref="I92:K92"/>
    <mergeCell ref="B93:D93"/>
    <mergeCell ref="I93:K93"/>
    <mergeCell ref="B96:D96"/>
    <mergeCell ref="B97:D97"/>
    <mergeCell ref="B98:D98"/>
    <mergeCell ref="I96:K96"/>
    <mergeCell ref="I97:K97"/>
    <mergeCell ref="I98:K98"/>
    <mergeCell ref="B64:D64"/>
    <mergeCell ref="I64:K64"/>
    <mergeCell ref="B65:D65"/>
    <mergeCell ref="I65:K65"/>
    <mergeCell ref="B66:D66"/>
    <mergeCell ref="I66:K66"/>
    <mergeCell ref="B67:D67"/>
    <mergeCell ref="I67:K67"/>
    <mergeCell ref="A81:G81"/>
    <mergeCell ref="B68:D68"/>
    <mergeCell ref="I68:K68"/>
    <mergeCell ref="B69:D69"/>
    <mergeCell ref="B70:D70"/>
    <mergeCell ref="B71:D71"/>
    <mergeCell ref="B72:D72"/>
    <mergeCell ref="B73:D73"/>
    <mergeCell ref="B74:D74"/>
    <mergeCell ref="B75:D75"/>
    <mergeCell ref="B76:D76"/>
    <mergeCell ref="B77:D77"/>
    <mergeCell ref="B78:D78"/>
    <mergeCell ref="B79:D79"/>
    <mergeCell ref="B80:D80"/>
    <mergeCell ref="I69:K69"/>
    <mergeCell ref="B59:D59"/>
    <mergeCell ref="I59:K59"/>
    <mergeCell ref="B60:D60"/>
    <mergeCell ref="I60:K60"/>
    <mergeCell ref="B61:D61"/>
    <mergeCell ref="I61:K61"/>
    <mergeCell ref="B62:D62"/>
    <mergeCell ref="I62:K62"/>
    <mergeCell ref="B63:D63"/>
    <mergeCell ref="I63:K63"/>
    <mergeCell ref="B54:D54"/>
    <mergeCell ref="I54:K54"/>
    <mergeCell ref="B55:D55"/>
    <mergeCell ref="I55:K55"/>
    <mergeCell ref="B56:D56"/>
    <mergeCell ref="I56:K56"/>
    <mergeCell ref="B57:D57"/>
    <mergeCell ref="I57:K57"/>
    <mergeCell ref="B58:D58"/>
    <mergeCell ref="I58:K58"/>
    <mergeCell ref="B49:D49"/>
    <mergeCell ref="I49:K49"/>
    <mergeCell ref="B50:D50"/>
    <mergeCell ref="I50:K50"/>
    <mergeCell ref="B51:D51"/>
    <mergeCell ref="I51:K51"/>
    <mergeCell ref="B52:D52"/>
    <mergeCell ref="I52:K52"/>
    <mergeCell ref="B53:D53"/>
    <mergeCell ref="I53:K53"/>
    <mergeCell ref="B44:D44"/>
    <mergeCell ref="I44:K44"/>
    <mergeCell ref="B45:D45"/>
    <mergeCell ref="I45:K45"/>
    <mergeCell ref="B46:D46"/>
    <mergeCell ref="I46:K46"/>
    <mergeCell ref="B47:D47"/>
    <mergeCell ref="I47:K47"/>
    <mergeCell ref="B48:D48"/>
    <mergeCell ref="I48:K48"/>
    <mergeCell ref="B39:D39"/>
    <mergeCell ref="I39:K39"/>
    <mergeCell ref="B40:D40"/>
    <mergeCell ref="I40:K40"/>
    <mergeCell ref="B41:D41"/>
    <mergeCell ref="I41:K41"/>
    <mergeCell ref="B42:D42"/>
    <mergeCell ref="I42:K42"/>
    <mergeCell ref="B43:D43"/>
    <mergeCell ref="I43:K43"/>
    <mergeCell ref="B34:D34"/>
    <mergeCell ref="I34:K34"/>
    <mergeCell ref="B35:D35"/>
    <mergeCell ref="I35:K35"/>
    <mergeCell ref="B36:D36"/>
    <mergeCell ref="I36:K36"/>
    <mergeCell ref="B37:D37"/>
    <mergeCell ref="I37:K37"/>
    <mergeCell ref="B38:D38"/>
    <mergeCell ref="I38:K38"/>
    <mergeCell ref="B29:D29"/>
    <mergeCell ref="I29:K29"/>
    <mergeCell ref="B30:D30"/>
    <mergeCell ref="I30:K30"/>
    <mergeCell ref="B31:D31"/>
    <mergeCell ref="I31:K31"/>
    <mergeCell ref="B32:D32"/>
    <mergeCell ref="I32:K32"/>
    <mergeCell ref="B33:D33"/>
    <mergeCell ref="I33:K33"/>
    <mergeCell ref="T7:W9"/>
    <mergeCell ref="A18:G18"/>
    <mergeCell ref="I18:J18"/>
    <mergeCell ref="A21:B22"/>
    <mergeCell ref="A23:F24"/>
    <mergeCell ref="A27:A28"/>
    <mergeCell ref="B27:E27"/>
    <mergeCell ref="F27:H27"/>
    <mergeCell ref="I27:K28"/>
    <mergeCell ref="L27:O27"/>
    <mergeCell ref="B28:D28"/>
    <mergeCell ref="C2:S2"/>
    <mergeCell ref="C3:S3"/>
    <mergeCell ref="A4:C4"/>
    <mergeCell ref="D4:E4"/>
    <mergeCell ref="A5:C5"/>
    <mergeCell ref="A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I79:K79"/>
    <mergeCell ref="I80:K80"/>
    <mergeCell ref="B95:D95"/>
    <mergeCell ref="I95:K95"/>
    <mergeCell ref="B110:D110"/>
    <mergeCell ref="B111:D111"/>
    <mergeCell ref="I110:K110"/>
    <mergeCell ref="I111:K111"/>
    <mergeCell ref="I70:K70"/>
    <mergeCell ref="I71:K71"/>
    <mergeCell ref="I72:K72"/>
    <mergeCell ref="I73:K73"/>
    <mergeCell ref="I74:K74"/>
    <mergeCell ref="I75:K75"/>
    <mergeCell ref="I76:K76"/>
    <mergeCell ref="I77:K77"/>
    <mergeCell ref="I78:K78"/>
    <mergeCell ref="A82:F82"/>
    <mergeCell ref="A83:F83"/>
    <mergeCell ref="A84:F84"/>
    <mergeCell ref="A85:G85"/>
    <mergeCell ref="A87:A88"/>
    <mergeCell ref="B87:E87"/>
    <mergeCell ref="F87:H87"/>
  </mergeCells>
  <conditionalFormatting sqref="I29:I80">
    <cfRule type="containsText" dxfId="5" priority="8" operator="containsText" text="inferior">
      <formula>NOT(ISERROR(SEARCH("inferior",I29)))</formula>
    </cfRule>
    <cfRule type="containsText" dxfId="4" priority="9" operator="containsText" text="superior">
      <formula>NOT(ISERROR(SEARCH("superior",I29)))</formula>
    </cfRule>
  </conditionalFormatting>
  <conditionalFormatting sqref="I89:I98">
    <cfRule type="containsText" dxfId="3" priority="6" operator="containsText" text="inferior">
      <formula>NOT(ISERROR(SEARCH("inferior",I89)))</formula>
    </cfRule>
    <cfRule type="containsText" dxfId="2" priority="7" operator="containsText" text="superior">
      <formula>NOT(ISERROR(SEARCH("superior",I89)))</formula>
    </cfRule>
  </conditionalFormatting>
  <conditionalFormatting sqref="I107:I112">
    <cfRule type="containsText" dxfId="1" priority="4" operator="containsText" text="inferior">
      <formula>NOT(ISERROR(SEARCH("inferior",I107)))</formula>
    </cfRule>
    <cfRule type="containsText" dxfId="0" priority="5" operator="containsText" text="superior">
      <formula>NOT(ISERROR(SEARCH("superior",I107)))</formula>
    </cfRule>
  </conditionalFormatting>
  <dataValidations disablePrompts="1" count="5">
    <dataValidation type="list" allowBlank="1" showInputMessage="1" showErrorMessage="1" sqref="N29:N80" xr:uid="{00000000-0002-0000-0000-000000000000}">
      <formula1>"Mensal,Bimestral,Trimestral,Quadrimestral,Semestral,Anual,Bienal"</formula1>
      <formula2>0</formula2>
    </dataValidation>
    <dataValidation type="list" allowBlank="1" showInputMessage="1" showErrorMessage="1" sqref="D4:E4" xr:uid="{00000000-0002-0000-0000-000001000000}">
      <formula1>"PLANILHA PARA LICITAÇÃO (PRECIFICAÇÃO),PLANILHA PARA FATURAMENTO"</formula1>
      <formula2>0</formula2>
    </dataValidation>
    <dataValidation type="list" allowBlank="1" showInputMessage="1" showErrorMessage="1" sqref="D5" xr:uid="{00000000-0002-0000-0000-000002000000}">
      <formula1>$B$128:$B$130</formula1>
      <formula2>0</formula2>
    </dataValidation>
    <dataValidation type="list" allowBlank="1" showInputMessage="1" showErrorMessage="1" sqref="E11:E17" xr:uid="{00000000-0002-0000-0000-000003000000}">
      <formula1>"SIM,NÃO"</formula1>
      <formula2>0</formula2>
    </dataValidation>
    <dataValidation type="list" allowBlank="1" showInputMessage="1" showErrorMessage="1" sqref="C22" xr:uid="{00000000-0002-0000-0000-000004000000}">
      <formula1>$B$133:$B$139</formula1>
      <formula2>0</formula2>
    </dataValidation>
  </dataValidations>
  <pageMargins left="0.7" right="0.7" top="0.75" bottom="0.75" header="0.511811023622047" footer="0.511811023622047"/>
  <pageSetup paperSize="9" scale="2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K47"/>
  <sheetViews>
    <sheetView showGridLines="0" zoomScaleNormal="100" zoomScaleSheetLayoutView="100" zoomScalePageLayoutView="140" workbookViewId="0">
      <selection activeCell="G11" sqref="G11"/>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x14ac:dyDescent="0.25">
      <c r="A3" s="166"/>
      <c r="B3" s="320" t="str">
        <f>INSTRUÇÕES!B3</f>
        <v>Subseção Judiciária de Uberaba</v>
      </c>
      <c r="C3" s="58"/>
      <c r="D3" s="58"/>
      <c r="E3" s="58"/>
      <c r="F3" s="318"/>
      <c r="I3" s="318"/>
      <c r="J3" s="319"/>
    </row>
    <row r="4" spans="1:10" ht="19.5" customHeight="1" x14ac:dyDescent="0.25">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ht="36" customHeight="1" x14ac:dyDescent="0.25">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x14ac:dyDescent="0.25">
      <c r="A7" s="719" t="str">
        <f>Dados!C7</f>
        <v>Servente de Limpeza (40% Insalubridade)</v>
      </c>
      <c r="B7" s="719"/>
      <c r="C7" s="719"/>
      <c r="D7" s="719"/>
      <c r="E7" s="719"/>
      <c r="F7" s="720" t="s">
        <v>375</v>
      </c>
      <c r="G7" s="720" t="s">
        <v>376</v>
      </c>
      <c r="H7" s="720" t="s">
        <v>377</v>
      </c>
      <c r="I7" s="720" t="s">
        <v>378</v>
      </c>
      <c r="J7" s="720" t="s">
        <v>379</v>
      </c>
    </row>
    <row r="8" spans="1:10" ht="19.5" customHeight="1" x14ac:dyDescent="0.25">
      <c r="A8" s="721" t="s">
        <v>380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Servente de Limpeza (40% Insalubridade)</v>
      </c>
      <c r="C11" s="576"/>
      <c r="D11" s="28">
        <f>Dados!D7</f>
        <v>200</v>
      </c>
      <c r="E11" s="455">
        <f>Dados!E7</f>
        <v>1526.8</v>
      </c>
      <c r="F11" s="216">
        <f>ROUND(E11/220*D11,2)</f>
        <v>1388</v>
      </c>
      <c r="G11" s="216">
        <f>F11</f>
        <v>1388</v>
      </c>
      <c r="H11" s="216"/>
      <c r="I11" s="216"/>
      <c r="J11" s="456"/>
    </row>
    <row r="12" spans="1:10" ht="19.5" customHeight="1" x14ac:dyDescent="0.25">
      <c r="A12" s="725"/>
      <c r="B12" s="576" t="s">
        <v>385</v>
      </c>
      <c r="C12" s="576"/>
      <c r="D12" s="470">
        <f>Dados!G7</f>
        <v>0.4</v>
      </c>
      <c r="E12" s="455">
        <f>Dados!G30</f>
        <v>1412</v>
      </c>
      <c r="F12" s="216">
        <f>D12*E12</f>
        <v>564.80000000000007</v>
      </c>
      <c r="G12" s="216">
        <f>F12</f>
        <v>564.80000000000007</v>
      </c>
      <c r="H12" s="216"/>
      <c r="I12" s="216"/>
      <c r="J12" s="456">
        <f>F12</f>
        <v>564.80000000000007</v>
      </c>
    </row>
    <row r="13" spans="1:10" ht="20.25" customHeight="1" x14ac:dyDescent="0.25">
      <c r="A13" s="725"/>
      <c r="B13" s="489" t="s">
        <v>386</v>
      </c>
      <c r="C13" s="490">
        <f>Dados!I7</f>
        <v>0</v>
      </c>
      <c r="D13" s="490">
        <f>Dados!J7</f>
        <v>0</v>
      </c>
      <c r="E13" s="457">
        <f>Dados!K11</f>
        <v>2074</v>
      </c>
      <c r="F13" s="458">
        <f>ROUND((E13*D13*C13),2)</f>
        <v>0</v>
      </c>
      <c r="G13" s="458">
        <f>F13</f>
        <v>0</v>
      </c>
      <c r="H13" s="458"/>
      <c r="I13" s="458"/>
      <c r="J13" s="459"/>
    </row>
    <row r="14" spans="1:10" ht="19.5" customHeight="1" x14ac:dyDescent="0.25">
      <c r="A14" s="725"/>
      <c r="B14" s="726" t="s">
        <v>387</v>
      </c>
      <c r="C14" s="726"/>
      <c r="D14" s="726"/>
      <c r="E14" s="726"/>
      <c r="F14" s="460">
        <f>SUM(F11:F13)</f>
        <v>1952.8000000000002</v>
      </c>
      <c r="G14" s="460">
        <f>SUM(G11:G13)</f>
        <v>1952.8000000000002</v>
      </c>
      <c r="H14" s="460">
        <f>SUM(H11:H13)</f>
        <v>0</v>
      </c>
      <c r="I14" s="460">
        <f>SUM(I11:I13)</f>
        <v>0</v>
      </c>
      <c r="J14" s="461">
        <f>SUM(J11:J13)</f>
        <v>564.80000000000007</v>
      </c>
    </row>
    <row r="15" spans="1:10" ht="19.5" customHeight="1" x14ac:dyDescent="0.25">
      <c r="A15" s="725"/>
      <c r="B15" s="727" t="s">
        <v>388</v>
      </c>
      <c r="C15" s="727"/>
      <c r="D15" s="727"/>
      <c r="E15" s="491">
        <f>Encargos!$C$57</f>
        <v>0.76400000000000001</v>
      </c>
      <c r="F15" s="216">
        <f>ROUND((E15*F14),2)</f>
        <v>1491.94</v>
      </c>
      <c r="G15" s="216">
        <f>F15</f>
        <v>1491.94</v>
      </c>
      <c r="H15" s="216"/>
      <c r="I15" s="216"/>
      <c r="J15" s="456">
        <f>ROUND((E15*J14),2)</f>
        <v>431.51</v>
      </c>
    </row>
    <row r="16" spans="1:10" ht="19.5" customHeight="1" x14ac:dyDescent="0.25">
      <c r="A16" s="728" t="s">
        <v>389</v>
      </c>
      <c r="B16" s="728"/>
      <c r="C16" s="728"/>
      <c r="D16" s="728"/>
      <c r="E16" s="728"/>
      <c r="F16" s="462">
        <f>SUM(F14:F15)</f>
        <v>3444.7400000000002</v>
      </c>
      <c r="G16" s="462">
        <f>SUM(G14:G15)</f>
        <v>3444.7400000000002</v>
      </c>
      <c r="H16" s="462">
        <f>SUM(H14:H15)</f>
        <v>0</v>
      </c>
      <c r="I16" s="462">
        <f>SUM(I14:I15)</f>
        <v>0</v>
      </c>
      <c r="J16" s="463">
        <f>SUM(J14:J15)</f>
        <v>996.31000000000006</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392</v>
      </c>
      <c r="E18" s="731"/>
      <c r="F18" s="732" t="s">
        <v>353</v>
      </c>
      <c r="G18" s="732"/>
      <c r="H18" s="732"/>
      <c r="I18" s="732"/>
      <c r="J18" s="732"/>
    </row>
    <row r="19" spans="1:12" ht="19.5" customHeight="1" x14ac:dyDescent="0.25">
      <c r="A19" s="733" t="s">
        <v>393</v>
      </c>
      <c r="B19" s="733"/>
      <c r="C19" s="464"/>
      <c r="D19" s="464"/>
      <c r="E19" s="464"/>
      <c r="F19" s="216">
        <f>Dados!$N$7</f>
        <v>36.090000000000003</v>
      </c>
      <c r="G19" s="216">
        <f>F19</f>
        <v>36.090000000000003</v>
      </c>
      <c r="H19" s="216"/>
      <c r="I19" s="216"/>
      <c r="J19" s="456"/>
    </row>
    <row r="20" spans="1:12" ht="19.5" customHeight="1" x14ac:dyDescent="0.25">
      <c r="A20" s="733" t="s">
        <v>394</v>
      </c>
      <c r="B20" s="733"/>
      <c r="C20" s="464"/>
      <c r="D20" s="464"/>
      <c r="E20" s="464"/>
      <c r="F20" s="216">
        <f>Dados!$G$33</f>
        <v>7.2</v>
      </c>
      <c r="G20" s="216">
        <f>F20</f>
        <v>7.2</v>
      </c>
      <c r="H20" s="216"/>
      <c r="I20" s="216"/>
      <c r="J20" s="456"/>
    </row>
    <row r="21" spans="1:12" ht="23.25" customHeight="1" x14ac:dyDescent="0.25">
      <c r="A21" s="734" t="s">
        <v>194</v>
      </c>
      <c r="B21" s="734"/>
      <c r="C21" s="464"/>
      <c r="D21" s="464"/>
      <c r="E21" s="464"/>
      <c r="F21" s="216">
        <f>Dados!G34</f>
        <v>0</v>
      </c>
      <c r="G21" s="216">
        <f>F21</f>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125.72</v>
      </c>
      <c r="G22" s="216">
        <f>F22</f>
        <v>125.72</v>
      </c>
      <c r="H22" s="216"/>
      <c r="I22" s="216">
        <f>F22</f>
        <v>125.72</v>
      </c>
      <c r="J22" s="456"/>
    </row>
    <row r="23" spans="1:12" ht="19.5" customHeight="1" x14ac:dyDescent="0.25">
      <c r="A23" s="733" t="s">
        <v>204</v>
      </c>
      <c r="B23" s="733"/>
      <c r="C23" s="321">
        <f>Dados!$G$40</f>
        <v>22</v>
      </c>
      <c r="D23" s="322">
        <f>Dados!$G$41</f>
        <v>0.2</v>
      </c>
      <c r="E23" s="464">
        <f>Dados!$G$39</f>
        <v>27</v>
      </c>
      <c r="F23" s="241">
        <f>ROUND((IF(D11&gt;150,((C23*E23)-(C23*(D23*E23))),0)),2)</f>
        <v>475.2</v>
      </c>
      <c r="G23" s="216">
        <f>F23</f>
        <v>475.2</v>
      </c>
      <c r="H23" s="216">
        <f>$F$23</f>
        <v>475.2</v>
      </c>
      <c r="I23" s="241"/>
      <c r="J23" s="456"/>
    </row>
    <row r="24" spans="1:12" ht="19.5" customHeight="1" x14ac:dyDescent="0.25">
      <c r="A24" s="733" t="s">
        <v>207</v>
      </c>
      <c r="B24" s="733"/>
      <c r="C24" s="321"/>
      <c r="D24" s="321"/>
      <c r="E24" s="464"/>
      <c r="F24" s="241">
        <f>Dados!$G$42</f>
        <v>0</v>
      </c>
      <c r="G24" s="216"/>
      <c r="H24" s="216"/>
      <c r="I24" s="241"/>
      <c r="J24" s="456"/>
    </row>
    <row r="25" spans="1:12" ht="19.5" customHeight="1" x14ac:dyDescent="0.25">
      <c r="A25" s="733" t="s">
        <v>514</v>
      </c>
      <c r="B25" s="733"/>
      <c r="C25" s="321"/>
      <c r="D25" s="321"/>
      <c r="E25" s="464"/>
      <c r="F25" s="241">
        <f>Dados!R7</f>
        <v>4.1714285714285717</v>
      </c>
      <c r="G25" s="216">
        <f>F25</f>
        <v>4.1714285714285717</v>
      </c>
      <c r="H25" s="216"/>
      <c r="I25" s="241"/>
      <c r="J25" s="456"/>
    </row>
    <row r="26" spans="1:12" ht="19.5" customHeight="1" x14ac:dyDescent="0.25">
      <c r="A26" s="733" t="s">
        <v>395</v>
      </c>
      <c r="B26" s="733"/>
      <c r="C26" s="321"/>
      <c r="D26" s="464"/>
      <c r="E26" s="464"/>
      <c r="F26" s="216">
        <f>Dados!$O$7</f>
        <v>808.16</v>
      </c>
      <c r="G26" s="216"/>
      <c r="H26" s="216"/>
      <c r="I26" s="216"/>
      <c r="J26" s="456"/>
      <c r="L26" s="58"/>
    </row>
    <row r="27" spans="1:12" ht="19.5" customHeight="1" x14ac:dyDescent="0.25">
      <c r="A27" s="465" t="s">
        <v>396</v>
      </c>
      <c r="B27" s="466"/>
      <c r="C27" s="321"/>
      <c r="D27" s="464"/>
      <c r="E27" s="464"/>
      <c r="F27" s="216"/>
      <c r="G27" s="216"/>
      <c r="H27" s="216"/>
      <c r="I27" s="216"/>
      <c r="J27" s="456"/>
    </row>
    <row r="28" spans="1:12" ht="19.5" customHeight="1" x14ac:dyDescent="0.25">
      <c r="A28" s="735" t="s">
        <v>397</v>
      </c>
      <c r="B28" s="735"/>
      <c r="C28" s="323"/>
      <c r="D28" s="467"/>
      <c r="E28" s="467"/>
      <c r="F28" s="458">
        <f>Dados!$S$7</f>
        <v>6.6478571428571431</v>
      </c>
      <c r="G28" s="458">
        <f>F28</f>
        <v>6.6478571428571431</v>
      </c>
      <c r="H28" s="458"/>
      <c r="I28" s="458"/>
      <c r="J28" s="459"/>
    </row>
    <row r="29" spans="1:12" ht="19.5" customHeight="1" x14ac:dyDescent="0.25">
      <c r="A29" s="736" t="s">
        <v>398</v>
      </c>
      <c r="B29" s="736"/>
      <c r="C29" s="736"/>
      <c r="D29" s="736"/>
      <c r="E29" s="736"/>
      <c r="F29" s="462">
        <f>SUM(F19:F28)</f>
        <v>1463.1892857142859</v>
      </c>
      <c r="G29" s="462">
        <f>SUM(G19:G28)</f>
        <v>655.02928571428572</v>
      </c>
      <c r="H29" s="462">
        <f>SUM(H19:H28)</f>
        <v>475.2</v>
      </c>
      <c r="I29" s="462">
        <f>SUM(I19:I28)</f>
        <v>125.72</v>
      </c>
      <c r="J29" s="463">
        <f>SUM(J19:J28)</f>
        <v>0</v>
      </c>
    </row>
    <row r="30" spans="1:12" ht="19.5" customHeight="1" x14ac:dyDescent="0.25">
      <c r="A30" s="736" t="s">
        <v>399</v>
      </c>
      <c r="B30" s="736"/>
      <c r="C30" s="736"/>
      <c r="D30" s="736"/>
      <c r="E30" s="736"/>
      <c r="F30" s="462">
        <f>F16+F29</f>
        <v>4907.9292857142864</v>
      </c>
      <c r="G30" s="462">
        <f>G16+G29</f>
        <v>4099.7692857142856</v>
      </c>
      <c r="H30" s="462">
        <f>H16+H29</f>
        <v>475.2</v>
      </c>
      <c r="I30" s="462">
        <f>I16+I29</f>
        <v>125.72</v>
      </c>
      <c r="J30" s="463">
        <f>J16+J29</f>
        <v>996.31000000000006</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147.24</v>
      </c>
      <c r="G33" s="216">
        <f>ROUND((G30*$D$33),2)</f>
        <v>122.99</v>
      </c>
      <c r="H33" s="216">
        <f>ROUND((H30*$D$33),2)</f>
        <v>14.26</v>
      </c>
      <c r="I33" s="216">
        <f>ROUND((I30*$D$33),2)</f>
        <v>3.77</v>
      </c>
      <c r="J33" s="456">
        <f>ROUND((J30*$D$33),2)</f>
        <v>29.89</v>
      </c>
    </row>
    <row r="34" spans="1:12" ht="19.5" customHeight="1" x14ac:dyDescent="0.25">
      <c r="A34" s="738" t="s">
        <v>404</v>
      </c>
      <c r="B34" s="738"/>
      <c r="C34" s="738"/>
      <c r="D34" s="470"/>
      <c r="E34" s="471"/>
      <c r="F34" s="216">
        <f>F30+F33</f>
        <v>5055.1692857142862</v>
      </c>
      <c r="G34" s="216">
        <f>G30+G33</f>
        <v>4222.7592857142854</v>
      </c>
      <c r="H34" s="216">
        <f>H30+H33</f>
        <v>489.46</v>
      </c>
      <c r="I34" s="216">
        <f>I30+I33</f>
        <v>129.49</v>
      </c>
      <c r="J34" s="456">
        <f>J30+J33</f>
        <v>1026.2</v>
      </c>
    </row>
    <row r="35" spans="1:12" ht="19.5" customHeight="1" x14ac:dyDescent="0.25">
      <c r="A35" s="472" t="s">
        <v>212</v>
      </c>
      <c r="B35" s="473"/>
      <c r="C35" s="473"/>
      <c r="D35" s="474">
        <f>Dados!$G$47</f>
        <v>6.7900000000000002E-2</v>
      </c>
      <c r="E35" s="475"/>
      <c r="F35" s="458">
        <f>ROUND((F34*$D$35),2)</f>
        <v>343.25</v>
      </c>
      <c r="G35" s="458">
        <f>ROUND((G34*$D$35),2)</f>
        <v>286.73</v>
      </c>
      <c r="H35" s="458">
        <f>ROUND((H34*$D$35),2)</f>
        <v>33.229999999999997</v>
      </c>
      <c r="I35" s="458">
        <f>ROUND((I34*$D$35),2)</f>
        <v>8.7899999999999991</v>
      </c>
      <c r="J35" s="459">
        <f>ROUND((J34*$D$35),2)</f>
        <v>69.680000000000007</v>
      </c>
    </row>
    <row r="36" spans="1:12" ht="19.5" customHeight="1" x14ac:dyDescent="0.25">
      <c r="A36" s="476" t="s">
        <v>405</v>
      </c>
      <c r="B36" s="477"/>
      <c r="C36" s="477"/>
      <c r="D36" s="478">
        <f>SUM(D33:D35)</f>
        <v>9.7900000000000001E-2</v>
      </c>
      <c r="E36" s="479"/>
      <c r="F36" s="462">
        <f>F33+F35</f>
        <v>490.49</v>
      </c>
      <c r="G36" s="462">
        <f>G33+G35</f>
        <v>409.72</v>
      </c>
      <c r="H36" s="462">
        <f>H33+H35</f>
        <v>47.489999999999995</v>
      </c>
      <c r="I36" s="462">
        <f>I33+I35</f>
        <v>12.559999999999999</v>
      </c>
      <c r="J36" s="463">
        <f>J33+J35</f>
        <v>99.570000000000007</v>
      </c>
    </row>
    <row r="37" spans="1:12" ht="19.5" customHeight="1" x14ac:dyDescent="0.25">
      <c r="A37" s="739" t="s">
        <v>406</v>
      </c>
      <c r="B37" s="739"/>
      <c r="C37" s="739"/>
      <c r="D37" s="739"/>
      <c r="E37" s="739"/>
      <c r="F37" s="480">
        <f>F30+F36</f>
        <v>5398.4192857142862</v>
      </c>
      <c r="G37" s="480">
        <f>G30+G36</f>
        <v>4509.4892857142859</v>
      </c>
      <c r="H37" s="480">
        <f>H30+H36</f>
        <v>522.68999999999994</v>
      </c>
      <c r="I37" s="480">
        <f>I30+I36</f>
        <v>138.28</v>
      </c>
      <c r="J37" s="481">
        <f>J30+J36</f>
        <v>1095.8800000000001</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467.56</v>
      </c>
      <c r="G39" s="216">
        <f>ROUND((G45*$D$39),2)</f>
        <v>390.57</v>
      </c>
      <c r="H39" s="216">
        <f>ROUND((H45*$D$39),2)</f>
        <v>45.27</v>
      </c>
      <c r="I39" s="216">
        <f>ROUND((I45*$D$39),2)</f>
        <v>11.98</v>
      </c>
      <c r="J39" s="456">
        <f>ROUND((J45*$D$39),2)</f>
        <v>94.91</v>
      </c>
    </row>
    <row r="40" spans="1:12" ht="19.5" customHeight="1" x14ac:dyDescent="0.25">
      <c r="A40" s="733" t="s">
        <v>220</v>
      </c>
      <c r="B40" s="733"/>
      <c r="C40" s="733"/>
      <c r="D40" s="470">
        <f>Dados!G55</f>
        <v>1.6500000000000001E-2</v>
      </c>
      <c r="E40" s="216"/>
      <c r="F40" s="216">
        <f>ROUND((F45*$D$40),2)</f>
        <v>101.51</v>
      </c>
      <c r="G40" s="216">
        <f>ROUND((G45*$D$40),2)</f>
        <v>84.79</v>
      </c>
      <c r="H40" s="216">
        <f>ROUND((H45*$D$40),2)</f>
        <v>9.83</v>
      </c>
      <c r="I40" s="216">
        <f>ROUND((I45*$D$40),2)</f>
        <v>2.6</v>
      </c>
      <c r="J40" s="456">
        <f>ROUND((J45*$D$40),2)</f>
        <v>20.61</v>
      </c>
    </row>
    <row r="41" spans="1:12" ht="19.5" customHeight="1" x14ac:dyDescent="0.25">
      <c r="A41" s="733" t="s">
        <v>221</v>
      </c>
      <c r="B41" s="733"/>
      <c r="C41" s="733"/>
      <c r="D41" s="470">
        <f>Dados!G56</f>
        <v>0.03</v>
      </c>
      <c r="E41" s="216"/>
      <c r="F41" s="216">
        <f>ROUND((F45*$D$41),2)</f>
        <v>184.56</v>
      </c>
      <c r="G41" s="216">
        <f>ROUND((G45*$D$41),2)</f>
        <v>154.16999999999999</v>
      </c>
      <c r="H41" s="216">
        <f>ROUND((H45*$D$41),2)</f>
        <v>17.87</v>
      </c>
      <c r="I41" s="216">
        <f>ROUND((I45*$D$41),2)</f>
        <v>4.7300000000000004</v>
      </c>
      <c r="J41" s="456">
        <f>ROUND((J45*$D$41),2)</f>
        <v>37.47</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753.63000000000011</v>
      </c>
      <c r="G43" s="484">
        <f>SUM(G39:G42)</f>
        <v>629.53</v>
      </c>
      <c r="H43" s="484">
        <f>SUM(H39:H42)</f>
        <v>72.97</v>
      </c>
      <c r="I43" s="484">
        <f>SUM(I39:I42)</f>
        <v>19.310000000000002</v>
      </c>
      <c r="J43" s="485">
        <f>SUM(J39:J41)</f>
        <v>152.99</v>
      </c>
    </row>
    <row r="44" spans="1:12" ht="19.5" customHeight="1" x14ac:dyDescent="0.25">
      <c r="A44" s="743" t="str">
        <f>CONCATENATE("Custo Mensal - ",A7)</f>
        <v>Custo Mensal - Servente de Limpeza (40% Insalubridade)</v>
      </c>
      <c r="B44" s="743"/>
      <c r="C44" s="743"/>
      <c r="D44" s="743"/>
      <c r="E44" s="743"/>
      <c r="F44" s="486">
        <f>ROUND(F37/(1-D43),2)</f>
        <v>6152.04</v>
      </c>
      <c r="G44" s="486">
        <f>ROUND(G37/(1-D43),2)</f>
        <v>5139.0200000000004</v>
      </c>
      <c r="H44" s="486">
        <f>ROUND(H37/(1-D43),2)</f>
        <v>595.66</v>
      </c>
      <c r="I44" s="486">
        <f>ROUND(I37/(1-D43),2)</f>
        <v>157.58000000000001</v>
      </c>
      <c r="J44" s="487">
        <f>ROUND(J37/(1-D43),2)</f>
        <v>1248.8699999999999</v>
      </c>
    </row>
    <row r="45" spans="1:12" ht="19.5" customHeight="1" x14ac:dyDescent="0.25">
      <c r="A45" s="744" t="str">
        <f>CONCATENATE("Valor do Custo Mensal - ",A7)</f>
        <v>Valor do Custo Mensal - Servente de Limpeza (40% Insalubridade)</v>
      </c>
      <c r="B45" s="744"/>
      <c r="C45" s="744"/>
      <c r="D45" s="744"/>
      <c r="E45" s="744"/>
      <c r="F45" s="486">
        <f>F44</f>
        <v>6152.04</v>
      </c>
      <c r="G45" s="486">
        <f>G44</f>
        <v>5139.0200000000004</v>
      </c>
      <c r="H45" s="486">
        <f>H44</f>
        <v>595.66</v>
      </c>
      <c r="I45" s="486">
        <f>I44</f>
        <v>157.58000000000001</v>
      </c>
      <c r="J45" s="487">
        <f>J44</f>
        <v>1248.8699999999999</v>
      </c>
      <c r="K45" s="324"/>
      <c r="L45" s="324"/>
    </row>
    <row r="46" spans="1:12" ht="27.75" customHeight="1" x14ac:dyDescent="0.25">
      <c r="A46" s="745" t="s">
        <v>409</v>
      </c>
      <c r="B46" s="745"/>
      <c r="C46" s="745"/>
      <c r="D46" s="745"/>
      <c r="E46" s="745"/>
      <c r="F46" s="488">
        <f>(F45/F14)</f>
        <v>3.1503687013519048</v>
      </c>
      <c r="G46" s="488">
        <f>(G45/G14)</f>
        <v>2.6316161409258498</v>
      </c>
      <c r="H46" s="741" t="s">
        <v>410</v>
      </c>
      <c r="I46" s="741"/>
      <c r="J46" s="325">
        <f>ROUND((J45/30),2)</f>
        <v>41.63</v>
      </c>
    </row>
    <row r="47" spans="1:12" ht="19.5" customHeight="1" x14ac:dyDescent="0.25"/>
  </sheetData>
  <sheetProtection algorithmName="SHA-512" hashValue="tp5hYFr7EqD+5Jpo9uG2Fp9oW46d0KWoNjEESUwWmyhrQx6CV4TZlVysqTSst4yf0VVHV8n6uO+u/F27SDRAIg==" saltValue="9aL6ijn18xGuNXXSSq0+Zw==" spinCount="100000" sheet="1" objects="1" scenarios="1"/>
  <mergeCells count="49">
    <mergeCell ref="H46:I46"/>
    <mergeCell ref="A42:C42"/>
    <mergeCell ref="A43:C43"/>
    <mergeCell ref="A44:E44"/>
    <mergeCell ref="A45:E45"/>
    <mergeCell ref="A46:E46"/>
    <mergeCell ref="A37:E37"/>
    <mergeCell ref="A38:J38"/>
    <mergeCell ref="A39:C39"/>
    <mergeCell ref="A40:C40"/>
    <mergeCell ref="A41:C41"/>
    <mergeCell ref="A30:E30"/>
    <mergeCell ref="A31:J31"/>
    <mergeCell ref="A32:C32"/>
    <mergeCell ref="E32:J32"/>
    <mergeCell ref="A34:C34"/>
    <mergeCell ref="A24:B24"/>
    <mergeCell ref="A25:B25"/>
    <mergeCell ref="A26:B26"/>
    <mergeCell ref="A28:B28"/>
    <mergeCell ref="A29:E29"/>
    <mergeCell ref="A19:B19"/>
    <mergeCell ref="A20:B20"/>
    <mergeCell ref="A21:B21"/>
    <mergeCell ref="A22:B22"/>
    <mergeCell ref="A23:B23"/>
    <mergeCell ref="A16:E16"/>
    <mergeCell ref="A17:J17"/>
    <mergeCell ref="A18:B18"/>
    <mergeCell ref="D18:E18"/>
    <mergeCell ref="F18:J18"/>
    <mergeCell ref="A9:J9"/>
    <mergeCell ref="B10:C10"/>
    <mergeCell ref="F10:J10"/>
    <mergeCell ref="A11:A15"/>
    <mergeCell ref="B11:C11"/>
    <mergeCell ref="B12:C12"/>
    <mergeCell ref="B14:E14"/>
    <mergeCell ref="B15:D15"/>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K47"/>
  <sheetViews>
    <sheetView showGridLines="0" zoomScaleNormal="100" zoomScaleSheetLayoutView="100" zoomScalePageLayoutView="140" workbookViewId="0">
      <selection activeCell="F26" sqref="F26"/>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x14ac:dyDescent="0.25">
      <c r="A3" s="166"/>
      <c r="B3" s="320" t="str">
        <f>INSTRUÇÕES!B3</f>
        <v>Subseção Judiciária de Uberaba</v>
      </c>
      <c r="C3" s="58"/>
      <c r="D3" s="58"/>
      <c r="E3" s="58"/>
      <c r="F3" s="318"/>
      <c r="I3" s="318"/>
      <c r="J3" s="319"/>
    </row>
    <row r="4" spans="1:10" ht="19.5" customHeight="1" x14ac:dyDescent="0.25">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ht="36" customHeight="1" x14ac:dyDescent="0.25">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x14ac:dyDescent="0.25">
      <c r="A7" s="719" t="str">
        <f>Dados!C8</f>
        <v xml:space="preserve">Servente de Limpeza  </v>
      </c>
      <c r="B7" s="719"/>
      <c r="C7" s="719"/>
      <c r="D7" s="719"/>
      <c r="E7" s="719"/>
      <c r="F7" s="720" t="s">
        <v>375</v>
      </c>
      <c r="G7" s="720" t="s">
        <v>376</v>
      </c>
      <c r="H7" s="720" t="s">
        <v>377</v>
      </c>
      <c r="I7" s="720" t="s">
        <v>378</v>
      </c>
      <c r="J7" s="720" t="s">
        <v>379</v>
      </c>
    </row>
    <row r="8" spans="1:10" ht="19.5" customHeight="1" x14ac:dyDescent="0.25">
      <c r="A8" s="721" t="s">
        <v>380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 xml:space="preserve">Servente de Limpeza  </v>
      </c>
      <c r="C11" s="576"/>
      <c r="D11" s="28">
        <f>Dados!D8</f>
        <v>200</v>
      </c>
      <c r="E11" s="455">
        <f>Dados!E8</f>
        <v>1526.8</v>
      </c>
      <c r="F11" s="216">
        <f>ROUND(E11/220*D11,2)</f>
        <v>1388</v>
      </c>
      <c r="G11" s="216">
        <f>F11</f>
        <v>1388</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21" customHeight="1" x14ac:dyDescent="0.25">
      <c r="A13" s="725"/>
      <c r="B13" s="489" t="s">
        <v>386</v>
      </c>
      <c r="C13" s="490">
        <f>Dados!I8</f>
        <v>0</v>
      </c>
      <c r="D13" s="490">
        <f>Dados!J8</f>
        <v>0</v>
      </c>
      <c r="E13" s="457">
        <f>Dados!K8</f>
        <v>0</v>
      </c>
      <c r="F13" s="458">
        <f>ROUND((E13*D13*C13),2)</f>
        <v>0</v>
      </c>
      <c r="G13" s="458">
        <f>F13</f>
        <v>0</v>
      </c>
      <c r="H13" s="458"/>
      <c r="I13" s="458"/>
      <c r="J13" s="459"/>
    </row>
    <row r="14" spans="1:10" ht="19.5" customHeight="1" x14ac:dyDescent="0.25">
      <c r="A14" s="725"/>
      <c r="B14" s="726" t="s">
        <v>387</v>
      </c>
      <c r="C14" s="726"/>
      <c r="D14" s="726"/>
      <c r="E14" s="726"/>
      <c r="F14" s="460">
        <f>SUM(F11:F13)</f>
        <v>1388</v>
      </c>
      <c r="G14" s="460">
        <f>SUM(G11:G13)</f>
        <v>1388</v>
      </c>
      <c r="H14" s="460">
        <f>SUM(H11:H13)</f>
        <v>0</v>
      </c>
      <c r="I14" s="460">
        <f>SUM(I11:I13)</f>
        <v>0</v>
      </c>
      <c r="J14" s="461">
        <f>SUM(J11:J13)</f>
        <v>0</v>
      </c>
    </row>
    <row r="15" spans="1:10" ht="19.5" customHeight="1" x14ac:dyDescent="0.25">
      <c r="A15" s="725"/>
      <c r="B15" s="727" t="s">
        <v>388</v>
      </c>
      <c r="C15" s="727"/>
      <c r="D15" s="727"/>
      <c r="E15" s="491">
        <f>Encargos!$C$57</f>
        <v>0.76400000000000001</v>
      </c>
      <c r="F15" s="216">
        <f>ROUND((E15*F14),2)</f>
        <v>1060.43</v>
      </c>
      <c r="G15" s="216">
        <f>F15</f>
        <v>1060.43</v>
      </c>
      <c r="H15" s="216"/>
      <c r="I15" s="216"/>
      <c r="J15" s="456">
        <f>ROUND((E15*J14),2)</f>
        <v>0</v>
      </c>
    </row>
    <row r="16" spans="1:10" ht="19.5" customHeight="1" x14ac:dyDescent="0.25">
      <c r="A16" s="728" t="s">
        <v>389</v>
      </c>
      <c r="B16" s="728"/>
      <c r="C16" s="728"/>
      <c r="D16" s="728"/>
      <c r="E16" s="728"/>
      <c r="F16" s="462">
        <f>SUM(F14:F15)</f>
        <v>2448.4300000000003</v>
      </c>
      <c r="G16" s="462">
        <f>SUM(G14:G15)</f>
        <v>2448.4300000000003</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Dados!$N$8</f>
        <v>36.090000000000003</v>
      </c>
      <c r="G19" s="216">
        <f t="shared" ref="G19:G24" si="0">F19</f>
        <v>36.090000000000003</v>
      </c>
      <c r="H19" s="216"/>
      <c r="I19" s="216"/>
      <c r="J19" s="456"/>
    </row>
    <row r="20" spans="1:12" ht="19.5" customHeight="1" x14ac:dyDescent="0.25">
      <c r="A20" s="733" t="s">
        <v>394</v>
      </c>
      <c r="B20" s="733"/>
      <c r="C20" s="464"/>
      <c r="D20" s="464"/>
      <c r="E20" s="464"/>
      <c r="F20" s="216">
        <f>Dados!$G$33</f>
        <v>7.2</v>
      </c>
      <c r="G20" s="216">
        <f t="shared" si="0"/>
        <v>7.2</v>
      </c>
      <c r="H20" s="216"/>
      <c r="I20" s="216"/>
      <c r="J20" s="456"/>
    </row>
    <row r="21" spans="1:12" ht="23.25" customHeight="1" x14ac:dyDescent="0.25">
      <c r="A21" s="734" t="s">
        <v>194</v>
      </c>
      <c r="B21" s="734"/>
      <c r="C21" s="464"/>
      <c r="D21" s="464"/>
      <c r="E21" s="464"/>
      <c r="F21" s="216">
        <f>Dados!G34</f>
        <v>0</v>
      </c>
      <c r="G21" s="216">
        <f t="shared" si="0"/>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125.72</v>
      </c>
      <c r="G22" s="216">
        <f t="shared" si="0"/>
        <v>125.72</v>
      </c>
      <c r="H22" s="216"/>
      <c r="I22" s="216">
        <f>F22</f>
        <v>125.72</v>
      </c>
      <c r="J22" s="456"/>
    </row>
    <row r="23" spans="1:12" ht="19.5" customHeight="1" x14ac:dyDescent="0.25">
      <c r="A23" s="733" t="s">
        <v>204</v>
      </c>
      <c r="B23" s="733"/>
      <c r="C23" s="321">
        <f>Dados!G40</f>
        <v>22</v>
      </c>
      <c r="D23" s="322">
        <f>Dados!G41</f>
        <v>0.2</v>
      </c>
      <c r="E23" s="464">
        <f>Dados!$G$39</f>
        <v>27</v>
      </c>
      <c r="F23" s="241">
        <f>ROUND((IF(D11&gt;150,((C23*E23)-(C23*(D23*E23))),0)),2)</f>
        <v>475.2</v>
      </c>
      <c r="G23" s="216">
        <f t="shared" si="0"/>
        <v>475.2</v>
      </c>
      <c r="H23" s="216">
        <f>$F$23</f>
        <v>475.2</v>
      </c>
      <c r="I23" s="241"/>
      <c r="J23" s="456"/>
    </row>
    <row r="24" spans="1:12" ht="19.5" customHeight="1" x14ac:dyDescent="0.25">
      <c r="A24" s="733" t="s">
        <v>514</v>
      </c>
      <c r="B24" s="733"/>
      <c r="C24" s="321"/>
      <c r="D24" s="321"/>
      <c r="E24" s="464"/>
      <c r="F24" s="241">
        <f>Dados!R8</f>
        <v>4.1714285714285717</v>
      </c>
      <c r="G24" s="216">
        <f t="shared" si="0"/>
        <v>4.1714285714285717</v>
      </c>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395</v>
      </c>
      <c r="B26" s="733"/>
      <c r="C26" s="321"/>
      <c r="D26" s="464"/>
      <c r="E26" s="464"/>
      <c r="F26" s="216">
        <f>Dados!$O$8</f>
        <v>808.16</v>
      </c>
      <c r="G26" s="216"/>
      <c r="H26" s="216"/>
      <c r="I26" s="216"/>
      <c r="J26" s="456"/>
      <c r="L26" s="58"/>
    </row>
    <row r="27" spans="1:12" ht="19.5" customHeight="1" x14ac:dyDescent="0.25">
      <c r="A27" s="465" t="s">
        <v>396</v>
      </c>
      <c r="B27" s="466"/>
      <c r="C27" s="321"/>
      <c r="D27" s="464"/>
      <c r="E27" s="464"/>
      <c r="F27" s="216"/>
      <c r="G27" s="216"/>
      <c r="H27" s="216"/>
      <c r="I27" s="216"/>
      <c r="J27" s="456"/>
    </row>
    <row r="28" spans="1:12" ht="19.5" customHeight="1" x14ac:dyDescent="0.25">
      <c r="A28" s="735" t="s">
        <v>397</v>
      </c>
      <c r="B28" s="735"/>
      <c r="C28" s="323"/>
      <c r="D28" s="467"/>
      <c r="E28" s="467"/>
      <c r="F28" s="458">
        <f>Dados!$S$8</f>
        <v>6.6478571428571431</v>
      </c>
      <c r="G28" s="458">
        <f>F28</f>
        <v>6.6478571428571431</v>
      </c>
      <c r="H28" s="458"/>
      <c r="I28" s="458"/>
      <c r="J28" s="459"/>
    </row>
    <row r="29" spans="1:12" ht="19.5" customHeight="1" x14ac:dyDescent="0.25">
      <c r="A29" s="736" t="s">
        <v>398</v>
      </c>
      <c r="B29" s="736"/>
      <c r="C29" s="736"/>
      <c r="D29" s="736"/>
      <c r="E29" s="736"/>
      <c r="F29" s="462">
        <f>SUM(F19:F28)</f>
        <v>1463.1892857142859</v>
      </c>
      <c r="G29" s="462">
        <f>SUM(G19:G28)</f>
        <v>655.02928571428572</v>
      </c>
      <c r="H29" s="462">
        <f>SUM(H19:H28)</f>
        <v>475.2</v>
      </c>
      <c r="I29" s="462">
        <f>SUM(I19:I28)</f>
        <v>125.72</v>
      </c>
      <c r="J29" s="463">
        <f>SUM(J19:J28)</f>
        <v>0</v>
      </c>
    </row>
    <row r="30" spans="1:12" ht="19.5" customHeight="1" x14ac:dyDescent="0.25">
      <c r="A30" s="736" t="s">
        <v>399</v>
      </c>
      <c r="B30" s="736"/>
      <c r="C30" s="736"/>
      <c r="D30" s="736"/>
      <c r="E30" s="736"/>
      <c r="F30" s="462">
        <f>F16+F29</f>
        <v>3911.619285714286</v>
      </c>
      <c r="G30" s="462">
        <f>G16+G29</f>
        <v>3103.4592857142861</v>
      </c>
      <c r="H30" s="462">
        <f>H16+H29</f>
        <v>475.2</v>
      </c>
      <c r="I30" s="462">
        <f>I16+I29</f>
        <v>125.72</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117.35</v>
      </c>
      <c r="G33" s="216">
        <f>ROUND((G30*$D$33),2)</f>
        <v>93.1</v>
      </c>
      <c r="H33" s="216">
        <f>ROUND((H30*$D$33),2)</f>
        <v>14.26</v>
      </c>
      <c r="I33" s="216">
        <f>ROUND((I30*$D$33),2)</f>
        <v>3.77</v>
      </c>
      <c r="J33" s="456">
        <f>ROUND((J30*$D$33),2)</f>
        <v>0</v>
      </c>
    </row>
    <row r="34" spans="1:12" ht="19.5" customHeight="1" x14ac:dyDescent="0.25">
      <c r="A34" s="738" t="s">
        <v>404</v>
      </c>
      <c r="B34" s="738"/>
      <c r="C34" s="738"/>
      <c r="D34" s="470"/>
      <c r="E34" s="471"/>
      <c r="F34" s="216">
        <f>F30+F33</f>
        <v>4028.9692857142859</v>
      </c>
      <c r="G34" s="216">
        <f>G30+G33</f>
        <v>3196.559285714286</v>
      </c>
      <c r="H34" s="216">
        <f>H30+H33</f>
        <v>489.46</v>
      </c>
      <c r="I34" s="216">
        <f>I30+I33</f>
        <v>129.49</v>
      </c>
      <c r="J34" s="456">
        <f>J30+J33</f>
        <v>0</v>
      </c>
    </row>
    <row r="35" spans="1:12" ht="19.5" customHeight="1" x14ac:dyDescent="0.25">
      <c r="A35" s="472" t="s">
        <v>212</v>
      </c>
      <c r="B35" s="473"/>
      <c r="C35" s="473"/>
      <c r="D35" s="474">
        <f>Dados!$G$47</f>
        <v>6.7900000000000002E-2</v>
      </c>
      <c r="E35" s="475"/>
      <c r="F35" s="458">
        <f>ROUND((F34*$D$35),2)</f>
        <v>273.57</v>
      </c>
      <c r="G35" s="458">
        <f>ROUND((G34*$D$35),2)</f>
        <v>217.05</v>
      </c>
      <c r="H35" s="458">
        <f>ROUND((H34*$D$35),2)</f>
        <v>33.229999999999997</v>
      </c>
      <c r="I35" s="458">
        <f>ROUND((I34*$D$35),2)</f>
        <v>8.7899999999999991</v>
      </c>
      <c r="J35" s="459">
        <f>ROUND((J34*$D$35),2)</f>
        <v>0</v>
      </c>
    </row>
    <row r="36" spans="1:12" ht="19.5" customHeight="1" x14ac:dyDescent="0.25">
      <c r="A36" s="476" t="s">
        <v>405</v>
      </c>
      <c r="B36" s="477"/>
      <c r="C36" s="477"/>
      <c r="D36" s="478">
        <f>SUM(D33:D35)</f>
        <v>9.7900000000000001E-2</v>
      </c>
      <c r="E36" s="479"/>
      <c r="F36" s="462">
        <f>F33+F35</f>
        <v>390.91999999999996</v>
      </c>
      <c r="G36" s="462">
        <f>G33+G35</f>
        <v>310.14999999999998</v>
      </c>
      <c r="H36" s="462">
        <f>H33+H35</f>
        <v>47.489999999999995</v>
      </c>
      <c r="I36" s="462">
        <f>I33+I35</f>
        <v>12.559999999999999</v>
      </c>
      <c r="J36" s="463">
        <f>J33+J35</f>
        <v>0</v>
      </c>
    </row>
    <row r="37" spans="1:12" ht="19.5" customHeight="1" x14ac:dyDescent="0.25">
      <c r="A37" s="739" t="s">
        <v>406</v>
      </c>
      <c r="B37" s="739"/>
      <c r="C37" s="739"/>
      <c r="D37" s="739"/>
      <c r="E37" s="739"/>
      <c r="F37" s="480">
        <f>F30+F36</f>
        <v>4302.5392857142861</v>
      </c>
      <c r="G37" s="480">
        <f>G30+G36</f>
        <v>3413.6092857142862</v>
      </c>
      <c r="H37" s="480">
        <f>H30+H36</f>
        <v>522.68999999999994</v>
      </c>
      <c r="I37" s="480">
        <f>I30+I36</f>
        <v>138.28</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372.64</v>
      </c>
      <c r="G39" s="216">
        <f>ROUND((G45*$D$39),2)</f>
        <v>295.64999999999998</v>
      </c>
      <c r="H39" s="216">
        <f>ROUND((H45*$D$39),2)</f>
        <v>45.27</v>
      </c>
      <c r="I39" s="216">
        <f>ROUND((I45*$D$39),2)</f>
        <v>11.98</v>
      </c>
      <c r="J39" s="456">
        <f>ROUND((J45*$D$39),2)</f>
        <v>0</v>
      </c>
    </row>
    <row r="40" spans="1:12" ht="19.5" customHeight="1" x14ac:dyDescent="0.25">
      <c r="A40" s="733" t="s">
        <v>220</v>
      </c>
      <c r="B40" s="733"/>
      <c r="C40" s="733"/>
      <c r="D40" s="470">
        <f>Dados!G55</f>
        <v>1.6500000000000001E-2</v>
      </c>
      <c r="E40" s="216"/>
      <c r="F40" s="216">
        <f>ROUND((F45*$D$40),2)</f>
        <v>80.900000000000006</v>
      </c>
      <c r="G40" s="216">
        <f>ROUND((G45*$D$40),2)</f>
        <v>64.19</v>
      </c>
      <c r="H40" s="216">
        <f>ROUND((H45*$D$40),2)</f>
        <v>9.83</v>
      </c>
      <c r="I40" s="216">
        <f>ROUND((I45*$D$40),2)</f>
        <v>2.6</v>
      </c>
      <c r="J40" s="456">
        <f>ROUND((J45*$D$40),2)</f>
        <v>0</v>
      </c>
    </row>
    <row r="41" spans="1:12" ht="19.5" customHeight="1" x14ac:dyDescent="0.25">
      <c r="A41" s="733" t="s">
        <v>221</v>
      </c>
      <c r="B41" s="733"/>
      <c r="C41" s="733"/>
      <c r="D41" s="470">
        <f>Dados!G56</f>
        <v>0.03</v>
      </c>
      <c r="E41" s="216"/>
      <c r="F41" s="216">
        <f>ROUND((F45*$D$41),2)</f>
        <v>147.1</v>
      </c>
      <c r="G41" s="216">
        <f>ROUND((G45*$D$41),2)</f>
        <v>116.7</v>
      </c>
      <c r="H41" s="216">
        <f>ROUND((H45*$D$41),2)</f>
        <v>17.87</v>
      </c>
      <c r="I41" s="216">
        <f>ROUND((I45*$D$41),2)</f>
        <v>4.7300000000000004</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600.64</v>
      </c>
      <c r="G43" s="484">
        <f>SUM(G39:G42)</f>
        <v>476.53999999999996</v>
      </c>
      <c r="H43" s="484">
        <f>SUM(H39:H42)</f>
        <v>72.97</v>
      </c>
      <c r="I43" s="484">
        <f>SUM(I39:I42)</f>
        <v>19.310000000000002</v>
      </c>
      <c r="J43" s="485">
        <f>SUM(J39:J41)</f>
        <v>0</v>
      </c>
    </row>
    <row r="44" spans="1:12" ht="19.5" customHeight="1" x14ac:dyDescent="0.25">
      <c r="A44" s="743" t="str">
        <f>CONCATENATE("Custo Mensal - ",A7)</f>
        <v xml:space="preserve">Custo Mensal - Servente de Limpeza  </v>
      </c>
      <c r="B44" s="743"/>
      <c r="C44" s="743"/>
      <c r="D44" s="743"/>
      <c r="E44" s="743"/>
      <c r="F44" s="486">
        <f>ROUND(F37/(1-D43),2)</f>
        <v>4903.18</v>
      </c>
      <c r="G44" s="486">
        <f>ROUND(G37/(1-D43),2)</f>
        <v>3890.15</v>
      </c>
      <c r="H44" s="486">
        <f>ROUND(H37/(1-D43),2)</f>
        <v>595.66</v>
      </c>
      <c r="I44" s="486">
        <f>ROUND(I37/(1-D43),2)</f>
        <v>157.58000000000001</v>
      </c>
      <c r="J44" s="487">
        <f>ROUND(J37/(1-D43),2)</f>
        <v>0</v>
      </c>
    </row>
    <row r="45" spans="1:12" ht="19.5" customHeight="1" x14ac:dyDescent="0.25">
      <c r="A45" s="744" t="str">
        <f>CONCATENATE("Valor do Custo Mensal - ",A7)</f>
        <v xml:space="preserve">Valor do Custo Mensal - Servente de Limpeza  </v>
      </c>
      <c r="B45" s="744"/>
      <c r="C45" s="744"/>
      <c r="D45" s="744"/>
      <c r="E45" s="744"/>
      <c r="F45" s="486">
        <f>F44</f>
        <v>4903.18</v>
      </c>
      <c r="G45" s="486">
        <f>G44</f>
        <v>3890.15</v>
      </c>
      <c r="H45" s="486">
        <f>H44</f>
        <v>595.66</v>
      </c>
      <c r="I45" s="486">
        <f>I44</f>
        <v>157.58000000000001</v>
      </c>
      <c r="J45" s="487">
        <f>J44</f>
        <v>0</v>
      </c>
      <c r="K45" s="324"/>
      <c r="L45" s="324"/>
    </row>
    <row r="46" spans="1:12" ht="27.75" customHeight="1" x14ac:dyDescent="0.25">
      <c r="A46" s="745" t="s">
        <v>409</v>
      </c>
      <c r="B46" s="745"/>
      <c r="C46" s="745"/>
      <c r="D46" s="745"/>
      <c r="E46" s="745"/>
      <c r="F46" s="488">
        <f>(F45/F14)</f>
        <v>3.5325504322766572</v>
      </c>
      <c r="G46" s="488">
        <f>(G45/G14)</f>
        <v>2.8027017291066283</v>
      </c>
      <c r="H46" s="741" t="s">
        <v>410</v>
      </c>
      <c r="I46" s="741"/>
      <c r="J46" s="325">
        <v>0</v>
      </c>
    </row>
    <row r="47" spans="1:12" ht="19.5" customHeight="1" x14ac:dyDescent="0.25"/>
  </sheetData>
  <sheetProtection algorithmName="SHA-512" hashValue="59BpyeM7xFa9ZRMbRqUUeLQj9o5q7zdzzM+aaMBPZIc/you9O4BaqjlfQpx/Rb+CUFKhe4fZ3AzYzvV20DACtg==" saltValue="mBq4EIApdmVR/aKwKbVbIQ==" spinCount="100000" sheet="1" objects="1" scenarios="1"/>
  <mergeCells count="49">
    <mergeCell ref="H46:I46"/>
    <mergeCell ref="A42:C42"/>
    <mergeCell ref="A43:C43"/>
    <mergeCell ref="A44:E44"/>
    <mergeCell ref="A45:E45"/>
    <mergeCell ref="A46:E46"/>
    <mergeCell ref="A37:E37"/>
    <mergeCell ref="A38:J38"/>
    <mergeCell ref="A39:C39"/>
    <mergeCell ref="A40:C40"/>
    <mergeCell ref="A41:C41"/>
    <mergeCell ref="A30:E30"/>
    <mergeCell ref="A31:J31"/>
    <mergeCell ref="A32:C32"/>
    <mergeCell ref="E32:J32"/>
    <mergeCell ref="A34:C34"/>
    <mergeCell ref="A24:B24"/>
    <mergeCell ref="A25:B25"/>
    <mergeCell ref="A26:B26"/>
    <mergeCell ref="A28:B28"/>
    <mergeCell ref="A29:E29"/>
    <mergeCell ref="A19:B19"/>
    <mergeCell ref="A20:B20"/>
    <mergeCell ref="A21:B21"/>
    <mergeCell ref="A22:B22"/>
    <mergeCell ref="A23:B23"/>
    <mergeCell ref="A16:E16"/>
    <mergeCell ref="A17:J17"/>
    <mergeCell ref="A18:B18"/>
    <mergeCell ref="D18:E18"/>
    <mergeCell ref="F18:J18"/>
    <mergeCell ref="A9:J9"/>
    <mergeCell ref="B10:C10"/>
    <mergeCell ref="F10:J10"/>
    <mergeCell ref="A11:A15"/>
    <mergeCell ref="B11:C11"/>
    <mergeCell ref="B12:C12"/>
    <mergeCell ref="B14:E14"/>
    <mergeCell ref="B15:D15"/>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K47"/>
  <sheetViews>
    <sheetView showGridLines="0" zoomScaleNormal="100" zoomScaleSheetLayoutView="100" zoomScalePageLayoutView="140" workbookViewId="0">
      <selection activeCell="B14" sqref="B14:E14"/>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ht="15.75" thickBot="1" x14ac:dyDescent="0.3">
      <c r="A3" s="166"/>
      <c r="B3" s="320" t="str">
        <f>INSTRUÇÕES!B3</f>
        <v>Subseção Judiciária de Uberaba</v>
      </c>
      <c r="C3" s="58"/>
      <c r="D3" s="58"/>
      <c r="E3" s="58"/>
      <c r="F3" s="318"/>
      <c r="I3" s="318"/>
      <c r="J3" s="319"/>
    </row>
    <row r="4" spans="1:10" ht="19.5" customHeight="1" thickBot="1" x14ac:dyDescent="0.3">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ht="36" customHeight="1" thickBot="1" x14ac:dyDescent="0.3">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thickBot="1" x14ac:dyDescent="0.3">
      <c r="A7" s="719" t="str">
        <f>Dados!C10</f>
        <v>Servente acúmulo função Jardineiro</v>
      </c>
      <c r="B7" s="719"/>
      <c r="C7" s="719"/>
      <c r="D7" s="719"/>
      <c r="E7" s="719"/>
      <c r="F7" s="720" t="s">
        <v>375</v>
      </c>
      <c r="G7" s="720" t="s">
        <v>376</v>
      </c>
      <c r="H7" s="720" t="s">
        <v>377</v>
      </c>
      <c r="I7" s="720" t="s">
        <v>378</v>
      </c>
      <c r="J7" s="720" t="s">
        <v>379</v>
      </c>
    </row>
    <row r="8" spans="1:10" ht="19.5" customHeight="1" thickBot="1" x14ac:dyDescent="0.3">
      <c r="A8" s="721" t="s">
        <v>380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Servente acúmulo função Jardineiro</v>
      </c>
      <c r="C11" s="576"/>
      <c r="D11" s="28">
        <f>Dados!$D$9</f>
        <v>200</v>
      </c>
      <c r="E11" s="455">
        <f>Dados!$E$10</f>
        <v>1526.8</v>
      </c>
      <c r="F11" s="216">
        <f>ROUND(E11/220*D11,2)</f>
        <v>1388</v>
      </c>
      <c r="G11" s="216">
        <f>F11</f>
        <v>1388</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22.5" customHeight="1" x14ac:dyDescent="0.25">
      <c r="A13" s="725"/>
      <c r="B13" s="489" t="s">
        <v>386</v>
      </c>
      <c r="C13" s="490">
        <f>Dados!$I$9</f>
        <v>0.12</v>
      </c>
      <c r="D13" s="490">
        <f>Dados!$J$10</f>
        <v>0.25</v>
      </c>
      <c r="E13" s="457">
        <f>Dados!$K$9</f>
        <v>1388</v>
      </c>
      <c r="F13" s="458">
        <f>ROUND((E13*D13*C13),2)</f>
        <v>41.64</v>
      </c>
      <c r="G13" s="458">
        <f>F13</f>
        <v>41.64</v>
      </c>
      <c r="H13" s="458"/>
      <c r="I13" s="458"/>
      <c r="J13" s="459"/>
    </row>
    <row r="14" spans="1:10" ht="19.5" customHeight="1" x14ac:dyDescent="0.25">
      <c r="A14" s="725"/>
      <c r="B14" s="726" t="s">
        <v>387</v>
      </c>
      <c r="C14" s="726"/>
      <c r="D14" s="726"/>
      <c r="E14" s="726"/>
      <c r="F14" s="460">
        <f>SUM(F11:F13)</f>
        <v>1429.64</v>
      </c>
      <c r="G14" s="460">
        <f>SUM(G11:G13)</f>
        <v>1429.64</v>
      </c>
      <c r="H14" s="460">
        <f>SUM(H11:H13)</f>
        <v>0</v>
      </c>
      <c r="I14" s="460">
        <f>SUM(I11:I13)</f>
        <v>0</v>
      </c>
      <c r="J14" s="461">
        <f>SUM(J11:J13)</f>
        <v>0</v>
      </c>
    </row>
    <row r="15" spans="1:10" ht="19.5" customHeight="1" thickBot="1" x14ac:dyDescent="0.3">
      <c r="A15" s="725"/>
      <c r="B15" s="727" t="s">
        <v>388</v>
      </c>
      <c r="C15" s="727"/>
      <c r="D15" s="727"/>
      <c r="E15" s="491">
        <f>Encargos!$C$57</f>
        <v>0.76400000000000001</v>
      </c>
      <c r="F15" s="216">
        <f>ROUND((E15*F14),2)</f>
        <v>1092.24</v>
      </c>
      <c r="G15" s="216">
        <f>F15</f>
        <v>1092.24</v>
      </c>
      <c r="H15" s="216"/>
      <c r="I15" s="216"/>
      <c r="J15" s="456">
        <f>ROUND((E15*J14),2)</f>
        <v>0</v>
      </c>
    </row>
    <row r="16" spans="1:10" ht="19.5" customHeight="1" thickBot="1" x14ac:dyDescent="0.3">
      <c r="A16" s="728" t="s">
        <v>389</v>
      </c>
      <c r="B16" s="728"/>
      <c r="C16" s="728"/>
      <c r="D16" s="728"/>
      <c r="E16" s="728"/>
      <c r="F16" s="462">
        <f>SUM(F14:F15)</f>
        <v>2521.88</v>
      </c>
      <c r="G16" s="462">
        <f>SUM(G14:G15)</f>
        <v>2521.88</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Dados!$N$10</f>
        <v>38.24</v>
      </c>
      <c r="G19" s="216">
        <f t="shared" ref="G19:G24" si="0">F19</f>
        <v>38.24</v>
      </c>
      <c r="H19" s="216"/>
      <c r="I19" s="216"/>
      <c r="J19" s="456"/>
    </row>
    <row r="20" spans="1:12" ht="19.5" customHeight="1" x14ac:dyDescent="0.25">
      <c r="A20" s="733" t="s">
        <v>394</v>
      </c>
      <c r="B20" s="733"/>
      <c r="C20" s="464"/>
      <c r="D20" s="464"/>
      <c r="E20" s="464"/>
      <c r="F20" s="216">
        <f>Dados!$G$33</f>
        <v>7.2</v>
      </c>
      <c r="G20" s="216">
        <f t="shared" si="0"/>
        <v>7.2</v>
      </c>
      <c r="H20" s="216"/>
      <c r="I20" s="216"/>
      <c r="J20" s="456"/>
    </row>
    <row r="21" spans="1:12" ht="23.25" customHeight="1" x14ac:dyDescent="0.25">
      <c r="A21" s="734" t="s">
        <v>194</v>
      </c>
      <c r="B21" s="734"/>
      <c r="C21" s="464"/>
      <c r="D21" s="464"/>
      <c r="E21" s="464"/>
      <c r="F21" s="216">
        <f>Dados!G34</f>
        <v>0</v>
      </c>
      <c r="G21" s="216">
        <f t="shared" si="0"/>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125.72</v>
      </c>
      <c r="G22" s="216">
        <f t="shared" si="0"/>
        <v>125.72</v>
      </c>
      <c r="H22" s="216"/>
      <c r="I22" s="216">
        <f>F22</f>
        <v>125.72</v>
      </c>
      <c r="J22" s="456"/>
    </row>
    <row r="23" spans="1:12" ht="19.5" customHeight="1" x14ac:dyDescent="0.25">
      <c r="A23" s="733" t="s">
        <v>204</v>
      </c>
      <c r="B23" s="733"/>
      <c r="C23" s="321">
        <f>Dados!G40</f>
        <v>22</v>
      </c>
      <c r="D23" s="322">
        <f>Dados!G41</f>
        <v>0.2</v>
      </c>
      <c r="E23" s="464">
        <f>Dados!$G$39</f>
        <v>27</v>
      </c>
      <c r="F23" s="241">
        <f>ROUND((IF(D11&gt;150,((C23*E23)-(C23*(D23*E23))),0)),2)</f>
        <v>475.2</v>
      </c>
      <c r="G23" s="216">
        <f t="shared" si="0"/>
        <v>475.2</v>
      </c>
      <c r="H23" s="216">
        <f>$F$23</f>
        <v>475.2</v>
      </c>
      <c r="I23" s="241"/>
      <c r="J23" s="456"/>
    </row>
    <row r="24" spans="1:12" ht="19.5" customHeight="1" x14ac:dyDescent="0.25">
      <c r="A24" s="733" t="s">
        <v>514</v>
      </c>
      <c r="B24" s="733"/>
      <c r="C24" s="321"/>
      <c r="D24" s="321"/>
      <c r="E24" s="464"/>
      <c r="F24" s="241">
        <f>Dados!R10</f>
        <v>4.1714285714285717</v>
      </c>
      <c r="G24" s="216">
        <f t="shared" si="0"/>
        <v>4.1714285714285717</v>
      </c>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395</v>
      </c>
      <c r="B26" s="733"/>
      <c r="C26" s="321"/>
      <c r="D26" s="464"/>
      <c r="E26" s="464"/>
      <c r="F26" s="216">
        <f>Dados!$O$10</f>
        <v>808.16</v>
      </c>
      <c r="G26" s="216"/>
      <c r="H26" s="216"/>
      <c r="I26" s="216"/>
      <c r="J26" s="456"/>
      <c r="L26" s="58"/>
    </row>
    <row r="27" spans="1:12" ht="19.5" customHeight="1" x14ac:dyDescent="0.25">
      <c r="A27" s="465" t="s">
        <v>396</v>
      </c>
      <c r="B27" s="466"/>
      <c r="C27" s="321"/>
      <c r="D27" s="464"/>
      <c r="E27" s="464"/>
      <c r="F27" s="216">
        <f>Dados!$P$10</f>
        <v>0</v>
      </c>
      <c r="G27" s="216"/>
      <c r="H27" s="216"/>
      <c r="I27" s="216"/>
      <c r="J27" s="456"/>
    </row>
    <row r="28" spans="1:12" ht="19.5" customHeight="1" thickBot="1" x14ac:dyDescent="0.3">
      <c r="A28" s="735" t="s">
        <v>397</v>
      </c>
      <c r="B28" s="735"/>
      <c r="C28" s="323"/>
      <c r="D28" s="467"/>
      <c r="E28" s="467"/>
      <c r="F28" s="458">
        <f>Dados!S10</f>
        <v>13.627857142857142</v>
      </c>
      <c r="G28" s="458">
        <f>F28</f>
        <v>13.627857142857142</v>
      </c>
      <c r="H28" s="458"/>
      <c r="I28" s="458"/>
      <c r="J28" s="459"/>
    </row>
    <row r="29" spans="1:12" ht="19.5" customHeight="1" thickBot="1" x14ac:dyDescent="0.3">
      <c r="A29" s="736" t="s">
        <v>398</v>
      </c>
      <c r="B29" s="736"/>
      <c r="C29" s="736"/>
      <c r="D29" s="736"/>
      <c r="E29" s="736"/>
      <c r="F29" s="462">
        <f>SUM(F19:F28)</f>
        <v>1472.3192857142858</v>
      </c>
      <c r="G29" s="462">
        <f>SUM(G19:G28)</f>
        <v>664.15928571428572</v>
      </c>
      <c r="H29" s="462">
        <f>SUM(H19:H28)</f>
        <v>475.2</v>
      </c>
      <c r="I29" s="462">
        <f>SUM(I19:I28)</f>
        <v>125.72</v>
      </c>
      <c r="J29" s="463">
        <f>SUM(J19:J28)</f>
        <v>0</v>
      </c>
    </row>
    <row r="30" spans="1:12" ht="19.5" customHeight="1" thickBot="1" x14ac:dyDescent="0.3">
      <c r="A30" s="736" t="s">
        <v>399</v>
      </c>
      <c r="B30" s="736"/>
      <c r="C30" s="736"/>
      <c r="D30" s="736"/>
      <c r="E30" s="736"/>
      <c r="F30" s="462">
        <f>F16+F29</f>
        <v>3994.1992857142859</v>
      </c>
      <c r="G30" s="462">
        <f>G16+G29</f>
        <v>3186.0392857142861</v>
      </c>
      <c r="H30" s="462">
        <f>H16+H29</f>
        <v>475.2</v>
      </c>
      <c r="I30" s="462">
        <f>I16+I29</f>
        <v>125.72</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119.83</v>
      </c>
      <c r="G33" s="216">
        <f>ROUND((G30*$D$33),2)</f>
        <v>95.58</v>
      </c>
      <c r="H33" s="216">
        <f>ROUND((H30*$D$33),2)</f>
        <v>14.26</v>
      </c>
      <c r="I33" s="216">
        <f>ROUND((I30*$D$33),2)</f>
        <v>3.77</v>
      </c>
      <c r="J33" s="456">
        <f>ROUND((J30*$D$33),2)</f>
        <v>0</v>
      </c>
    </row>
    <row r="34" spans="1:12" ht="19.5" customHeight="1" x14ac:dyDescent="0.25">
      <c r="A34" s="738" t="s">
        <v>404</v>
      </c>
      <c r="B34" s="738"/>
      <c r="C34" s="738"/>
      <c r="D34" s="470"/>
      <c r="E34" s="471"/>
      <c r="F34" s="216">
        <f>F30+F33</f>
        <v>4114.0292857142858</v>
      </c>
      <c r="G34" s="216">
        <f>G30+G33</f>
        <v>3281.619285714286</v>
      </c>
      <c r="H34" s="216">
        <f>H30+H33</f>
        <v>489.46</v>
      </c>
      <c r="I34" s="216">
        <f>I30+I33</f>
        <v>129.49</v>
      </c>
      <c r="J34" s="456">
        <f>J30+J33</f>
        <v>0</v>
      </c>
    </row>
    <row r="35" spans="1:12" ht="19.5" customHeight="1" thickBot="1" x14ac:dyDescent="0.3">
      <c r="A35" s="472" t="s">
        <v>212</v>
      </c>
      <c r="B35" s="473"/>
      <c r="C35" s="473"/>
      <c r="D35" s="474">
        <f>Dados!$G$47</f>
        <v>6.7900000000000002E-2</v>
      </c>
      <c r="E35" s="475"/>
      <c r="F35" s="458">
        <f>ROUND((F34*$D$35),2)</f>
        <v>279.33999999999997</v>
      </c>
      <c r="G35" s="458">
        <f>ROUND((G34*$D$35),2)</f>
        <v>222.82</v>
      </c>
      <c r="H35" s="458">
        <f>ROUND((H34*$D$35),2)</f>
        <v>33.229999999999997</v>
      </c>
      <c r="I35" s="458">
        <f>ROUND((I34*$D$35),2)</f>
        <v>8.7899999999999991</v>
      </c>
      <c r="J35" s="459">
        <f>ROUND((J34*$D$35),2)</f>
        <v>0</v>
      </c>
    </row>
    <row r="36" spans="1:12" ht="19.5" customHeight="1" thickBot="1" x14ac:dyDescent="0.3">
      <c r="A36" s="476" t="s">
        <v>405</v>
      </c>
      <c r="B36" s="477"/>
      <c r="C36" s="477"/>
      <c r="D36" s="478">
        <f>SUM(D33:D35)</f>
        <v>9.7900000000000001E-2</v>
      </c>
      <c r="E36" s="479"/>
      <c r="F36" s="462">
        <f>F33+F35</f>
        <v>399.16999999999996</v>
      </c>
      <c r="G36" s="462">
        <f>G33+G35</f>
        <v>318.39999999999998</v>
      </c>
      <c r="H36" s="462">
        <f>H33+H35</f>
        <v>47.489999999999995</v>
      </c>
      <c r="I36" s="462">
        <f>I33+I35</f>
        <v>12.559999999999999</v>
      </c>
      <c r="J36" s="463">
        <f>J33+J35</f>
        <v>0</v>
      </c>
    </row>
    <row r="37" spans="1:12" ht="19.5" customHeight="1" thickBot="1" x14ac:dyDescent="0.3">
      <c r="A37" s="739" t="s">
        <v>406</v>
      </c>
      <c r="B37" s="739"/>
      <c r="C37" s="739"/>
      <c r="D37" s="739"/>
      <c r="E37" s="739"/>
      <c r="F37" s="480">
        <f>F30+F36</f>
        <v>4393.369285714286</v>
      </c>
      <c r="G37" s="480">
        <f>G30+G36</f>
        <v>3504.4392857142861</v>
      </c>
      <c r="H37" s="480">
        <f>H30+H36</f>
        <v>522.68999999999994</v>
      </c>
      <c r="I37" s="480">
        <f>I30+I36</f>
        <v>138.28</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380.51</v>
      </c>
      <c r="G39" s="216">
        <f>ROUND((G45*$D$39),2)</f>
        <v>303.52</v>
      </c>
      <c r="H39" s="216">
        <f>ROUND((H45*$D$39),2)</f>
        <v>45.27</v>
      </c>
      <c r="I39" s="216">
        <f>ROUND((I45*$D$39),2)</f>
        <v>11.98</v>
      </c>
      <c r="J39" s="456">
        <f>ROUND((J45*$D$39),2)</f>
        <v>0</v>
      </c>
    </row>
    <row r="40" spans="1:12" ht="19.5" customHeight="1" x14ac:dyDescent="0.25">
      <c r="A40" s="733" t="s">
        <v>220</v>
      </c>
      <c r="B40" s="733"/>
      <c r="C40" s="733"/>
      <c r="D40" s="470">
        <f>Dados!G55</f>
        <v>1.6500000000000001E-2</v>
      </c>
      <c r="E40" s="216"/>
      <c r="F40" s="216">
        <f>ROUND((F45*$D$40),2)</f>
        <v>82.61</v>
      </c>
      <c r="G40" s="216">
        <f>ROUND((G45*$D$40),2)</f>
        <v>65.900000000000006</v>
      </c>
      <c r="H40" s="216">
        <f>ROUND((H45*$D$40),2)</f>
        <v>9.83</v>
      </c>
      <c r="I40" s="216">
        <f>ROUND((I45*$D$40),2)</f>
        <v>2.6</v>
      </c>
      <c r="J40" s="456">
        <f>ROUND((J45*$D$40),2)</f>
        <v>0</v>
      </c>
    </row>
    <row r="41" spans="1:12" ht="19.5" customHeight="1" x14ac:dyDescent="0.25">
      <c r="A41" s="733" t="s">
        <v>221</v>
      </c>
      <c r="B41" s="733"/>
      <c r="C41" s="733"/>
      <c r="D41" s="470">
        <f>Dados!G56</f>
        <v>0.03</v>
      </c>
      <c r="E41" s="216"/>
      <c r="F41" s="216">
        <f>ROUND((F45*$D$41),2)</f>
        <v>150.19999999999999</v>
      </c>
      <c r="G41" s="216">
        <f>ROUND((G45*$D$41),2)</f>
        <v>119.81</v>
      </c>
      <c r="H41" s="216">
        <f>ROUND((H45*$D$41),2)</f>
        <v>17.87</v>
      </c>
      <c r="I41" s="216">
        <f>ROUND((I45*$D$41),2)</f>
        <v>4.7300000000000004</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613.31999999999994</v>
      </c>
      <c r="G43" s="484">
        <f>SUM(G39:G42)</f>
        <v>489.22999999999996</v>
      </c>
      <c r="H43" s="484">
        <f>SUM(H39:H42)</f>
        <v>72.97</v>
      </c>
      <c r="I43" s="484">
        <f>SUM(I39:I42)</f>
        <v>19.310000000000002</v>
      </c>
      <c r="J43" s="485">
        <f>SUM(J39:J41)</f>
        <v>0</v>
      </c>
    </row>
    <row r="44" spans="1:12" ht="19.5" customHeight="1" x14ac:dyDescent="0.25">
      <c r="A44" s="743" t="str">
        <f>CONCATENATE("Custo Mensal - ",A7)</f>
        <v>Custo Mensal - Servente acúmulo função Jardineiro</v>
      </c>
      <c r="B44" s="743"/>
      <c r="C44" s="743"/>
      <c r="D44" s="743"/>
      <c r="E44" s="743"/>
      <c r="F44" s="486">
        <f>ROUND(F37/(1-D43),2)</f>
        <v>5006.6899999999996</v>
      </c>
      <c r="G44" s="486">
        <f>ROUND(G37/(1-D43),2)</f>
        <v>3993.66</v>
      </c>
      <c r="H44" s="486">
        <f>ROUND(H37/(1-D43),2)</f>
        <v>595.66</v>
      </c>
      <c r="I44" s="486">
        <f>ROUND(I37/(1-D43),2)</f>
        <v>157.58000000000001</v>
      </c>
      <c r="J44" s="487">
        <f>ROUND(J37/(1-D43),2)</f>
        <v>0</v>
      </c>
    </row>
    <row r="45" spans="1:12" ht="19.5" customHeight="1" x14ac:dyDescent="0.25">
      <c r="A45" s="744" t="str">
        <f>CONCATENATE("Valor do Custo Mensal - ",A7)</f>
        <v>Valor do Custo Mensal - Servente acúmulo função Jardineiro</v>
      </c>
      <c r="B45" s="744"/>
      <c r="C45" s="744"/>
      <c r="D45" s="744"/>
      <c r="E45" s="744"/>
      <c r="F45" s="486">
        <f>F44</f>
        <v>5006.6899999999996</v>
      </c>
      <c r="G45" s="486">
        <f>G44</f>
        <v>3993.66</v>
      </c>
      <c r="H45" s="486">
        <f>H44</f>
        <v>595.66</v>
      </c>
      <c r="I45" s="486">
        <f>I44</f>
        <v>157.58000000000001</v>
      </c>
      <c r="J45" s="487">
        <f>J44</f>
        <v>0</v>
      </c>
      <c r="K45" s="324"/>
      <c r="L45" s="324"/>
    </row>
    <row r="46" spans="1:12" ht="27.75" customHeight="1" thickBot="1" x14ac:dyDescent="0.3">
      <c r="A46" s="745" t="s">
        <v>409</v>
      </c>
      <c r="B46" s="745"/>
      <c r="C46" s="745"/>
      <c r="D46" s="745"/>
      <c r="E46" s="745"/>
      <c r="F46" s="488">
        <f>(F45/F14)</f>
        <v>3.5020634565345117</v>
      </c>
      <c r="G46" s="488">
        <f>(G45/G14)</f>
        <v>2.7934724825830277</v>
      </c>
      <c r="H46" s="741" t="s">
        <v>410</v>
      </c>
      <c r="I46" s="741"/>
      <c r="J46" s="325">
        <v>0</v>
      </c>
    </row>
    <row r="47" spans="1:12" ht="19.5" customHeight="1" x14ac:dyDescent="0.25"/>
  </sheetData>
  <sheetProtection algorithmName="SHA-512" hashValue="XBScrt5KqJ+xqegcldCRVpRXEiU6kcJe5xqWOo+CELd7vxXzc3wM6WrBsepGcHZ5YH3lETv1fEmdHtFIOsAdfg==" saltValue="9uliOnC9mydjynPx3Znw9w==" spinCount="100000" sheet="1" objects="1" scenarios="1"/>
  <mergeCells count="49">
    <mergeCell ref="A4:J4"/>
    <mergeCell ref="A5:J5"/>
    <mergeCell ref="A6:J6"/>
    <mergeCell ref="A7:E7"/>
    <mergeCell ref="F7:F8"/>
    <mergeCell ref="G7:G8"/>
    <mergeCell ref="H7:H8"/>
    <mergeCell ref="I7:I8"/>
    <mergeCell ref="J7:J8"/>
    <mergeCell ref="A8:D8"/>
    <mergeCell ref="A19:B19"/>
    <mergeCell ref="A9:J9"/>
    <mergeCell ref="B10:C10"/>
    <mergeCell ref="F10:J10"/>
    <mergeCell ref="A11:A15"/>
    <mergeCell ref="B11:C11"/>
    <mergeCell ref="B12:C12"/>
    <mergeCell ref="B14:E14"/>
    <mergeCell ref="B15:D15"/>
    <mergeCell ref="A16:E16"/>
    <mergeCell ref="A17:J17"/>
    <mergeCell ref="A18:B18"/>
    <mergeCell ref="D18:E18"/>
    <mergeCell ref="F18:J18"/>
    <mergeCell ref="A32:C32"/>
    <mergeCell ref="E32:J32"/>
    <mergeCell ref="A20:B20"/>
    <mergeCell ref="A21:B21"/>
    <mergeCell ref="A22:B22"/>
    <mergeCell ref="A23:B23"/>
    <mergeCell ref="A24:B24"/>
    <mergeCell ref="A25:B25"/>
    <mergeCell ref="A26:B26"/>
    <mergeCell ref="A28:B28"/>
    <mergeCell ref="A29:E29"/>
    <mergeCell ref="A30:E30"/>
    <mergeCell ref="A31:J31"/>
    <mergeCell ref="H46:I46"/>
    <mergeCell ref="A34:C34"/>
    <mergeCell ref="A37:E37"/>
    <mergeCell ref="A38:J38"/>
    <mergeCell ref="A39:C39"/>
    <mergeCell ref="A40:C40"/>
    <mergeCell ref="A41:C41"/>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K47"/>
  <sheetViews>
    <sheetView showGridLines="0" topLeftCell="A6" zoomScaleNormal="100" zoomScaleSheetLayoutView="100" zoomScalePageLayoutView="140" workbookViewId="0">
      <selection activeCell="N29" sqref="N29"/>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x14ac:dyDescent="0.25">
      <c r="A3" s="166"/>
      <c r="B3" s="320" t="str">
        <f>INSTRUÇÕES!B3</f>
        <v>Subseção Judiciária de Uberaba</v>
      </c>
      <c r="C3" s="58"/>
      <c r="D3" s="58"/>
      <c r="E3" s="58"/>
      <c r="F3" s="318"/>
      <c r="I3" s="318"/>
      <c r="J3" s="319"/>
    </row>
    <row r="4" spans="1:10" ht="19.5" customHeight="1" x14ac:dyDescent="0.25">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ht="36" customHeight="1" x14ac:dyDescent="0.25">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x14ac:dyDescent="0.25">
      <c r="A7" s="719" t="str">
        <f>Resumo!B14</f>
        <v>Servente acúmulo função Copeira</v>
      </c>
      <c r="B7" s="719"/>
      <c r="C7" s="719"/>
      <c r="D7" s="719"/>
      <c r="E7" s="719"/>
      <c r="F7" s="720" t="s">
        <v>375</v>
      </c>
      <c r="G7" s="720" t="s">
        <v>376</v>
      </c>
      <c r="H7" s="720" t="s">
        <v>377</v>
      </c>
      <c r="I7" s="720" t="s">
        <v>378</v>
      </c>
      <c r="J7" s="720" t="s">
        <v>379</v>
      </c>
    </row>
    <row r="8" spans="1:10" ht="19.5" customHeight="1" x14ac:dyDescent="0.25">
      <c r="A8" s="721" t="s">
        <v>380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Servente acúmulo função Copeira</v>
      </c>
      <c r="C11" s="576"/>
      <c r="D11" s="28">
        <f>Dados!$D$9</f>
        <v>200</v>
      </c>
      <c r="E11" s="455">
        <f>Dados!$E$9</f>
        <v>1526.8</v>
      </c>
      <c r="F11" s="216">
        <f>ROUND(E11/220*D11,2)</f>
        <v>1388</v>
      </c>
      <c r="G11" s="216">
        <f>F11</f>
        <v>1388</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22.5" customHeight="1" x14ac:dyDescent="0.25">
      <c r="A13" s="725"/>
      <c r="B13" s="489" t="s">
        <v>386</v>
      </c>
      <c r="C13" s="490">
        <f>Dados!$I$9</f>
        <v>0.12</v>
      </c>
      <c r="D13" s="490">
        <f>Dados!$J$9</f>
        <v>0.4</v>
      </c>
      <c r="E13" s="457">
        <f>Dados!$K$9</f>
        <v>1388</v>
      </c>
      <c r="F13" s="458">
        <f>ROUND((E13*D13*C13),2)</f>
        <v>66.62</v>
      </c>
      <c r="G13" s="458">
        <f>F13</f>
        <v>66.62</v>
      </c>
      <c r="H13" s="458"/>
      <c r="I13" s="458"/>
      <c r="J13" s="459"/>
    </row>
    <row r="14" spans="1:10" ht="19.5" customHeight="1" x14ac:dyDescent="0.25">
      <c r="A14" s="725"/>
      <c r="B14" s="726" t="s">
        <v>387</v>
      </c>
      <c r="C14" s="726"/>
      <c r="D14" s="726"/>
      <c r="E14" s="726"/>
      <c r="F14" s="460">
        <f>SUM(F11:F13)</f>
        <v>1454.62</v>
      </c>
      <c r="G14" s="460">
        <f>SUM(G11:G13)</f>
        <v>1454.62</v>
      </c>
      <c r="H14" s="460">
        <f>SUM(H11:H13)</f>
        <v>0</v>
      </c>
      <c r="I14" s="460">
        <f>SUM(I11:I13)</f>
        <v>0</v>
      </c>
      <c r="J14" s="461">
        <f>SUM(J11:J13)</f>
        <v>0</v>
      </c>
    </row>
    <row r="15" spans="1:10" ht="19.5" customHeight="1" x14ac:dyDescent="0.25">
      <c r="A15" s="725"/>
      <c r="B15" s="727" t="s">
        <v>388</v>
      </c>
      <c r="C15" s="727"/>
      <c r="D15" s="727"/>
      <c r="E15" s="491">
        <f>Encargos!$C$57</f>
        <v>0.76400000000000001</v>
      </c>
      <c r="F15" s="216">
        <f>ROUND((E15*F14),2)</f>
        <v>1111.33</v>
      </c>
      <c r="G15" s="216">
        <f>F15</f>
        <v>1111.33</v>
      </c>
      <c r="H15" s="216"/>
      <c r="I15" s="216"/>
      <c r="J15" s="456">
        <f>ROUND((E15*J14),2)</f>
        <v>0</v>
      </c>
    </row>
    <row r="16" spans="1:10" ht="19.5" customHeight="1" x14ac:dyDescent="0.25">
      <c r="A16" s="728" t="s">
        <v>389</v>
      </c>
      <c r="B16" s="728"/>
      <c r="C16" s="728"/>
      <c r="D16" s="728"/>
      <c r="E16" s="728"/>
      <c r="F16" s="462">
        <f>SUM(F14:F15)</f>
        <v>2565.9499999999998</v>
      </c>
      <c r="G16" s="462">
        <f>SUM(G14:G15)</f>
        <v>2565.9499999999998</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Dados!$N$9</f>
        <v>40.880000000000003</v>
      </c>
      <c r="G19" s="216">
        <f t="shared" ref="G19:G24" si="0">F19</f>
        <v>40.880000000000003</v>
      </c>
      <c r="H19" s="216"/>
      <c r="I19" s="216"/>
      <c r="J19" s="456"/>
    </row>
    <row r="20" spans="1:12" ht="19.5" customHeight="1" x14ac:dyDescent="0.25">
      <c r="A20" s="733" t="s">
        <v>394</v>
      </c>
      <c r="B20" s="733"/>
      <c r="C20" s="464"/>
      <c r="D20" s="464"/>
      <c r="E20" s="464"/>
      <c r="F20" s="216">
        <f>Dados!$G$33</f>
        <v>7.2</v>
      </c>
      <c r="G20" s="216">
        <f t="shared" si="0"/>
        <v>7.2</v>
      </c>
      <c r="H20" s="216"/>
      <c r="I20" s="216"/>
      <c r="J20" s="456"/>
    </row>
    <row r="21" spans="1:12" ht="23.25" customHeight="1" x14ac:dyDescent="0.25">
      <c r="A21" s="734" t="s">
        <v>194</v>
      </c>
      <c r="B21" s="734"/>
      <c r="C21" s="464"/>
      <c r="D21" s="464"/>
      <c r="E21" s="464"/>
      <c r="F21" s="216">
        <f>Dados!G34</f>
        <v>0</v>
      </c>
      <c r="G21" s="216">
        <f t="shared" si="0"/>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125.72</v>
      </c>
      <c r="G22" s="216">
        <f t="shared" si="0"/>
        <v>125.72</v>
      </c>
      <c r="H22" s="216"/>
      <c r="I22" s="216">
        <f>F22</f>
        <v>125.72</v>
      </c>
      <c r="J22" s="456"/>
    </row>
    <row r="23" spans="1:12" ht="19.5" customHeight="1" x14ac:dyDescent="0.25">
      <c r="A23" s="733" t="s">
        <v>204</v>
      </c>
      <c r="B23" s="733"/>
      <c r="C23" s="321">
        <f>Dados!G40</f>
        <v>22</v>
      </c>
      <c r="D23" s="322">
        <f>Dados!G41</f>
        <v>0.2</v>
      </c>
      <c r="E23" s="464">
        <f>Dados!$G$39</f>
        <v>27</v>
      </c>
      <c r="F23" s="241">
        <f>ROUND((IF(D11&gt;150,((C23*E23)-(C23*(D23*E23))),0)),2)</f>
        <v>475.2</v>
      </c>
      <c r="G23" s="216">
        <f t="shared" si="0"/>
        <v>475.2</v>
      </c>
      <c r="H23" s="216">
        <f>$F$23</f>
        <v>475.2</v>
      </c>
      <c r="I23" s="241"/>
      <c r="J23" s="456"/>
    </row>
    <row r="24" spans="1:12" ht="19.5" customHeight="1" x14ac:dyDescent="0.25">
      <c r="A24" s="733" t="s">
        <v>514</v>
      </c>
      <c r="B24" s="733"/>
      <c r="C24" s="321"/>
      <c r="D24" s="321"/>
      <c r="E24" s="464"/>
      <c r="F24" s="241">
        <f>Dados!R9</f>
        <v>4.1714285714285717</v>
      </c>
      <c r="G24" s="216">
        <f t="shared" si="0"/>
        <v>4.1714285714285717</v>
      </c>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395</v>
      </c>
      <c r="B26" s="733"/>
      <c r="C26" s="321"/>
      <c r="D26" s="464"/>
      <c r="E26" s="464"/>
      <c r="F26" s="216">
        <f>Dados!$O$9</f>
        <v>808.16</v>
      </c>
      <c r="G26" s="216"/>
      <c r="H26" s="216"/>
      <c r="I26" s="216"/>
      <c r="J26" s="456"/>
      <c r="L26" s="58"/>
    </row>
    <row r="27" spans="1:12" ht="19.5" customHeight="1" x14ac:dyDescent="0.25">
      <c r="A27" s="465" t="s">
        <v>396</v>
      </c>
      <c r="B27" s="466"/>
      <c r="C27" s="321"/>
      <c r="D27" s="464"/>
      <c r="E27" s="464"/>
      <c r="F27" s="216">
        <f>Dados!$P$9</f>
        <v>488.9133333333333</v>
      </c>
      <c r="G27" s="216"/>
      <c r="H27" s="216"/>
      <c r="I27" s="216"/>
      <c r="J27" s="456"/>
    </row>
    <row r="28" spans="1:12" ht="19.5" customHeight="1" x14ac:dyDescent="0.25">
      <c r="A28" s="735" t="s">
        <v>397</v>
      </c>
      <c r="B28" s="735"/>
      <c r="C28" s="323"/>
      <c r="D28" s="467"/>
      <c r="E28" s="467"/>
      <c r="F28" s="458">
        <f>Dados!S9</f>
        <v>6.6478571428571431</v>
      </c>
      <c r="G28" s="458">
        <f>F28</f>
        <v>6.6478571428571431</v>
      </c>
      <c r="H28" s="458"/>
      <c r="I28" s="458"/>
      <c r="J28" s="459"/>
    </row>
    <row r="29" spans="1:12" ht="19.5" customHeight="1" x14ac:dyDescent="0.25">
      <c r="A29" s="736" t="s">
        <v>398</v>
      </c>
      <c r="B29" s="736"/>
      <c r="C29" s="736"/>
      <c r="D29" s="736"/>
      <c r="E29" s="736"/>
      <c r="F29" s="462">
        <f>SUM(F19:F28)</f>
        <v>1956.8926190476193</v>
      </c>
      <c r="G29" s="462">
        <f>SUM(G19:G28)</f>
        <v>659.81928571428568</v>
      </c>
      <c r="H29" s="462">
        <f>SUM(H19:H28)</f>
        <v>475.2</v>
      </c>
      <c r="I29" s="462">
        <f>SUM(I19:I28)</f>
        <v>125.72</v>
      </c>
      <c r="J29" s="463">
        <f>SUM(J19:J28)</f>
        <v>0</v>
      </c>
    </row>
    <row r="30" spans="1:12" ht="19.5" customHeight="1" x14ac:dyDescent="0.25">
      <c r="A30" s="736" t="s">
        <v>399</v>
      </c>
      <c r="B30" s="736"/>
      <c r="C30" s="736"/>
      <c r="D30" s="736"/>
      <c r="E30" s="736"/>
      <c r="F30" s="462">
        <f>F16+F29</f>
        <v>4522.8426190476193</v>
      </c>
      <c r="G30" s="462">
        <f>G16+G29</f>
        <v>3225.7692857142856</v>
      </c>
      <c r="H30" s="462">
        <f>H16+H29</f>
        <v>475.2</v>
      </c>
      <c r="I30" s="462">
        <f>I16+I29</f>
        <v>125.72</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135.69</v>
      </c>
      <c r="G33" s="216">
        <f>ROUND((G30*$D$33),2)</f>
        <v>96.77</v>
      </c>
      <c r="H33" s="216">
        <f>ROUND((H30*$D$33),2)</f>
        <v>14.26</v>
      </c>
      <c r="I33" s="216">
        <f>ROUND((I30*$D$33),2)</f>
        <v>3.77</v>
      </c>
      <c r="J33" s="456">
        <f>ROUND((J30*$D$33),2)</f>
        <v>0</v>
      </c>
    </row>
    <row r="34" spans="1:12" ht="19.5" customHeight="1" x14ac:dyDescent="0.25">
      <c r="A34" s="738" t="s">
        <v>404</v>
      </c>
      <c r="B34" s="738"/>
      <c r="C34" s="738"/>
      <c r="D34" s="470"/>
      <c r="E34" s="471"/>
      <c r="F34" s="216">
        <f>F30+F33</f>
        <v>4658.5326190476189</v>
      </c>
      <c r="G34" s="216">
        <f>G30+G33</f>
        <v>3322.5392857142856</v>
      </c>
      <c r="H34" s="216">
        <f>H30+H33</f>
        <v>489.46</v>
      </c>
      <c r="I34" s="216">
        <f>I30+I33</f>
        <v>129.49</v>
      </c>
      <c r="J34" s="456">
        <f>J30+J33</f>
        <v>0</v>
      </c>
    </row>
    <row r="35" spans="1:12" ht="19.5" customHeight="1" x14ac:dyDescent="0.25">
      <c r="A35" s="472" t="s">
        <v>212</v>
      </c>
      <c r="B35" s="473"/>
      <c r="C35" s="473"/>
      <c r="D35" s="474">
        <f>Dados!$G$47</f>
        <v>6.7900000000000002E-2</v>
      </c>
      <c r="E35" s="475"/>
      <c r="F35" s="458">
        <f>ROUND((F34*$D$35),2)</f>
        <v>316.31</v>
      </c>
      <c r="G35" s="458">
        <f>ROUND((G34*$D$35),2)</f>
        <v>225.6</v>
      </c>
      <c r="H35" s="458">
        <f>ROUND((H34*$D$35),2)</f>
        <v>33.229999999999997</v>
      </c>
      <c r="I35" s="458">
        <f>ROUND((I34*$D$35),2)</f>
        <v>8.7899999999999991</v>
      </c>
      <c r="J35" s="459">
        <f>ROUND((J34*$D$35),2)</f>
        <v>0</v>
      </c>
    </row>
    <row r="36" spans="1:12" ht="19.5" customHeight="1" x14ac:dyDescent="0.25">
      <c r="A36" s="476" t="s">
        <v>405</v>
      </c>
      <c r="B36" s="477"/>
      <c r="C36" s="477"/>
      <c r="D36" s="478">
        <f>SUM(D33:D35)</f>
        <v>9.7900000000000001E-2</v>
      </c>
      <c r="E36" s="479"/>
      <c r="F36" s="462">
        <f>F33+F35</f>
        <v>452</v>
      </c>
      <c r="G36" s="462">
        <f>G33+G35</f>
        <v>322.37</v>
      </c>
      <c r="H36" s="462">
        <f>H33+H35</f>
        <v>47.489999999999995</v>
      </c>
      <c r="I36" s="462">
        <f>I33+I35</f>
        <v>12.559999999999999</v>
      </c>
      <c r="J36" s="463">
        <f>J33+J35</f>
        <v>0</v>
      </c>
    </row>
    <row r="37" spans="1:12" ht="19.5" customHeight="1" x14ac:dyDescent="0.25">
      <c r="A37" s="739" t="s">
        <v>406</v>
      </c>
      <c r="B37" s="739"/>
      <c r="C37" s="739"/>
      <c r="D37" s="739"/>
      <c r="E37" s="739"/>
      <c r="F37" s="480">
        <f>F30+F36</f>
        <v>4974.8426190476193</v>
      </c>
      <c r="G37" s="480">
        <f>G30+G36</f>
        <v>3548.1392857142855</v>
      </c>
      <c r="H37" s="480">
        <f>H30+H36</f>
        <v>522.68999999999994</v>
      </c>
      <c r="I37" s="480">
        <f>I30+I36</f>
        <v>138.28</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430.87</v>
      </c>
      <c r="G39" s="216">
        <f>ROUND((G45*$D$39),2)</f>
        <v>307.3</v>
      </c>
      <c r="H39" s="216">
        <f>ROUND((H45*$D$39),2)</f>
        <v>45.27</v>
      </c>
      <c r="I39" s="216">
        <f>ROUND((I45*$D$39),2)</f>
        <v>11.98</v>
      </c>
      <c r="J39" s="456">
        <f>ROUND((J45*$D$39),2)</f>
        <v>0</v>
      </c>
    </row>
    <row r="40" spans="1:12" ht="19.5" customHeight="1" x14ac:dyDescent="0.25">
      <c r="A40" s="733" t="s">
        <v>220</v>
      </c>
      <c r="B40" s="733"/>
      <c r="C40" s="733"/>
      <c r="D40" s="470">
        <f>Dados!G55</f>
        <v>1.6500000000000001E-2</v>
      </c>
      <c r="E40" s="216"/>
      <c r="F40" s="216">
        <f>ROUND((F45*$D$40),2)</f>
        <v>93.54</v>
      </c>
      <c r="G40" s="216">
        <f>ROUND((G45*$D$40),2)</f>
        <v>66.72</v>
      </c>
      <c r="H40" s="216">
        <f>ROUND((H45*$D$40),2)</f>
        <v>9.83</v>
      </c>
      <c r="I40" s="216">
        <f>ROUND((I45*$D$40),2)</f>
        <v>2.6</v>
      </c>
      <c r="J40" s="456">
        <f>ROUND((J45*$D$40),2)</f>
        <v>0</v>
      </c>
    </row>
    <row r="41" spans="1:12" ht="19.5" customHeight="1" x14ac:dyDescent="0.25">
      <c r="A41" s="733" t="s">
        <v>221</v>
      </c>
      <c r="B41" s="733"/>
      <c r="C41" s="733"/>
      <c r="D41" s="470">
        <f>Dados!G56</f>
        <v>0.03</v>
      </c>
      <c r="E41" s="216"/>
      <c r="F41" s="216">
        <f>ROUND((F45*$D$41),2)</f>
        <v>170.08</v>
      </c>
      <c r="G41" s="216">
        <f>ROUND((G45*$D$41),2)</f>
        <v>121.3</v>
      </c>
      <c r="H41" s="216">
        <f>ROUND((H45*$D$41),2)</f>
        <v>17.87</v>
      </c>
      <c r="I41" s="216">
        <f>ROUND((I45*$D$41),2)</f>
        <v>4.7300000000000004</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694.49</v>
      </c>
      <c r="G43" s="484">
        <f>SUM(G39:G42)</f>
        <v>495.32</v>
      </c>
      <c r="H43" s="484">
        <f>SUM(H39:H42)</f>
        <v>72.97</v>
      </c>
      <c r="I43" s="484">
        <f>SUM(I39:I42)</f>
        <v>19.310000000000002</v>
      </c>
      <c r="J43" s="485">
        <f>SUM(J39:J41)</f>
        <v>0</v>
      </c>
    </row>
    <row r="44" spans="1:12" ht="19.5" customHeight="1" x14ac:dyDescent="0.25">
      <c r="A44" s="743" t="str">
        <f>CONCATENATE("Custo Mensal - ",A7)</f>
        <v>Custo Mensal - Servente acúmulo função Copeira</v>
      </c>
      <c r="B44" s="743"/>
      <c r="C44" s="743"/>
      <c r="D44" s="743"/>
      <c r="E44" s="743"/>
      <c r="F44" s="486">
        <f>ROUND(F37/(1-D43),2)</f>
        <v>5669.34</v>
      </c>
      <c r="G44" s="486">
        <f>ROUND(G37/(1-D43),2)</f>
        <v>4043.46</v>
      </c>
      <c r="H44" s="486">
        <f>ROUND(H37/(1-D43),2)</f>
        <v>595.66</v>
      </c>
      <c r="I44" s="486">
        <f>ROUND(I37/(1-D43),2)</f>
        <v>157.58000000000001</v>
      </c>
      <c r="J44" s="487">
        <f>ROUND(J37/(1-D43),2)</f>
        <v>0</v>
      </c>
    </row>
    <row r="45" spans="1:12" ht="19.5" customHeight="1" x14ac:dyDescent="0.25">
      <c r="A45" s="744" t="str">
        <f>CONCATENATE("Valor do Custo Mensal - ",A7)</f>
        <v>Valor do Custo Mensal - Servente acúmulo função Copeira</v>
      </c>
      <c r="B45" s="744"/>
      <c r="C45" s="744"/>
      <c r="D45" s="744"/>
      <c r="E45" s="744"/>
      <c r="F45" s="486">
        <f>F44</f>
        <v>5669.34</v>
      </c>
      <c r="G45" s="486">
        <f>G44</f>
        <v>4043.46</v>
      </c>
      <c r="H45" s="486">
        <f>H44</f>
        <v>595.66</v>
      </c>
      <c r="I45" s="486">
        <f>I44</f>
        <v>157.58000000000001</v>
      </c>
      <c r="J45" s="487">
        <f>J44</f>
        <v>0</v>
      </c>
      <c r="K45" s="324"/>
      <c r="L45" s="324"/>
    </row>
    <row r="46" spans="1:12" ht="27.75" customHeight="1" x14ac:dyDescent="0.25">
      <c r="A46" s="745" t="s">
        <v>409</v>
      </c>
      <c r="B46" s="745"/>
      <c r="C46" s="745"/>
      <c r="D46" s="745"/>
      <c r="E46" s="745"/>
      <c r="F46" s="488">
        <f>(F45/F14)</f>
        <v>3.8974715045853903</v>
      </c>
      <c r="G46" s="488">
        <f>(G45/G14)</f>
        <v>2.7797362885152137</v>
      </c>
      <c r="H46" s="741" t="s">
        <v>410</v>
      </c>
      <c r="I46" s="741"/>
      <c r="J46" s="325">
        <v>0</v>
      </c>
    </row>
    <row r="47" spans="1:12" ht="19.5" customHeight="1" x14ac:dyDescent="0.25"/>
  </sheetData>
  <sheetProtection algorithmName="SHA-512" hashValue="ZzA/21zymEm3kCWef8h742fVi8ewgYJDYKMepGtmRagpR3CKVMWAE9TYhrpgYronZgGJ7U8x/jB4QPuZ21xYJA==" saltValue="5MW5YLNMDAjMQavh+lv3ig==" spinCount="100000" sheet="1" objects="1" scenarios="1"/>
  <mergeCells count="49">
    <mergeCell ref="H46:I46"/>
    <mergeCell ref="A42:C42"/>
    <mergeCell ref="A43:C43"/>
    <mergeCell ref="A44:E44"/>
    <mergeCell ref="A45:E45"/>
    <mergeCell ref="A46:E46"/>
    <mergeCell ref="A37:E37"/>
    <mergeCell ref="A38:J38"/>
    <mergeCell ref="A39:C39"/>
    <mergeCell ref="A40:C40"/>
    <mergeCell ref="A41:C41"/>
    <mergeCell ref="A30:E30"/>
    <mergeCell ref="A31:J31"/>
    <mergeCell ref="A32:C32"/>
    <mergeCell ref="E32:J32"/>
    <mergeCell ref="A34:C34"/>
    <mergeCell ref="A24:B24"/>
    <mergeCell ref="A25:B25"/>
    <mergeCell ref="A26:B26"/>
    <mergeCell ref="A28:B28"/>
    <mergeCell ref="A29:E29"/>
    <mergeCell ref="A19:B19"/>
    <mergeCell ref="A20:B20"/>
    <mergeCell ref="A21:B21"/>
    <mergeCell ref="A22:B22"/>
    <mergeCell ref="A23:B23"/>
    <mergeCell ref="A16:E16"/>
    <mergeCell ref="A17:J17"/>
    <mergeCell ref="A18:B18"/>
    <mergeCell ref="D18:E18"/>
    <mergeCell ref="F18:J18"/>
    <mergeCell ref="A9:J9"/>
    <mergeCell ref="B10:C10"/>
    <mergeCell ref="F10:J10"/>
    <mergeCell ref="A11:A15"/>
    <mergeCell ref="B11:C11"/>
    <mergeCell ref="B12:C12"/>
    <mergeCell ref="B14:E14"/>
    <mergeCell ref="B15:D15"/>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K47"/>
  <sheetViews>
    <sheetView showGridLines="0" zoomScaleNormal="100" zoomScaleSheetLayoutView="100" zoomScalePageLayoutView="140" workbookViewId="0">
      <selection activeCell="N26" sqref="N26"/>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x14ac:dyDescent="0.25">
      <c r="A3" s="166"/>
      <c r="B3" s="320" t="str">
        <f>INSTRUÇÕES!B3</f>
        <v>Subseção Judiciária de Uberaba</v>
      </c>
      <c r="C3" s="58"/>
      <c r="D3" s="58"/>
      <c r="E3" s="58"/>
      <c r="F3" s="318"/>
      <c r="I3" s="318"/>
      <c r="J3" s="319"/>
    </row>
    <row r="4" spans="1:10" ht="19.5" customHeight="1" x14ac:dyDescent="0.25">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ht="36" customHeight="1" x14ac:dyDescent="0.25">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x14ac:dyDescent="0.25">
      <c r="A7" s="719" t="str">
        <f>Dados!C11</f>
        <v>Zelador acúmulo função Lavador de Carro</v>
      </c>
      <c r="B7" s="719"/>
      <c r="C7" s="719"/>
      <c r="D7" s="719"/>
      <c r="E7" s="719"/>
      <c r="F7" s="720" t="s">
        <v>375</v>
      </c>
      <c r="G7" s="720" t="s">
        <v>376</v>
      </c>
      <c r="H7" s="720" t="s">
        <v>377</v>
      </c>
      <c r="I7" s="720" t="s">
        <v>378</v>
      </c>
      <c r="J7" s="720" t="s">
        <v>379</v>
      </c>
    </row>
    <row r="8" spans="1:10" ht="19.5" customHeight="1" x14ac:dyDescent="0.25">
      <c r="A8" s="721" t="s">
        <v>380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Zelador acúmulo função Lavador de Carro</v>
      </c>
      <c r="C11" s="576"/>
      <c r="D11" s="28">
        <f>Dados!$D$11</f>
        <v>200</v>
      </c>
      <c r="E11" s="455">
        <f>Dados!$E$11</f>
        <v>2281.4</v>
      </c>
      <c r="F11" s="216">
        <f>ROUND(E11/220*D11,2)</f>
        <v>2074</v>
      </c>
      <c r="G11" s="216">
        <f>F11</f>
        <v>2074</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30.75" customHeight="1" x14ac:dyDescent="0.25">
      <c r="A13" s="725"/>
      <c r="B13" s="489" t="s">
        <v>386</v>
      </c>
      <c r="C13" s="490">
        <f>Dados!$I$11</f>
        <v>0.12</v>
      </c>
      <c r="D13" s="490">
        <f>Dados!$J$11</f>
        <v>0.25</v>
      </c>
      <c r="E13" s="457">
        <f>Dados!$K$11</f>
        <v>2074</v>
      </c>
      <c r="F13" s="458">
        <f>ROUND((E13*D13*C13),2)</f>
        <v>62.22</v>
      </c>
      <c r="G13" s="458">
        <f>F13</f>
        <v>62.22</v>
      </c>
      <c r="H13" s="458"/>
      <c r="I13" s="458"/>
      <c r="J13" s="459"/>
    </row>
    <row r="14" spans="1:10" ht="19.5" customHeight="1" x14ac:dyDescent="0.25">
      <c r="A14" s="725"/>
      <c r="B14" s="726" t="s">
        <v>387</v>
      </c>
      <c r="C14" s="726"/>
      <c r="D14" s="726"/>
      <c r="E14" s="726"/>
      <c r="F14" s="460">
        <f>SUM(F11:F13)</f>
        <v>2136.2199999999998</v>
      </c>
      <c r="G14" s="460">
        <f>SUM(G11:G13)</f>
        <v>2136.2199999999998</v>
      </c>
      <c r="H14" s="460">
        <f>SUM(H11:H13)</f>
        <v>0</v>
      </c>
      <c r="I14" s="460">
        <f>SUM(I11:I13)</f>
        <v>0</v>
      </c>
      <c r="J14" s="461">
        <f>SUM(J11:J13)</f>
        <v>0</v>
      </c>
    </row>
    <row r="15" spans="1:10" ht="19.5" customHeight="1" x14ac:dyDescent="0.25">
      <c r="A15" s="725"/>
      <c r="B15" s="727" t="s">
        <v>388</v>
      </c>
      <c r="C15" s="727"/>
      <c r="D15" s="727"/>
      <c r="E15" s="491">
        <f>Encargos!$C$57</f>
        <v>0.76400000000000001</v>
      </c>
      <c r="F15" s="216">
        <f>ROUND((E15*F14),2)</f>
        <v>1632.07</v>
      </c>
      <c r="G15" s="216">
        <f>F15</f>
        <v>1632.07</v>
      </c>
      <c r="H15" s="216"/>
      <c r="I15" s="216"/>
      <c r="J15" s="456">
        <f>ROUND((E15*J14),2)</f>
        <v>0</v>
      </c>
    </row>
    <row r="16" spans="1:10" ht="19.5" customHeight="1" x14ac:dyDescent="0.25">
      <c r="A16" s="728" t="s">
        <v>389</v>
      </c>
      <c r="B16" s="728"/>
      <c r="C16" s="728"/>
      <c r="D16" s="728"/>
      <c r="E16" s="728"/>
      <c r="F16" s="462">
        <f>SUM(F14:F15)</f>
        <v>3768.29</v>
      </c>
      <c r="G16" s="462">
        <f>SUM(G14:G15)</f>
        <v>3768.29</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Dados!$N$11</f>
        <v>45.36</v>
      </c>
      <c r="G19" s="216">
        <f t="shared" ref="G19:G24" si="0">F19</f>
        <v>45.36</v>
      </c>
      <c r="H19" s="216"/>
      <c r="I19" s="216"/>
      <c r="J19" s="456"/>
    </row>
    <row r="20" spans="1:12" ht="19.5" customHeight="1" x14ac:dyDescent="0.25">
      <c r="A20" s="733" t="s">
        <v>394</v>
      </c>
      <c r="B20" s="733"/>
      <c r="C20" s="464"/>
      <c r="D20" s="464"/>
      <c r="E20" s="464"/>
      <c r="F20" s="216">
        <f>Dados!$G$33</f>
        <v>7.2</v>
      </c>
      <c r="G20" s="216">
        <f t="shared" si="0"/>
        <v>7.2</v>
      </c>
      <c r="H20" s="216"/>
      <c r="I20" s="216"/>
      <c r="J20" s="456"/>
    </row>
    <row r="21" spans="1:12" ht="23.25" customHeight="1" x14ac:dyDescent="0.25">
      <c r="A21" s="734" t="s">
        <v>194</v>
      </c>
      <c r="B21" s="734"/>
      <c r="C21" s="464"/>
      <c r="D21" s="464"/>
      <c r="E21" s="464"/>
      <c r="F21" s="216">
        <f>Dados!G34</f>
        <v>0</v>
      </c>
      <c r="G21" s="216">
        <f t="shared" si="0"/>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84.56</v>
      </c>
      <c r="G22" s="216">
        <f t="shared" si="0"/>
        <v>84.56</v>
      </c>
      <c r="H22" s="216"/>
      <c r="I22" s="216">
        <f>F22</f>
        <v>84.56</v>
      </c>
      <c r="J22" s="456"/>
    </row>
    <row r="23" spans="1:12" ht="19.5" customHeight="1" x14ac:dyDescent="0.25">
      <c r="A23" s="733" t="s">
        <v>204</v>
      </c>
      <c r="B23" s="733"/>
      <c r="C23" s="321">
        <f>Dados!G40</f>
        <v>22</v>
      </c>
      <c r="D23" s="322">
        <f>Dados!G41</f>
        <v>0.2</v>
      </c>
      <c r="E23" s="464">
        <f>Dados!$G$39</f>
        <v>27</v>
      </c>
      <c r="F23" s="241">
        <f>ROUND((IF(D11&gt;150,((C23*E23)-(C23*(D23*E23))),0)),2)</f>
        <v>475.2</v>
      </c>
      <c r="G23" s="216">
        <f t="shared" si="0"/>
        <v>475.2</v>
      </c>
      <c r="H23" s="216">
        <f>$F$23</f>
        <v>475.2</v>
      </c>
      <c r="I23" s="241"/>
      <c r="J23" s="456"/>
    </row>
    <row r="24" spans="1:12" ht="19.5" customHeight="1" x14ac:dyDescent="0.25">
      <c r="A24" s="733" t="s">
        <v>514</v>
      </c>
      <c r="B24" s="733"/>
      <c r="C24" s="321"/>
      <c r="D24" s="321"/>
      <c r="E24" s="464"/>
      <c r="F24" s="241">
        <f>Dados!R11</f>
        <v>4.17</v>
      </c>
      <c r="G24" s="216">
        <f t="shared" si="0"/>
        <v>4.17</v>
      </c>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538</v>
      </c>
      <c r="B26" s="733"/>
      <c r="C26" s="321"/>
      <c r="D26" s="464"/>
      <c r="E26" s="464"/>
      <c r="F26" s="216">
        <f>Dados!Q11</f>
        <v>281.52999999999997</v>
      </c>
      <c r="G26" s="216"/>
      <c r="H26" s="216"/>
      <c r="I26" s="216"/>
      <c r="J26" s="456"/>
      <c r="L26" s="58"/>
    </row>
    <row r="27" spans="1:12" ht="19.5" customHeight="1" x14ac:dyDescent="0.25">
      <c r="A27" s="465" t="s">
        <v>537</v>
      </c>
      <c r="B27" s="466"/>
      <c r="C27" s="321"/>
      <c r="D27" s="464"/>
      <c r="E27" s="464"/>
      <c r="F27" s="216"/>
      <c r="G27" s="216"/>
      <c r="H27" s="216"/>
      <c r="I27" s="216"/>
      <c r="J27" s="456"/>
    </row>
    <row r="28" spans="1:12" ht="19.5" customHeight="1" x14ac:dyDescent="0.25">
      <c r="A28" s="735" t="s">
        <v>397</v>
      </c>
      <c r="B28" s="735"/>
      <c r="C28" s="323"/>
      <c r="D28" s="467"/>
      <c r="E28" s="467"/>
      <c r="F28" s="458">
        <f>Dados!S11</f>
        <v>21.694999999999997</v>
      </c>
      <c r="G28" s="458">
        <f>F28</f>
        <v>21.694999999999997</v>
      </c>
      <c r="H28" s="458"/>
      <c r="I28" s="458"/>
      <c r="J28" s="459"/>
    </row>
    <row r="29" spans="1:12" ht="19.5" customHeight="1" x14ac:dyDescent="0.25">
      <c r="A29" s="736" t="s">
        <v>398</v>
      </c>
      <c r="B29" s="736"/>
      <c r="C29" s="736"/>
      <c r="D29" s="736"/>
      <c r="E29" s="736"/>
      <c r="F29" s="462">
        <f>SUM(F19:F28)</f>
        <v>919.71499999999992</v>
      </c>
      <c r="G29" s="462">
        <f>SUM(G19:G28)</f>
        <v>638.18499999999995</v>
      </c>
      <c r="H29" s="462">
        <f>SUM(H19:H28)</f>
        <v>475.2</v>
      </c>
      <c r="I29" s="462">
        <f>SUM(I19:I28)</f>
        <v>84.56</v>
      </c>
      <c r="J29" s="463">
        <f>SUM(J19:J28)</f>
        <v>0</v>
      </c>
    </row>
    <row r="30" spans="1:12" ht="19.5" customHeight="1" x14ac:dyDescent="0.25">
      <c r="A30" s="736" t="s">
        <v>399</v>
      </c>
      <c r="B30" s="736"/>
      <c r="C30" s="736"/>
      <c r="D30" s="736"/>
      <c r="E30" s="736"/>
      <c r="F30" s="462">
        <f>F16+F29</f>
        <v>4688.0050000000001</v>
      </c>
      <c r="G30" s="462">
        <f>G16+G29</f>
        <v>4406.4750000000004</v>
      </c>
      <c r="H30" s="462">
        <f>H16+H29</f>
        <v>475.2</v>
      </c>
      <c r="I30" s="462">
        <f>I16+I29</f>
        <v>84.56</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140.63999999999999</v>
      </c>
      <c r="G33" s="216">
        <f>ROUND((G30*$D$33),2)</f>
        <v>132.19</v>
      </c>
      <c r="H33" s="216">
        <f>ROUND((H30*$D$33),2)</f>
        <v>14.26</v>
      </c>
      <c r="I33" s="216">
        <f>ROUND((I30*$D$33),2)</f>
        <v>2.54</v>
      </c>
      <c r="J33" s="456">
        <f>ROUND((J30*$D$33),2)</f>
        <v>0</v>
      </c>
    </row>
    <row r="34" spans="1:12" ht="19.5" customHeight="1" x14ac:dyDescent="0.25">
      <c r="A34" s="738" t="s">
        <v>404</v>
      </c>
      <c r="B34" s="738"/>
      <c r="C34" s="738"/>
      <c r="D34" s="470"/>
      <c r="E34" s="471"/>
      <c r="F34" s="216">
        <f>F30+F33</f>
        <v>4828.6450000000004</v>
      </c>
      <c r="G34" s="216">
        <f>G30+G33</f>
        <v>4538.665</v>
      </c>
      <c r="H34" s="216">
        <f>H30+H33</f>
        <v>489.46</v>
      </c>
      <c r="I34" s="216">
        <f>I30+I33</f>
        <v>87.100000000000009</v>
      </c>
      <c r="J34" s="456">
        <f>J30+J33</f>
        <v>0</v>
      </c>
    </row>
    <row r="35" spans="1:12" ht="19.5" customHeight="1" x14ac:dyDescent="0.25">
      <c r="A35" s="472" t="s">
        <v>212</v>
      </c>
      <c r="B35" s="473"/>
      <c r="C35" s="473"/>
      <c r="D35" s="474">
        <f>Dados!$G$47</f>
        <v>6.7900000000000002E-2</v>
      </c>
      <c r="E35" s="475"/>
      <c r="F35" s="458">
        <f>ROUND((F34*$D$35),2)</f>
        <v>327.86</v>
      </c>
      <c r="G35" s="458">
        <f>ROUND((G34*$D$35),2)</f>
        <v>308.18</v>
      </c>
      <c r="H35" s="458">
        <f>ROUND((H34*$D$35),2)</f>
        <v>33.229999999999997</v>
      </c>
      <c r="I35" s="458">
        <f>ROUND((I34*$D$35),2)</f>
        <v>5.91</v>
      </c>
      <c r="J35" s="459">
        <f>ROUND((J34*$D$35),2)</f>
        <v>0</v>
      </c>
    </row>
    <row r="36" spans="1:12" ht="19.5" customHeight="1" x14ac:dyDescent="0.25">
      <c r="A36" s="476" t="s">
        <v>405</v>
      </c>
      <c r="B36" s="477"/>
      <c r="C36" s="477"/>
      <c r="D36" s="478">
        <f>SUM(D33:D35)</f>
        <v>9.7900000000000001E-2</v>
      </c>
      <c r="E36" s="479"/>
      <c r="F36" s="462">
        <f>F33+F35</f>
        <v>468.5</v>
      </c>
      <c r="G36" s="462">
        <f>G33+G35</f>
        <v>440.37</v>
      </c>
      <c r="H36" s="462">
        <f>H33+H35</f>
        <v>47.489999999999995</v>
      </c>
      <c r="I36" s="462">
        <f>I33+I35</f>
        <v>8.4499999999999993</v>
      </c>
      <c r="J36" s="463">
        <f>J33+J35</f>
        <v>0</v>
      </c>
    </row>
    <row r="37" spans="1:12" ht="19.5" customHeight="1" x14ac:dyDescent="0.25">
      <c r="A37" s="739" t="s">
        <v>406</v>
      </c>
      <c r="B37" s="739"/>
      <c r="C37" s="739"/>
      <c r="D37" s="739"/>
      <c r="E37" s="739"/>
      <c r="F37" s="480">
        <f>F30+F36</f>
        <v>5156.5050000000001</v>
      </c>
      <c r="G37" s="480">
        <f>G30+G36</f>
        <v>4846.8450000000003</v>
      </c>
      <c r="H37" s="480">
        <f>H30+H36</f>
        <v>522.68999999999994</v>
      </c>
      <c r="I37" s="480">
        <f>I30+I36</f>
        <v>93.01</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446.6</v>
      </c>
      <c r="G39" s="216">
        <f>ROUND((G45*$D$39),2)</f>
        <v>419.78</v>
      </c>
      <c r="H39" s="216">
        <f>ROUND((H45*$D$39),2)</f>
        <v>45.27</v>
      </c>
      <c r="I39" s="216">
        <f>ROUND((I45*$D$39),2)</f>
        <v>8.06</v>
      </c>
      <c r="J39" s="456">
        <f>ROUND((J45*$D$39),2)</f>
        <v>0</v>
      </c>
    </row>
    <row r="40" spans="1:12" ht="19.5" customHeight="1" x14ac:dyDescent="0.25">
      <c r="A40" s="733" t="s">
        <v>220</v>
      </c>
      <c r="B40" s="733"/>
      <c r="C40" s="733"/>
      <c r="D40" s="470">
        <f>Dados!G55</f>
        <v>1.6500000000000001E-2</v>
      </c>
      <c r="E40" s="216"/>
      <c r="F40" s="216">
        <f>ROUND((F45*$D$40),2)</f>
        <v>96.96</v>
      </c>
      <c r="G40" s="216">
        <f>ROUND((G45*$D$40),2)</f>
        <v>91.14</v>
      </c>
      <c r="H40" s="216">
        <f>ROUND((H45*$D$40),2)</f>
        <v>9.83</v>
      </c>
      <c r="I40" s="216">
        <f>ROUND((I45*$D$40),2)</f>
        <v>1.75</v>
      </c>
      <c r="J40" s="456">
        <f>ROUND((J45*$D$40),2)</f>
        <v>0</v>
      </c>
    </row>
    <row r="41" spans="1:12" ht="19.5" customHeight="1" x14ac:dyDescent="0.25">
      <c r="A41" s="733" t="s">
        <v>221</v>
      </c>
      <c r="B41" s="733"/>
      <c r="C41" s="733"/>
      <c r="D41" s="470">
        <f>Dados!G56</f>
        <v>0.03</v>
      </c>
      <c r="E41" s="216"/>
      <c r="F41" s="216">
        <f>ROUND((F45*$D$41),2)</f>
        <v>176.29</v>
      </c>
      <c r="G41" s="216">
        <f>ROUND((G45*$D$41),2)</f>
        <v>165.7</v>
      </c>
      <c r="H41" s="216">
        <f>ROUND((H45*$D$41),2)</f>
        <v>17.87</v>
      </c>
      <c r="I41" s="216">
        <f>ROUND((I45*$D$41),2)</f>
        <v>3.18</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719.85</v>
      </c>
      <c r="G43" s="484">
        <f>SUM(G39:G42)</f>
        <v>676.61999999999989</v>
      </c>
      <c r="H43" s="484">
        <f>SUM(H39:H42)</f>
        <v>72.97</v>
      </c>
      <c r="I43" s="484">
        <f>SUM(I39:I42)</f>
        <v>12.99</v>
      </c>
      <c r="J43" s="485">
        <f>SUM(J39:J41)</f>
        <v>0</v>
      </c>
    </row>
    <row r="44" spans="1:12" ht="19.5" customHeight="1" x14ac:dyDescent="0.25">
      <c r="A44" s="743" t="str">
        <f>CONCATENATE("Custo Mensal - ",A7)</f>
        <v>Custo Mensal - Zelador acúmulo função Lavador de Carro</v>
      </c>
      <c r="B44" s="743"/>
      <c r="C44" s="743"/>
      <c r="D44" s="743"/>
      <c r="E44" s="743"/>
      <c r="F44" s="486">
        <f>ROUND(F37/(1-D43),2)</f>
        <v>5876.36</v>
      </c>
      <c r="G44" s="486">
        <f>ROUND(G37/(1-D43),2)</f>
        <v>5523.47</v>
      </c>
      <c r="H44" s="486">
        <f>ROUND(H37/(1-D43),2)</f>
        <v>595.66</v>
      </c>
      <c r="I44" s="486">
        <f>ROUND(I37/(1-D43),2)</f>
        <v>105.99</v>
      </c>
      <c r="J44" s="487">
        <f>ROUND(J37/(1-D43),2)</f>
        <v>0</v>
      </c>
    </row>
    <row r="45" spans="1:12" ht="19.5" customHeight="1" x14ac:dyDescent="0.25">
      <c r="A45" s="744" t="str">
        <f>CONCATENATE("Valor do Custo Mensal - ",A7)</f>
        <v>Valor do Custo Mensal - Zelador acúmulo função Lavador de Carro</v>
      </c>
      <c r="B45" s="744"/>
      <c r="C45" s="744"/>
      <c r="D45" s="744"/>
      <c r="E45" s="744"/>
      <c r="F45" s="486">
        <f>F44</f>
        <v>5876.36</v>
      </c>
      <c r="G45" s="486">
        <f>G44</f>
        <v>5523.47</v>
      </c>
      <c r="H45" s="486">
        <f>H44</f>
        <v>595.66</v>
      </c>
      <c r="I45" s="486">
        <f>I44</f>
        <v>105.99</v>
      </c>
      <c r="J45" s="487">
        <f>J44</f>
        <v>0</v>
      </c>
      <c r="K45" s="324"/>
      <c r="L45" s="324"/>
    </row>
    <row r="46" spans="1:12" ht="27.75" customHeight="1" x14ac:dyDescent="0.25">
      <c r="A46" s="745" t="s">
        <v>409</v>
      </c>
      <c r="B46" s="745"/>
      <c r="C46" s="745"/>
      <c r="D46" s="745"/>
      <c r="E46" s="745"/>
      <c r="F46" s="488">
        <f>(F45/F14)</f>
        <v>2.7508215445974669</v>
      </c>
      <c r="G46" s="488">
        <f>(G45/G14)</f>
        <v>2.5856278847684231</v>
      </c>
      <c r="H46" s="741" t="s">
        <v>410</v>
      </c>
      <c r="I46" s="741"/>
      <c r="J46" s="325">
        <v>0</v>
      </c>
    </row>
    <row r="47" spans="1:12" ht="19.5" customHeight="1" x14ac:dyDescent="0.25"/>
  </sheetData>
  <sheetProtection algorithmName="SHA-512" hashValue="qwQTck667FPMuOFqwxtuW8aihgWRLYB3K12eyLJXSwrIBuahpRPEjKQh6XL0PwDtEC169w5wyW/vx82/J7jWmQ==" saltValue="saCHK0Z6K/cfAY7sXKDmtA==" spinCount="100000" sheet="1" objects="1" scenarios="1"/>
  <mergeCells count="49">
    <mergeCell ref="H46:I46"/>
    <mergeCell ref="A42:C42"/>
    <mergeCell ref="A43:C43"/>
    <mergeCell ref="A44:E44"/>
    <mergeCell ref="A45:E45"/>
    <mergeCell ref="A46:E46"/>
    <mergeCell ref="A37:E37"/>
    <mergeCell ref="A38:J38"/>
    <mergeCell ref="A39:C39"/>
    <mergeCell ref="A40:C40"/>
    <mergeCell ref="A41:C41"/>
    <mergeCell ref="A30:E30"/>
    <mergeCell ref="A31:J31"/>
    <mergeCell ref="A32:C32"/>
    <mergeCell ref="E32:J32"/>
    <mergeCell ref="A34:C34"/>
    <mergeCell ref="A24:B24"/>
    <mergeCell ref="A25:B25"/>
    <mergeCell ref="A26:B26"/>
    <mergeCell ref="A28:B28"/>
    <mergeCell ref="A29:E29"/>
    <mergeCell ref="A19:B19"/>
    <mergeCell ref="A20:B20"/>
    <mergeCell ref="A21:B21"/>
    <mergeCell ref="A22:B22"/>
    <mergeCell ref="A23:B23"/>
    <mergeCell ref="A16:E16"/>
    <mergeCell ref="A17:J17"/>
    <mergeCell ref="A18:B18"/>
    <mergeCell ref="D18:E18"/>
    <mergeCell ref="F18:J18"/>
    <mergeCell ref="A9:J9"/>
    <mergeCell ref="B10:C10"/>
    <mergeCell ref="F10:J10"/>
    <mergeCell ref="A11:A15"/>
    <mergeCell ref="B11:C11"/>
    <mergeCell ref="B12:C12"/>
    <mergeCell ref="B14:E14"/>
    <mergeCell ref="B15:D15"/>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K47"/>
  <sheetViews>
    <sheetView showGridLines="0" zoomScaleNormal="100" zoomScaleSheetLayoutView="120" zoomScalePageLayoutView="140" workbookViewId="0">
      <selection activeCell="E12" sqref="E12"/>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ht="15.75" thickBot="1" x14ac:dyDescent="0.3">
      <c r="A3" s="166"/>
      <c r="B3" s="320" t="str">
        <f>INSTRUÇÕES!B3</f>
        <v>Subseção Judiciária de Uberaba</v>
      </c>
      <c r="C3" s="58"/>
      <c r="D3" s="58"/>
      <c r="E3" s="58"/>
      <c r="F3" s="318"/>
      <c r="I3" s="318"/>
      <c r="J3" s="319"/>
    </row>
    <row r="4" spans="1:10" ht="19.5" customHeight="1" thickBot="1" x14ac:dyDescent="0.3">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s="1" customFormat="1" ht="36" customHeight="1" thickBot="1" x14ac:dyDescent="0.3">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thickBot="1" x14ac:dyDescent="0.3">
      <c r="A7" s="719" t="str">
        <f>Dados!C12</f>
        <v>Encarregado</v>
      </c>
      <c r="B7" s="719"/>
      <c r="C7" s="719"/>
      <c r="D7" s="719"/>
      <c r="E7" s="719"/>
      <c r="F7" s="720" t="s">
        <v>375</v>
      </c>
      <c r="G7" s="720" t="s">
        <v>376</v>
      </c>
      <c r="H7" s="720" t="s">
        <v>377</v>
      </c>
      <c r="I7" s="720" t="s">
        <v>378</v>
      </c>
      <c r="J7" s="720" t="s">
        <v>379</v>
      </c>
    </row>
    <row r="8" spans="1:10" ht="19.5" customHeight="1" thickBot="1" x14ac:dyDescent="0.3">
      <c r="A8" s="721" t="s">
        <v>550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Encarregado</v>
      </c>
      <c r="C11" s="576"/>
      <c r="D11" s="28">
        <f>Dados!$D$12</f>
        <v>200</v>
      </c>
      <c r="E11" s="455">
        <f>Dados!$E$12</f>
        <v>2279.1999999999998</v>
      </c>
      <c r="F11" s="216">
        <f>ROUND(E11/220*D11,2)</f>
        <v>2072</v>
      </c>
      <c r="G11" s="216">
        <f>F11</f>
        <v>2072</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21.75" customHeight="1" x14ac:dyDescent="0.25">
      <c r="A13" s="725"/>
      <c r="B13" s="489" t="s">
        <v>386</v>
      </c>
      <c r="C13" s="490">
        <f>Dados!$I$13</f>
        <v>0</v>
      </c>
      <c r="D13" s="490">
        <f>Dados!$J$13</f>
        <v>0</v>
      </c>
      <c r="E13" s="457">
        <f>Dados!$K$13</f>
        <v>0</v>
      </c>
      <c r="F13" s="458">
        <f>ROUND((E13*D13*C13),2)</f>
        <v>0</v>
      </c>
      <c r="G13" s="458">
        <f>F13</f>
        <v>0</v>
      </c>
      <c r="H13" s="458"/>
      <c r="I13" s="458"/>
      <c r="J13" s="459"/>
    </row>
    <row r="14" spans="1:10" ht="19.5" customHeight="1" x14ac:dyDescent="0.25">
      <c r="A14" s="725"/>
      <c r="B14" s="726" t="s">
        <v>387</v>
      </c>
      <c r="C14" s="726"/>
      <c r="D14" s="726"/>
      <c r="E14" s="726"/>
      <c r="F14" s="460">
        <f>SUM(F11:F13)</f>
        <v>2072</v>
      </c>
      <c r="G14" s="460">
        <f>SUM(G11:G13)</f>
        <v>2072</v>
      </c>
      <c r="H14" s="460">
        <f>SUM(H11:H13)</f>
        <v>0</v>
      </c>
      <c r="I14" s="460">
        <f>SUM(I11:I13)</f>
        <v>0</v>
      </c>
      <c r="J14" s="461">
        <f>SUM(J11:J13)</f>
        <v>0</v>
      </c>
    </row>
    <row r="15" spans="1:10" ht="19.5" customHeight="1" thickBot="1" x14ac:dyDescent="0.3">
      <c r="A15" s="725"/>
      <c r="B15" s="727" t="s">
        <v>388</v>
      </c>
      <c r="C15" s="727"/>
      <c r="D15" s="727"/>
      <c r="E15" s="491">
        <f>Encargos!$C$57</f>
        <v>0.76400000000000001</v>
      </c>
      <c r="F15" s="216">
        <f>ROUND((E15*F14),2)</f>
        <v>1583.01</v>
      </c>
      <c r="G15" s="216">
        <f>F15</f>
        <v>1583.01</v>
      </c>
      <c r="H15" s="216"/>
      <c r="I15" s="216"/>
      <c r="J15" s="456">
        <f>ROUND((E15*J14),2)</f>
        <v>0</v>
      </c>
    </row>
    <row r="16" spans="1:10" ht="19.5" customHeight="1" thickBot="1" x14ac:dyDescent="0.3">
      <c r="A16" s="728" t="s">
        <v>389</v>
      </c>
      <c r="B16" s="728"/>
      <c r="C16" s="728"/>
      <c r="D16" s="728"/>
      <c r="E16" s="728"/>
      <c r="F16" s="462">
        <f>SUM(F14:F15)</f>
        <v>3655.01</v>
      </c>
      <c r="G16" s="462">
        <f>SUM(G14:G15)</f>
        <v>3655.01</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Dados!$N$12</f>
        <v>49.35</v>
      </c>
      <c r="G19" s="216">
        <f>F19</f>
        <v>49.35</v>
      </c>
      <c r="H19" s="216"/>
      <c r="I19" s="216"/>
      <c r="J19" s="456"/>
    </row>
    <row r="20" spans="1:12" ht="19.5" customHeight="1" x14ac:dyDescent="0.25">
      <c r="A20" s="733" t="s">
        <v>394</v>
      </c>
      <c r="B20" s="733"/>
      <c r="C20" s="464"/>
      <c r="D20" s="464"/>
      <c r="E20" s="464"/>
      <c r="F20" s="216">
        <f>Dados!$G$33</f>
        <v>7.2</v>
      </c>
      <c r="G20" s="216">
        <f>F20</f>
        <v>7.2</v>
      </c>
      <c r="H20" s="216"/>
      <c r="I20" s="216"/>
      <c r="J20" s="456"/>
    </row>
    <row r="21" spans="1:12" ht="23.25" customHeight="1" x14ac:dyDescent="0.25">
      <c r="A21" s="734" t="s">
        <v>194</v>
      </c>
      <c r="B21" s="734"/>
      <c r="C21" s="464"/>
      <c r="D21" s="464"/>
      <c r="E21" s="464"/>
      <c r="F21" s="216">
        <f>Dados!G34</f>
        <v>0</v>
      </c>
      <c r="G21" s="216">
        <f>F21</f>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84.68</v>
      </c>
      <c r="G22" s="216">
        <f>F22</f>
        <v>84.68</v>
      </c>
      <c r="H22" s="216"/>
      <c r="I22" s="216">
        <f>F22</f>
        <v>84.68</v>
      </c>
      <c r="J22" s="456"/>
    </row>
    <row r="23" spans="1:12" ht="19.5" customHeight="1" x14ac:dyDescent="0.25">
      <c r="A23" s="733" t="s">
        <v>204</v>
      </c>
      <c r="B23" s="733"/>
      <c r="C23" s="321">
        <f>Dados!G40</f>
        <v>22</v>
      </c>
      <c r="D23" s="322">
        <f>Dados!G41</f>
        <v>0.2</v>
      </c>
      <c r="E23" s="464">
        <f>Dados!$G$39</f>
        <v>27</v>
      </c>
      <c r="F23" s="241">
        <f>ROUND((IF(D11&gt;150,((C23*E23)-(C23*(D23*E23))),0)),2)</f>
        <v>475.2</v>
      </c>
      <c r="G23" s="216">
        <f>F23</f>
        <v>475.2</v>
      </c>
      <c r="H23" s="216">
        <f>$F$23</f>
        <v>475.2</v>
      </c>
      <c r="I23" s="241"/>
      <c r="J23" s="456"/>
    </row>
    <row r="24" spans="1:12" ht="19.5" customHeight="1" x14ac:dyDescent="0.25">
      <c r="A24" s="733" t="s">
        <v>207</v>
      </c>
      <c r="B24" s="733"/>
      <c r="C24" s="321"/>
      <c r="D24" s="321"/>
      <c r="E24" s="464"/>
      <c r="F24" s="241">
        <f>Dados!$G$42</f>
        <v>0</v>
      </c>
      <c r="G24" s="216"/>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395</v>
      </c>
      <c r="B26" s="733"/>
      <c r="C26" s="321"/>
      <c r="D26" s="464"/>
      <c r="E26" s="464"/>
      <c r="F26" s="216"/>
      <c r="G26" s="216"/>
      <c r="H26" s="216"/>
      <c r="I26" s="216"/>
      <c r="J26" s="456"/>
      <c r="L26" s="58"/>
    </row>
    <row r="27" spans="1:12" ht="19.5" customHeight="1" x14ac:dyDescent="0.25">
      <c r="A27" s="465" t="s">
        <v>396</v>
      </c>
      <c r="B27" s="466"/>
      <c r="C27" s="321"/>
      <c r="D27" s="464"/>
      <c r="E27" s="464"/>
      <c r="F27" s="216"/>
      <c r="G27" s="216"/>
      <c r="H27" s="216"/>
      <c r="I27" s="216"/>
      <c r="J27" s="456"/>
    </row>
    <row r="28" spans="1:12" ht="19.5" customHeight="1" thickBot="1" x14ac:dyDescent="0.3">
      <c r="A28" s="735" t="s">
        <v>397</v>
      </c>
      <c r="B28" s="735"/>
      <c r="C28" s="323"/>
      <c r="D28" s="467"/>
      <c r="E28" s="467"/>
      <c r="F28" s="458"/>
      <c r="G28" s="458"/>
      <c r="H28" s="458"/>
      <c r="I28" s="458"/>
      <c r="J28" s="459"/>
    </row>
    <row r="29" spans="1:12" ht="19.5" customHeight="1" thickBot="1" x14ac:dyDescent="0.3">
      <c r="A29" s="736" t="s">
        <v>398</v>
      </c>
      <c r="B29" s="736"/>
      <c r="C29" s="736"/>
      <c r="D29" s="736"/>
      <c r="E29" s="736"/>
      <c r="F29" s="462">
        <f>SUM(F19:F28)</f>
        <v>616.43000000000006</v>
      </c>
      <c r="G29" s="462">
        <f>SUM(G19:G28)</f>
        <v>616.43000000000006</v>
      </c>
      <c r="H29" s="462">
        <f>SUM(H19:H28)</f>
        <v>475.2</v>
      </c>
      <c r="I29" s="462">
        <f>SUM(I19:I28)</f>
        <v>84.68</v>
      </c>
      <c r="J29" s="463">
        <f>SUM(J19:J28)</f>
        <v>0</v>
      </c>
    </row>
    <row r="30" spans="1:12" ht="19.5" customHeight="1" thickBot="1" x14ac:dyDescent="0.3">
      <c r="A30" s="736" t="s">
        <v>399</v>
      </c>
      <c r="B30" s="736"/>
      <c r="C30" s="736"/>
      <c r="D30" s="736"/>
      <c r="E30" s="736"/>
      <c r="F30" s="462">
        <f>F16+F29</f>
        <v>4271.4400000000005</v>
      </c>
      <c r="G30" s="462">
        <f>G16+G29</f>
        <v>4271.4400000000005</v>
      </c>
      <c r="H30" s="462">
        <f>H16+H29</f>
        <v>475.2</v>
      </c>
      <c r="I30" s="462">
        <f>I16+I29</f>
        <v>84.68</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128.13999999999999</v>
      </c>
      <c r="G33" s="216">
        <f>ROUND((G30*$D$33),2)</f>
        <v>128.13999999999999</v>
      </c>
      <c r="H33" s="216">
        <f>ROUND((H30*$D$33),2)</f>
        <v>14.26</v>
      </c>
      <c r="I33" s="216">
        <f>ROUND((I30*$D$33),2)</f>
        <v>2.54</v>
      </c>
      <c r="J33" s="456">
        <f>ROUND((J30*$D$33),2)</f>
        <v>0</v>
      </c>
    </row>
    <row r="34" spans="1:12" ht="19.5" customHeight="1" x14ac:dyDescent="0.25">
      <c r="A34" s="738" t="s">
        <v>404</v>
      </c>
      <c r="B34" s="738"/>
      <c r="C34" s="738"/>
      <c r="D34" s="470"/>
      <c r="E34" s="471"/>
      <c r="F34" s="216">
        <f>F30+F33</f>
        <v>4399.5800000000008</v>
      </c>
      <c r="G34" s="216">
        <f>G30+G33</f>
        <v>4399.5800000000008</v>
      </c>
      <c r="H34" s="216">
        <f>H30+H33</f>
        <v>489.46</v>
      </c>
      <c r="I34" s="216">
        <f>I30+I33</f>
        <v>87.220000000000013</v>
      </c>
      <c r="J34" s="456">
        <f>J30+J33</f>
        <v>0</v>
      </c>
    </row>
    <row r="35" spans="1:12" ht="19.5" customHeight="1" thickBot="1" x14ac:dyDescent="0.3">
      <c r="A35" s="472" t="s">
        <v>212</v>
      </c>
      <c r="B35" s="473"/>
      <c r="C35" s="473"/>
      <c r="D35" s="474">
        <f>Dados!$G$47</f>
        <v>6.7900000000000002E-2</v>
      </c>
      <c r="E35" s="475"/>
      <c r="F35" s="458">
        <f>ROUND((F34*$D$35),2)</f>
        <v>298.73</v>
      </c>
      <c r="G35" s="458">
        <f>ROUND((G34*$D$35),2)</f>
        <v>298.73</v>
      </c>
      <c r="H35" s="458">
        <f>ROUND((H34*$D$35),2)</f>
        <v>33.229999999999997</v>
      </c>
      <c r="I35" s="458">
        <f>ROUND((I34*$D$35),2)</f>
        <v>5.92</v>
      </c>
      <c r="J35" s="459">
        <f>ROUND((J34*$D$35),2)</f>
        <v>0</v>
      </c>
    </row>
    <row r="36" spans="1:12" ht="19.5" customHeight="1" thickBot="1" x14ac:dyDescent="0.3">
      <c r="A36" s="476" t="s">
        <v>405</v>
      </c>
      <c r="B36" s="477"/>
      <c r="C36" s="477"/>
      <c r="D36" s="478">
        <f>SUM(D33:D35)</f>
        <v>9.7900000000000001E-2</v>
      </c>
      <c r="E36" s="479"/>
      <c r="F36" s="462">
        <f>F33+F35</f>
        <v>426.87</v>
      </c>
      <c r="G36" s="462">
        <f>G33+G35</f>
        <v>426.87</v>
      </c>
      <c r="H36" s="462">
        <f>H33+H35</f>
        <v>47.489999999999995</v>
      </c>
      <c r="I36" s="462">
        <f>I33+I35</f>
        <v>8.4600000000000009</v>
      </c>
      <c r="J36" s="463">
        <f>J33+J35</f>
        <v>0</v>
      </c>
    </row>
    <row r="37" spans="1:12" ht="19.5" customHeight="1" thickBot="1" x14ac:dyDescent="0.3">
      <c r="A37" s="739" t="s">
        <v>406</v>
      </c>
      <c r="B37" s="739"/>
      <c r="C37" s="739"/>
      <c r="D37" s="739"/>
      <c r="E37" s="739"/>
      <c r="F37" s="480">
        <f>F30+F36</f>
        <v>4698.3100000000004</v>
      </c>
      <c r="G37" s="480">
        <f>G30+G36</f>
        <v>4698.3100000000004</v>
      </c>
      <c r="H37" s="480">
        <f>H30+H36</f>
        <v>522.68999999999994</v>
      </c>
      <c r="I37" s="480">
        <f>I30+I36</f>
        <v>93.140000000000015</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406.92</v>
      </c>
      <c r="G39" s="216">
        <f>ROUND((G45*$D$39),2)</f>
        <v>406.92</v>
      </c>
      <c r="H39" s="216">
        <f>ROUND((H45*$D$39),2)</f>
        <v>45.27</v>
      </c>
      <c r="I39" s="216">
        <f>ROUND((I45*$D$39),2)</f>
        <v>8.07</v>
      </c>
      <c r="J39" s="456">
        <f>ROUND((J45*$D$39),2)</f>
        <v>0</v>
      </c>
    </row>
    <row r="40" spans="1:12" ht="19.5" customHeight="1" x14ac:dyDescent="0.25">
      <c r="A40" s="733" t="s">
        <v>220</v>
      </c>
      <c r="B40" s="733"/>
      <c r="C40" s="733"/>
      <c r="D40" s="470">
        <f>Dados!G55</f>
        <v>1.6500000000000001E-2</v>
      </c>
      <c r="E40" s="216"/>
      <c r="F40" s="216">
        <f>ROUND((F45*$D$40),2)</f>
        <v>88.34</v>
      </c>
      <c r="G40" s="216">
        <f>ROUND((G45*$D$40),2)</f>
        <v>88.34</v>
      </c>
      <c r="H40" s="216">
        <f>ROUND((H45*$D$40),2)</f>
        <v>9.83</v>
      </c>
      <c r="I40" s="216">
        <f>ROUND((I45*$D$40),2)</f>
        <v>1.75</v>
      </c>
      <c r="J40" s="456">
        <f>ROUND((J45*$D$40),2)</f>
        <v>0</v>
      </c>
    </row>
    <row r="41" spans="1:12" ht="19.5" customHeight="1" x14ac:dyDescent="0.25">
      <c r="A41" s="733" t="s">
        <v>221</v>
      </c>
      <c r="B41" s="733"/>
      <c r="C41" s="733"/>
      <c r="D41" s="470">
        <f>Dados!G56</f>
        <v>0.03</v>
      </c>
      <c r="E41" s="216"/>
      <c r="F41" s="216">
        <f>ROUND((F45*$D$41),2)</f>
        <v>160.63</v>
      </c>
      <c r="G41" s="216">
        <f>ROUND((G45*$D$41),2)</f>
        <v>160.63</v>
      </c>
      <c r="H41" s="216">
        <f>ROUND((H45*$D$41),2)</f>
        <v>17.87</v>
      </c>
      <c r="I41" s="216">
        <f>ROUND((I45*$D$41),2)</f>
        <v>3.18</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655.89</v>
      </c>
      <c r="G43" s="484">
        <f>SUM(G39:G42)</f>
        <v>655.89</v>
      </c>
      <c r="H43" s="484">
        <f>SUM(H39:H42)</f>
        <v>72.97</v>
      </c>
      <c r="I43" s="484">
        <f>SUM(I39:I42)</f>
        <v>13</v>
      </c>
      <c r="J43" s="485">
        <f>SUM(J39:J41)</f>
        <v>0</v>
      </c>
    </row>
    <row r="44" spans="1:12" ht="19.5" customHeight="1" x14ac:dyDescent="0.25">
      <c r="A44" s="743" t="str">
        <f>CONCATENATE("Custo Mensal - ",A7)</f>
        <v>Custo Mensal - Encarregado</v>
      </c>
      <c r="B44" s="743"/>
      <c r="C44" s="743"/>
      <c r="D44" s="743"/>
      <c r="E44" s="743"/>
      <c r="F44" s="486">
        <f>ROUND(F37/(1-D43),2)</f>
        <v>5354.2</v>
      </c>
      <c r="G44" s="486">
        <f>ROUND(G37/(1-D43),2)</f>
        <v>5354.2</v>
      </c>
      <c r="H44" s="486">
        <f>ROUND(H37/(1-D43),2)</f>
        <v>595.66</v>
      </c>
      <c r="I44" s="486">
        <f>ROUND(I37/(1-D43),2)</f>
        <v>106.14</v>
      </c>
      <c r="J44" s="487">
        <f>ROUND(J37/(1-D43),2)</f>
        <v>0</v>
      </c>
    </row>
    <row r="45" spans="1:12" ht="19.5" customHeight="1" x14ac:dyDescent="0.25">
      <c r="A45" s="744" t="str">
        <f>CONCATENATE("Valor do Custo Mensal - ",A7)</f>
        <v>Valor do Custo Mensal - Encarregado</v>
      </c>
      <c r="B45" s="744"/>
      <c r="C45" s="744"/>
      <c r="D45" s="744"/>
      <c r="E45" s="744"/>
      <c r="F45" s="486">
        <f>F44</f>
        <v>5354.2</v>
      </c>
      <c r="G45" s="486">
        <f>G44</f>
        <v>5354.2</v>
      </c>
      <c r="H45" s="486">
        <f>H44</f>
        <v>595.66</v>
      </c>
      <c r="I45" s="486">
        <f>I44</f>
        <v>106.14</v>
      </c>
      <c r="J45" s="487">
        <f>J44</f>
        <v>0</v>
      </c>
      <c r="K45" s="324"/>
      <c r="L45" s="324"/>
    </row>
    <row r="46" spans="1:12" ht="27.75" customHeight="1" thickBot="1" x14ac:dyDescent="0.3">
      <c r="A46" s="745" t="s">
        <v>409</v>
      </c>
      <c r="B46" s="745"/>
      <c r="C46" s="745"/>
      <c r="D46" s="745"/>
      <c r="E46" s="745"/>
      <c r="F46" s="488">
        <f>(F45/F14)</f>
        <v>2.5840733590733591</v>
      </c>
      <c r="G46" s="488">
        <f>(G45/G14)</f>
        <v>2.5840733590733591</v>
      </c>
      <c r="H46" s="741" t="s">
        <v>410</v>
      </c>
      <c r="I46" s="741"/>
      <c r="J46" s="325">
        <v>0</v>
      </c>
    </row>
    <row r="47" spans="1:12" ht="19.5" customHeight="1" x14ac:dyDescent="0.25"/>
  </sheetData>
  <sheetProtection algorithmName="SHA-512" hashValue="haHgVcJHCnvLI9KkYTR/QyJb6s4mNA2ymo5uOSkqqNInE91hdbU4nGrNdtNoblMopKytpbpoabYURv2CSlkWlQ==" saltValue="iaqEuRgXrgWVVQ++QkJ+NA==" spinCount="100000" sheet="1" objects="1" scenarios="1"/>
  <mergeCells count="49">
    <mergeCell ref="A4:J4"/>
    <mergeCell ref="A5:J5"/>
    <mergeCell ref="A6:J6"/>
    <mergeCell ref="A7:E7"/>
    <mergeCell ref="F7:F8"/>
    <mergeCell ref="G7:G8"/>
    <mergeCell ref="H7:H8"/>
    <mergeCell ref="I7:I8"/>
    <mergeCell ref="J7:J8"/>
    <mergeCell ref="A8:D8"/>
    <mergeCell ref="A19:B19"/>
    <mergeCell ref="A9:J9"/>
    <mergeCell ref="B10:C10"/>
    <mergeCell ref="F10:J10"/>
    <mergeCell ref="A11:A15"/>
    <mergeCell ref="B11:C11"/>
    <mergeCell ref="B12:C12"/>
    <mergeCell ref="B14:E14"/>
    <mergeCell ref="B15:D15"/>
    <mergeCell ref="A16:E16"/>
    <mergeCell ref="A17:J17"/>
    <mergeCell ref="A18:B18"/>
    <mergeCell ref="D18:E18"/>
    <mergeCell ref="F18:J18"/>
    <mergeCell ref="A32:C32"/>
    <mergeCell ref="E32:J32"/>
    <mergeCell ref="A20:B20"/>
    <mergeCell ref="A21:B21"/>
    <mergeCell ref="A22:B22"/>
    <mergeCell ref="A23:B23"/>
    <mergeCell ref="A24:B24"/>
    <mergeCell ref="A25:B25"/>
    <mergeCell ref="A26:B26"/>
    <mergeCell ref="A28:B28"/>
    <mergeCell ref="A29:E29"/>
    <mergeCell ref="A30:E30"/>
    <mergeCell ref="A31:J31"/>
    <mergeCell ref="H46:I46"/>
    <mergeCell ref="A34:C34"/>
    <mergeCell ref="A37:E37"/>
    <mergeCell ref="A38:J38"/>
    <mergeCell ref="A39:C39"/>
    <mergeCell ref="A40:C40"/>
    <mergeCell ref="A41:C41"/>
    <mergeCell ref="A42:C42"/>
    <mergeCell ref="A43:C43"/>
    <mergeCell ref="A44:E44"/>
    <mergeCell ref="A45:E45"/>
    <mergeCell ref="A46:E4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MK47"/>
  <sheetViews>
    <sheetView showGridLines="0" zoomScaleNormal="100" zoomScaleSheetLayoutView="140" zoomScalePageLayoutView="140" workbookViewId="0">
      <selection activeCell="G30" sqref="G30"/>
    </sheetView>
  </sheetViews>
  <sheetFormatPr defaultColWidth="8.7109375" defaultRowHeight="15" x14ac:dyDescent="0.25"/>
  <cols>
    <col min="1" max="1" width="10.5703125" style="69" customWidth="1"/>
    <col min="2" max="2" width="27.7109375" style="69" customWidth="1"/>
    <col min="3" max="3" width="14.42578125" style="69" customWidth="1"/>
    <col min="4" max="5" width="15" style="69" customWidth="1"/>
    <col min="6" max="6" width="16.7109375" style="311" customWidth="1"/>
    <col min="7" max="8" width="13.140625" style="311" customWidth="1"/>
    <col min="9" max="10" width="12.5703125" style="311" customWidth="1"/>
    <col min="11" max="257" width="9.140625" style="69" customWidth="1"/>
    <col min="258" max="258" width="10.5703125" style="69" customWidth="1"/>
    <col min="259" max="259" width="27.7109375" style="69" customWidth="1"/>
    <col min="260" max="260" width="14.42578125" style="69" customWidth="1"/>
    <col min="261" max="262" width="15" style="69" customWidth="1"/>
    <col min="263" max="263" width="16.7109375" style="69" customWidth="1"/>
    <col min="264" max="264" width="13.140625" style="69" customWidth="1"/>
    <col min="265" max="266" width="12.5703125" style="69" customWidth="1"/>
    <col min="267" max="513" width="9.140625" style="69" customWidth="1"/>
    <col min="514" max="514" width="10.5703125" style="69" customWidth="1"/>
    <col min="515" max="515" width="27.7109375" style="69" customWidth="1"/>
    <col min="516" max="516" width="14.42578125" style="69" customWidth="1"/>
    <col min="517" max="518" width="15" style="69" customWidth="1"/>
    <col min="519" max="519" width="16.7109375" style="69" customWidth="1"/>
    <col min="520" max="520" width="13.140625" style="69" customWidth="1"/>
    <col min="521" max="522" width="12.5703125" style="69" customWidth="1"/>
    <col min="523" max="769" width="9.140625" style="69" customWidth="1"/>
    <col min="770" max="770" width="10.5703125" style="69" customWidth="1"/>
    <col min="771" max="771" width="27.7109375" style="69" customWidth="1"/>
    <col min="772" max="772" width="14.42578125" style="69" customWidth="1"/>
    <col min="773" max="774" width="15" style="69" customWidth="1"/>
    <col min="775" max="775" width="16.7109375" style="69" customWidth="1"/>
    <col min="776" max="776" width="13.140625" style="69" customWidth="1"/>
    <col min="777" max="778" width="12.5703125" style="69" customWidth="1"/>
    <col min="779" max="1025" width="9.140625" style="69" customWidth="1"/>
  </cols>
  <sheetData>
    <row r="1" spans="1:10" x14ac:dyDescent="0.25">
      <c r="A1" s="312"/>
      <c r="B1" s="100" t="str">
        <f>INSTRUÇÕES!B1</f>
        <v>Tribunal Regional Federal da 6ª Região</v>
      </c>
      <c r="C1" s="313"/>
      <c r="D1" s="313"/>
      <c r="E1" s="313"/>
      <c r="F1" s="314"/>
      <c r="G1" s="315"/>
      <c r="H1" s="315"/>
      <c r="I1" s="314"/>
      <c r="J1" s="316"/>
    </row>
    <row r="2" spans="1:10" x14ac:dyDescent="0.25">
      <c r="A2" s="317"/>
      <c r="B2" s="102" t="str">
        <f>INSTRUÇÕES!B2</f>
        <v>Seção Judiciária de Minas Gerais</v>
      </c>
      <c r="C2" s="58"/>
      <c r="D2" s="58"/>
      <c r="E2" s="58"/>
      <c r="F2" s="318"/>
      <c r="I2" s="318"/>
      <c r="J2" s="319"/>
    </row>
    <row r="3" spans="1:10" x14ac:dyDescent="0.25">
      <c r="A3" s="166"/>
      <c r="B3" s="320" t="str">
        <f>INSTRUÇÕES!B3</f>
        <v>Subseção Judiciária de Uberaba</v>
      </c>
      <c r="C3" s="58"/>
      <c r="D3" s="58"/>
      <c r="E3" s="58"/>
      <c r="F3" s="318"/>
      <c r="I3" s="318"/>
      <c r="J3" s="319"/>
    </row>
    <row r="4" spans="1:10" ht="19.5" customHeight="1" x14ac:dyDescent="0.25">
      <c r="A4" s="666" t="s">
        <v>374</v>
      </c>
      <c r="B4" s="666"/>
      <c r="C4" s="666"/>
      <c r="D4" s="666"/>
      <c r="E4" s="666"/>
      <c r="F4" s="666"/>
      <c r="G4" s="666"/>
      <c r="H4" s="666"/>
      <c r="I4" s="666"/>
      <c r="J4" s="666"/>
    </row>
    <row r="5" spans="1:10" ht="19.5" customHeight="1" x14ac:dyDescent="0.25">
      <c r="A5" s="717" t="s">
        <v>520</v>
      </c>
      <c r="B5" s="717"/>
      <c r="C5" s="717"/>
      <c r="D5" s="717"/>
      <c r="E5" s="717"/>
      <c r="F5" s="717"/>
      <c r="G5" s="717"/>
      <c r="H5" s="717"/>
      <c r="I5" s="717"/>
      <c r="J5" s="717"/>
    </row>
    <row r="6" spans="1:10" s="1" customFormat="1" ht="36" customHeight="1" x14ac:dyDescent="0.25">
      <c r="A6" s="718" t="str">
        <f>Dados!A4</f>
        <v>Sindicato utilizado - SINTAPPI x SINSERHT. Vigência: 2024/2025. Sendo a data base da categoria 01° de Abril. Com número de registro no MTE MG002103/2024.</v>
      </c>
      <c r="B6" s="718"/>
      <c r="C6" s="718"/>
      <c r="D6" s="718"/>
      <c r="E6" s="718"/>
      <c r="F6" s="718"/>
      <c r="G6" s="718"/>
      <c r="H6" s="718"/>
      <c r="I6" s="718"/>
      <c r="J6" s="718"/>
    </row>
    <row r="7" spans="1:10" ht="19.5" customHeight="1" x14ac:dyDescent="0.25">
      <c r="A7" s="719" t="str">
        <f>Dados!C13</f>
        <v>Auxiliar Administrativo</v>
      </c>
      <c r="B7" s="719"/>
      <c r="C7" s="719"/>
      <c r="D7" s="719"/>
      <c r="E7" s="719"/>
      <c r="F7" s="720" t="s">
        <v>375</v>
      </c>
      <c r="G7" s="720" t="s">
        <v>376</v>
      </c>
      <c r="H7" s="720" t="s">
        <v>377</v>
      </c>
      <c r="I7" s="720" t="s">
        <v>378</v>
      </c>
      <c r="J7" s="720" t="s">
        <v>379</v>
      </c>
    </row>
    <row r="8" spans="1:10" ht="19.5" customHeight="1" x14ac:dyDescent="0.25">
      <c r="A8" s="721" t="s">
        <v>550</v>
      </c>
      <c r="B8" s="721"/>
      <c r="C8" s="721"/>
      <c r="D8" s="721"/>
      <c r="E8" s="452" t="s">
        <v>349</v>
      </c>
      <c r="F8" s="720"/>
      <c r="G8" s="720"/>
      <c r="H8" s="720"/>
      <c r="I8" s="720"/>
      <c r="J8" s="720"/>
    </row>
    <row r="9" spans="1:10" ht="19.5" customHeight="1" x14ac:dyDescent="0.25">
      <c r="A9" s="722" t="s">
        <v>381</v>
      </c>
      <c r="B9" s="722"/>
      <c r="C9" s="722"/>
      <c r="D9" s="722"/>
      <c r="E9" s="722"/>
      <c r="F9" s="722"/>
      <c r="G9" s="722"/>
      <c r="H9" s="722"/>
      <c r="I9" s="722"/>
      <c r="J9" s="722"/>
    </row>
    <row r="10" spans="1:10" ht="24" customHeight="1" x14ac:dyDescent="0.25">
      <c r="A10" s="171" t="s">
        <v>350</v>
      </c>
      <c r="B10" s="723" t="s">
        <v>382</v>
      </c>
      <c r="C10" s="723"/>
      <c r="D10" s="453" t="s">
        <v>383</v>
      </c>
      <c r="E10" s="454" t="s">
        <v>384</v>
      </c>
      <c r="F10" s="724" t="s">
        <v>353</v>
      </c>
      <c r="G10" s="724"/>
      <c r="H10" s="724"/>
      <c r="I10" s="724"/>
      <c r="J10" s="724"/>
    </row>
    <row r="11" spans="1:10" ht="19.5" customHeight="1" x14ac:dyDescent="0.25">
      <c r="A11" s="725">
        <v>1</v>
      </c>
      <c r="B11" s="576" t="str">
        <f>A7</f>
        <v>Auxiliar Administrativo</v>
      </c>
      <c r="C11" s="576"/>
      <c r="D11" s="28">
        <f>Dados!$D$13</f>
        <v>200</v>
      </c>
      <c r="E11" s="455">
        <f>Dados!$E$13</f>
        <v>1914</v>
      </c>
      <c r="F11" s="216">
        <f>ROUND(E11/220*D11,2)</f>
        <v>1740</v>
      </c>
      <c r="G11" s="216">
        <f>F11</f>
        <v>1740</v>
      </c>
      <c r="H11" s="216"/>
      <c r="I11" s="216"/>
      <c r="J11" s="456"/>
    </row>
    <row r="12" spans="1:10" ht="19.5" customHeight="1" x14ac:dyDescent="0.25">
      <c r="A12" s="725"/>
      <c r="B12" s="576" t="s">
        <v>385</v>
      </c>
      <c r="C12" s="576"/>
      <c r="D12" s="492">
        <f>Dados!G8</f>
        <v>0</v>
      </c>
      <c r="E12" s="455">
        <f>Dados!$G$30</f>
        <v>1412</v>
      </c>
      <c r="F12" s="216">
        <f>D12*E12</f>
        <v>0</v>
      </c>
      <c r="G12" s="216">
        <f>F12</f>
        <v>0</v>
      </c>
      <c r="H12" s="216"/>
      <c r="I12" s="216"/>
      <c r="J12" s="456">
        <f>F12</f>
        <v>0</v>
      </c>
    </row>
    <row r="13" spans="1:10" ht="21.75" customHeight="1" x14ac:dyDescent="0.25">
      <c r="A13" s="725"/>
      <c r="B13" s="489" t="s">
        <v>386</v>
      </c>
      <c r="C13" s="490">
        <f>Dados!$I$13</f>
        <v>0</v>
      </c>
      <c r="D13" s="490">
        <f>Dados!$J$13</f>
        <v>0</v>
      </c>
      <c r="E13" s="457">
        <f>Dados!$K$13</f>
        <v>0</v>
      </c>
      <c r="F13" s="458">
        <f>ROUND((E13*D13*C13),2)</f>
        <v>0</v>
      </c>
      <c r="G13" s="458">
        <f>F13</f>
        <v>0</v>
      </c>
      <c r="H13" s="458"/>
      <c r="I13" s="458"/>
      <c r="J13" s="459"/>
    </row>
    <row r="14" spans="1:10" ht="19.5" customHeight="1" x14ac:dyDescent="0.25">
      <c r="A14" s="725"/>
      <c r="B14" s="726" t="s">
        <v>387</v>
      </c>
      <c r="C14" s="726"/>
      <c r="D14" s="726"/>
      <c r="E14" s="726"/>
      <c r="F14" s="460">
        <f>SUM(F11:F13)</f>
        <v>1740</v>
      </c>
      <c r="G14" s="460">
        <f>SUM(G11:G13)</f>
        <v>1740</v>
      </c>
      <c r="H14" s="460">
        <f>SUM(H11:H13)</f>
        <v>0</v>
      </c>
      <c r="I14" s="460">
        <f>SUM(I11:I13)</f>
        <v>0</v>
      </c>
      <c r="J14" s="461">
        <f>SUM(J11:J13)</f>
        <v>0</v>
      </c>
    </row>
    <row r="15" spans="1:10" ht="19.5" customHeight="1" x14ac:dyDescent="0.25">
      <c r="A15" s="725"/>
      <c r="B15" s="727" t="s">
        <v>388</v>
      </c>
      <c r="C15" s="727"/>
      <c r="D15" s="727"/>
      <c r="E15" s="491">
        <f>Encargos!$C$57</f>
        <v>0.76400000000000001</v>
      </c>
      <c r="F15" s="216">
        <f>ROUND((E15*F14),2)</f>
        <v>1329.36</v>
      </c>
      <c r="G15" s="216">
        <f>F15</f>
        <v>1329.36</v>
      </c>
      <c r="H15" s="216"/>
      <c r="I15" s="216"/>
      <c r="J15" s="456">
        <f>ROUND((E15*J14),2)</f>
        <v>0</v>
      </c>
    </row>
    <row r="16" spans="1:10" ht="19.5" customHeight="1" x14ac:dyDescent="0.25">
      <c r="A16" s="728" t="s">
        <v>389</v>
      </c>
      <c r="B16" s="728"/>
      <c r="C16" s="728"/>
      <c r="D16" s="728"/>
      <c r="E16" s="728"/>
      <c r="F16" s="462">
        <f>SUM(F14:F15)</f>
        <v>3069.3599999999997</v>
      </c>
      <c r="G16" s="462">
        <f>SUM(G14:G15)</f>
        <v>3069.3599999999997</v>
      </c>
      <c r="H16" s="462">
        <f>SUM(H14:H15)</f>
        <v>0</v>
      </c>
      <c r="I16" s="462">
        <f>SUM(I14:I15)</f>
        <v>0</v>
      </c>
      <c r="J16" s="463">
        <f>SUM(J14:J15)</f>
        <v>0</v>
      </c>
    </row>
    <row r="17" spans="1:12" ht="19.5" customHeight="1" x14ac:dyDescent="0.25">
      <c r="A17" s="729" t="s">
        <v>390</v>
      </c>
      <c r="B17" s="729"/>
      <c r="C17" s="729"/>
      <c r="D17" s="729"/>
      <c r="E17" s="729"/>
      <c r="F17" s="729"/>
      <c r="G17" s="729"/>
      <c r="H17" s="729"/>
      <c r="I17" s="729"/>
      <c r="J17" s="729"/>
    </row>
    <row r="18" spans="1:12" ht="19.5" customHeight="1" x14ac:dyDescent="0.25">
      <c r="A18" s="730" t="s">
        <v>391</v>
      </c>
      <c r="B18" s="730"/>
      <c r="C18" s="39" t="s">
        <v>352</v>
      </c>
      <c r="D18" s="731" t="s">
        <v>411</v>
      </c>
      <c r="E18" s="731"/>
      <c r="F18" s="732" t="s">
        <v>353</v>
      </c>
      <c r="G18" s="732"/>
      <c r="H18" s="732"/>
      <c r="I18" s="732"/>
      <c r="J18" s="732"/>
    </row>
    <row r="19" spans="1:12" ht="19.5" customHeight="1" x14ac:dyDescent="0.25">
      <c r="A19" s="733" t="s">
        <v>393</v>
      </c>
      <c r="B19" s="733"/>
      <c r="C19" s="464"/>
      <c r="D19" s="464"/>
      <c r="E19" s="464"/>
      <c r="F19" s="216">
        <f>Dados!$N$13</f>
        <v>49.35</v>
      </c>
      <c r="G19" s="216">
        <f>F19</f>
        <v>49.35</v>
      </c>
      <c r="H19" s="216"/>
      <c r="I19" s="216"/>
      <c r="J19" s="456"/>
    </row>
    <row r="20" spans="1:12" ht="19.5" customHeight="1" x14ac:dyDescent="0.25">
      <c r="A20" s="733" t="s">
        <v>394</v>
      </c>
      <c r="B20" s="733"/>
      <c r="C20" s="464"/>
      <c r="D20" s="464"/>
      <c r="E20" s="464"/>
      <c r="F20" s="216">
        <f>Dados!$G$33</f>
        <v>7.2</v>
      </c>
      <c r="G20" s="216">
        <f>F20</f>
        <v>7.2</v>
      </c>
      <c r="H20" s="216"/>
      <c r="I20" s="216"/>
      <c r="J20" s="456"/>
    </row>
    <row r="21" spans="1:12" ht="23.25" customHeight="1" x14ac:dyDescent="0.25">
      <c r="A21" s="734" t="s">
        <v>194</v>
      </c>
      <c r="B21" s="734"/>
      <c r="C21" s="464"/>
      <c r="D21" s="464"/>
      <c r="E21" s="464"/>
      <c r="F21" s="216">
        <f>Dados!G34</f>
        <v>0</v>
      </c>
      <c r="G21" s="216">
        <f>F21</f>
        <v>0</v>
      </c>
      <c r="H21" s="216"/>
      <c r="I21" s="216"/>
      <c r="J21" s="456"/>
    </row>
    <row r="22" spans="1:12" ht="19.5" customHeight="1" x14ac:dyDescent="0.25">
      <c r="A22" s="733" t="s">
        <v>195</v>
      </c>
      <c r="B22" s="733"/>
      <c r="C22" s="321">
        <f>Dados!$G$37</f>
        <v>22</v>
      </c>
      <c r="D22" s="321">
        <f>Dados!$G$36</f>
        <v>2</v>
      </c>
      <c r="E22" s="464">
        <f>Dados!$G$35</f>
        <v>4.75</v>
      </c>
      <c r="F22" s="216">
        <f>IF(ROUND((E22*D22*C22)-(F11*Dados!$G$38),2)&lt;0,0,ROUND((E22*D22*C22)-(F11*Dados!$G$38),2))</f>
        <v>104.6</v>
      </c>
      <c r="G22" s="216">
        <f>F22</f>
        <v>104.6</v>
      </c>
      <c r="H22" s="216"/>
      <c r="I22" s="216">
        <f>F22</f>
        <v>104.6</v>
      </c>
      <c r="J22" s="456"/>
    </row>
    <row r="23" spans="1:12" ht="19.5" customHeight="1" x14ac:dyDescent="0.25">
      <c r="A23" s="733" t="s">
        <v>204</v>
      </c>
      <c r="B23" s="733"/>
      <c r="C23" s="321">
        <f>Dados!G40</f>
        <v>22</v>
      </c>
      <c r="D23" s="322">
        <f>Dados!G41</f>
        <v>0.2</v>
      </c>
      <c r="E23" s="464">
        <f>Dados!$G$39</f>
        <v>27</v>
      </c>
      <c r="F23" s="241">
        <f>ROUND((IF(D11&gt;150,((C23*E23)-(C23*(D23*E23))),0)),2)</f>
        <v>475.2</v>
      </c>
      <c r="G23" s="216">
        <f>F23</f>
        <v>475.2</v>
      </c>
      <c r="H23" s="216">
        <f>$F$23</f>
        <v>475.2</v>
      </c>
      <c r="I23" s="241"/>
      <c r="J23" s="456"/>
    </row>
    <row r="24" spans="1:12" ht="19.5" customHeight="1" x14ac:dyDescent="0.25">
      <c r="A24" s="733" t="s">
        <v>207</v>
      </c>
      <c r="B24" s="733"/>
      <c r="C24" s="321"/>
      <c r="D24" s="321"/>
      <c r="E24" s="464"/>
      <c r="F24" s="241">
        <f>Dados!$G$42</f>
        <v>0</v>
      </c>
      <c r="G24" s="216"/>
      <c r="H24" s="216"/>
      <c r="I24" s="241"/>
      <c r="J24" s="456"/>
    </row>
    <row r="25" spans="1:12" ht="19.5" customHeight="1" x14ac:dyDescent="0.25">
      <c r="A25" s="733" t="s">
        <v>207</v>
      </c>
      <c r="B25" s="733"/>
      <c r="C25" s="321"/>
      <c r="D25" s="321"/>
      <c r="E25" s="464"/>
      <c r="F25" s="241">
        <f>Dados!$G$43</f>
        <v>0</v>
      </c>
      <c r="G25" s="216"/>
      <c r="H25" s="216"/>
      <c r="I25" s="241"/>
      <c r="J25" s="456"/>
    </row>
    <row r="26" spans="1:12" ht="19.5" customHeight="1" x14ac:dyDescent="0.25">
      <c r="A26" s="733" t="s">
        <v>395</v>
      </c>
      <c r="B26" s="733"/>
      <c r="C26" s="321"/>
      <c r="D26" s="464"/>
      <c r="E26" s="464"/>
      <c r="F26" s="216"/>
      <c r="G26" s="216"/>
      <c r="H26" s="216"/>
      <c r="I26" s="216"/>
      <c r="J26" s="456"/>
      <c r="L26" s="58"/>
    </row>
    <row r="27" spans="1:12" ht="19.5" customHeight="1" x14ac:dyDescent="0.25">
      <c r="A27" s="465" t="s">
        <v>396</v>
      </c>
      <c r="B27" s="466"/>
      <c r="C27" s="321"/>
      <c r="D27" s="464"/>
      <c r="E27" s="464"/>
      <c r="F27" s="216"/>
      <c r="G27" s="216"/>
      <c r="H27" s="216"/>
      <c r="I27" s="216"/>
      <c r="J27" s="456"/>
    </row>
    <row r="28" spans="1:12" ht="19.5" customHeight="1" x14ac:dyDescent="0.25">
      <c r="A28" s="735" t="s">
        <v>397</v>
      </c>
      <c r="B28" s="735"/>
      <c r="C28" s="323"/>
      <c r="D28" s="467"/>
      <c r="E28" s="467"/>
      <c r="F28" s="458"/>
      <c r="G28" s="458"/>
      <c r="H28" s="458"/>
      <c r="I28" s="458"/>
      <c r="J28" s="459"/>
    </row>
    <row r="29" spans="1:12" ht="19.5" customHeight="1" x14ac:dyDescent="0.25">
      <c r="A29" s="736" t="s">
        <v>398</v>
      </c>
      <c r="B29" s="736"/>
      <c r="C29" s="736"/>
      <c r="D29" s="736"/>
      <c r="E29" s="736"/>
      <c r="F29" s="462">
        <f>SUM(F19:F28)</f>
        <v>636.35</v>
      </c>
      <c r="G29" s="462">
        <f>SUM(G19:G28)</f>
        <v>636.35</v>
      </c>
      <c r="H29" s="462">
        <f>SUM(H19:H28)</f>
        <v>475.2</v>
      </c>
      <c r="I29" s="462">
        <f>SUM(I19:I28)</f>
        <v>104.6</v>
      </c>
      <c r="J29" s="463">
        <f>SUM(J19:J28)</f>
        <v>0</v>
      </c>
    </row>
    <row r="30" spans="1:12" ht="19.5" customHeight="1" x14ac:dyDescent="0.25">
      <c r="A30" s="736" t="s">
        <v>399</v>
      </c>
      <c r="B30" s="736"/>
      <c r="C30" s="736"/>
      <c r="D30" s="736"/>
      <c r="E30" s="736"/>
      <c r="F30" s="462">
        <f>F16+F29</f>
        <v>3705.7099999999996</v>
      </c>
      <c r="G30" s="462">
        <f>G16+G29</f>
        <v>3705.7099999999996</v>
      </c>
      <c r="H30" s="462">
        <f>H16+H29</f>
        <v>475.2</v>
      </c>
      <c r="I30" s="462">
        <f>I16+I29</f>
        <v>104.6</v>
      </c>
      <c r="J30" s="463">
        <f>J16+J29</f>
        <v>0</v>
      </c>
    </row>
    <row r="31" spans="1:12" ht="19.5" customHeight="1" x14ac:dyDescent="0.25">
      <c r="A31" s="722" t="s">
        <v>400</v>
      </c>
      <c r="B31" s="722"/>
      <c r="C31" s="722"/>
      <c r="D31" s="722"/>
      <c r="E31" s="722"/>
      <c r="F31" s="722"/>
      <c r="G31" s="722"/>
      <c r="H31" s="722"/>
      <c r="I31" s="722"/>
      <c r="J31" s="722"/>
    </row>
    <row r="32" spans="1:12" ht="19.5" customHeight="1" x14ac:dyDescent="0.25">
      <c r="A32" s="730" t="s">
        <v>401</v>
      </c>
      <c r="B32" s="730"/>
      <c r="C32" s="730"/>
      <c r="D32" s="80" t="s">
        <v>402</v>
      </c>
      <c r="E32" s="737" t="s">
        <v>353</v>
      </c>
      <c r="F32" s="737"/>
      <c r="G32" s="737"/>
      <c r="H32" s="737"/>
      <c r="I32" s="737"/>
      <c r="J32" s="737"/>
    </row>
    <row r="33" spans="1:12" ht="19.5" customHeight="1" x14ac:dyDescent="0.25">
      <c r="A33" s="468" t="s">
        <v>403</v>
      </c>
      <c r="B33" s="469"/>
      <c r="C33" s="469"/>
      <c r="D33" s="470">
        <f>Dados!$G$46</f>
        <v>0.03</v>
      </c>
      <c r="E33" s="471"/>
      <c r="F33" s="216">
        <f>ROUND((F30*$D$33),2)</f>
        <v>111.17</v>
      </c>
      <c r="G33" s="216">
        <f>ROUND((G30*$D$33),2)</f>
        <v>111.17</v>
      </c>
      <c r="H33" s="216">
        <f>ROUND((H30*$D$33),2)</f>
        <v>14.26</v>
      </c>
      <c r="I33" s="216">
        <f>ROUND((I30*$D$33),2)</f>
        <v>3.14</v>
      </c>
      <c r="J33" s="456">
        <f>ROUND((J30*$D$33),2)</f>
        <v>0</v>
      </c>
    </row>
    <row r="34" spans="1:12" ht="19.5" customHeight="1" x14ac:dyDescent="0.25">
      <c r="A34" s="738" t="s">
        <v>404</v>
      </c>
      <c r="B34" s="738"/>
      <c r="C34" s="738"/>
      <c r="D34" s="470"/>
      <c r="E34" s="471"/>
      <c r="F34" s="216">
        <f>F30+F33</f>
        <v>3816.8799999999997</v>
      </c>
      <c r="G34" s="216">
        <f>G30+G33</f>
        <v>3816.8799999999997</v>
      </c>
      <c r="H34" s="216">
        <f>H30+H33</f>
        <v>489.46</v>
      </c>
      <c r="I34" s="216">
        <f>I30+I33</f>
        <v>107.74</v>
      </c>
      <c r="J34" s="456">
        <f>J30+J33</f>
        <v>0</v>
      </c>
    </row>
    <row r="35" spans="1:12" ht="19.5" customHeight="1" x14ac:dyDescent="0.25">
      <c r="A35" s="472" t="s">
        <v>212</v>
      </c>
      <c r="B35" s="473"/>
      <c r="C35" s="473"/>
      <c r="D35" s="474">
        <f>Dados!$G$47</f>
        <v>6.7900000000000002E-2</v>
      </c>
      <c r="E35" s="475"/>
      <c r="F35" s="458">
        <f>ROUND((F34*$D$35),2)</f>
        <v>259.17</v>
      </c>
      <c r="G35" s="458">
        <f>ROUND((G34*$D$35),2)</f>
        <v>259.17</v>
      </c>
      <c r="H35" s="458">
        <f>ROUND((H34*$D$35),2)</f>
        <v>33.229999999999997</v>
      </c>
      <c r="I35" s="458">
        <f>ROUND((I34*$D$35),2)</f>
        <v>7.32</v>
      </c>
      <c r="J35" s="459">
        <f>ROUND((J34*$D$35),2)</f>
        <v>0</v>
      </c>
    </row>
    <row r="36" spans="1:12" ht="19.5" customHeight="1" x14ac:dyDescent="0.25">
      <c r="A36" s="476" t="s">
        <v>405</v>
      </c>
      <c r="B36" s="477"/>
      <c r="C36" s="477"/>
      <c r="D36" s="478">
        <f>SUM(D33:D35)</f>
        <v>9.7900000000000001E-2</v>
      </c>
      <c r="E36" s="479"/>
      <c r="F36" s="462">
        <f>F33+F35</f>
        <v>370.34000000000003</v>
      </c>
      <c r="G36" s="462">
        <f>G33+G35</f>
        <v>370.34000000000003</v>
      </c>
      <c r="H36" s="462">
        <f>H33+H35</f>
        <v>47.489999999999995</v>
      </c>
      <c r="I36" s="462">
        <f>I33+I35</f>
        <v>10.46</v>
      </c>
      <c r="J36" s="463">
        <f>J33+J35</f>
        <v>0</v>
      </c>
    </row>
    <row r="37" spans="1:12" ht="19.5" customHeight="1" x14ac:dyDescent="0.25">
      <c r="A37" s="739" t="s">
        <v>406</v>
      </c>
      <c r="B37" s="739"/>
      <c r="C37" s="739"/>
      <c r="D37" s="739"/>
      <c r="E37" s="739"/>
      <c r="F37" s="480">
        <f>F30+F36</f>
        <v>4076.0499999999997</v>
      </c>
      <c r="G37" s="480">
        <f>G30+G36</f>
        <v>4076.0499999999997</v>
      </c>
      <c r="H37" s="480">
        <f>H30+H36</f>
        <v>522.68999999999994</v>
      </c>
      <c r="I37" s="480">
        <f>I30+I36</f>
        <v>115.06</v>
      </c>
      <c r="J37" s="481">
        <f>J30+J36</f>
        <v>0</v>
      </c>
    </row>
    <row r="38" spans="1:12" ht="19.5" customHeight="1" x14ac:dyDescent="0.25">
      <c r="A38" s="740" t="s">
        <v>407</v>
      </c>
      <c r="B38" s="740"/>
      <c r="C38" s="740"/>
      <c r="D38" s="740"/>
      <c r="E38" s="740"/>
      <c r="F38" s="740"/>
      <c r="G38" s="740"/>
      <c r="H38" s="740"/>
      <c r="I38" s="740"/>
      <c r="J38" s="740"/>
    </row>
    <row r="39" spans="1:12" ht="19.5" customHeight="1" x14ac:dyDescent="0.25">
      <c r="A39" s="733" t="s">
        <v>218</v>
      </c>
      <c r="B39" s="733"/>
      <c r="C39" s="733"/>
      <c r="D39" s="470">
        <f>Dados!G54</f>
        <v>7.5999999999999998E-2</v>
      </c>
      <c r="E39" s="216"/>
      <c r="F39" s="216">
        <f>ROUND(($F$45*D39),2)</f>
        <v>353.03</v>
      </c>
      <c r="G39" s="216">
        <f>ROUND((G45*$D$39),2)</f>
        <v>353.03</v>
      </c>
      <c r="H39" s="216">
        <f>ROUND((H45*$D$39),2)</f>
        <v>45.27</v>
      </c>
      <c r="I39" s="216">
        <f>ROUND((I45*$D$39),2)</f>
        <v>9.9700000000000006</v>
      </c>
      <c r="J39" s="456">
        <f>ROUND((J45*$D$39),2)</f>
        <v>0</v>
      </c>
    </row>
    <row r="40" spans="1:12" ht="19.5" customHeight="1" x14ac:dyDescent="0.25">
      <c r="A40" s="733" t="s">
        <v>220</v>
      </c>
      <c r="B40" s="733"/>
      <c r="C40" s="733"/>
      <c r="D40" s="470">
        <f>Dados!G55</f>
        <v>1.6500000000000001E-2</v>
      </c>
      <c r="E40" s="216"/>
      <c r="F40" s="216">
        <f>ROUND((F45*$D$40),2)</f>
        <v>76.64</v>
      </c>
      <c r="G40" s="216">
        <f>ROUND((G45*$D$40),2)</f>
        <v>76.64</v>
      </c>
      <c r="H40" s="216">
        <f>ROUND((H45*$D$40),2)</f>
        <v>9.83</v>
      </c>
      <c r="I40" s="216">
        <f>ROUND((I45*$D$40),2)</f>
        <v>2.16</v>
      </c>
      <c r="J40" s="456">
        <f>ROUND((J45*$D$40),2)</f>
        <v>0</v>
      </c>
    </row>
    <row r="41" spans="1:12" ht="19.5" customHeight="1" x14ac:dyDescent="0.25">
      <c r="A41" s="733" t="s">
        <v>221</v>
      </c>
      <c r="B41" s="733"/>
      <c r="C41" s="733"/>
      <c r="D41" s="470">
        <f>Dados!G56</f>
        <v>0.03</v>
      </c>
      <c r="E41" s="216"/>
      <c r="F41" s="216">
        <f>ROUND((F45*$D$41),2)</f>
        <v>139.35</v>
      </c>
      <c r="G41" s="216">
        <f>ROUND((G45*$D$41),2)</f>
        <v>139.35</v>
      </c>
      <c r="H41" s="216">
        <f>ROUND((H45*$D$41),2)</f>
        <v>17.87</v>
      </c>
      <c r="I41" s="216">
        <f>ROUND((I45*$D$41),2)</f>
        <v>3.93</v>
      </c>
      <c r="J41" s="456">
        <f>ROUND((J45*$D$41),2)</f>
        <v>0</v>
      </c>
    </row>
    <row r="42" spans="1:12" ht="19.5" customHeight="1" x14ac:dyDescent="0.25">
      <c r="A42" s="733" t="s">
        <v>207</v>
      </c>
      <c r="B42" s="733"/>
      <c r="C42" s="733"/>
      <c r="D42" s="470">
        <f>Dados!G57</f>
        <v>0</v>
      </c>
      <c r="E42" s="216"/>
      <c r="F42" s="216">
        <f>ROUND((F45*$D$42),2)</f>
        <v>0</v>
      </c>
      <c r="G42" s="216">
        <f>ROUND((G45*$D$42),2)</f>
        <v>0</v>
      </c>
      <c r="H42" s="216">
        <f>ROUND((H45*$D$42),2)</f>
        <v>0</v>
      </c>
      <c r="I42" s="216">
        <f>ROUND((I45*$D$42),2)</f>
        <v>0</v>
      </c>
      <c r="J42" s="456">
        <f>ROUND((J45*$D$42),2)</f>
        <v>0</v>
      </c>
    </row>
    <row r="43" spans="1:12" ht="19.5" customHeight="1" x14ac:dyDescent="0.25">
      <c r="A43" s="742" t="s">
        <v>408</v>
      </c>
      <c r="B43" s="742"/>
      <c r="C43" s="742"/>
      <c r="D43" s="482">
        <f>SUM(D39:D42)</f>
        <v>0.1225</v>
      </c>
      <c r="E43" s="483"/>
      <c r="F43" s="484">
        <f>SUM(F39:F42)</f>
        <v>569.02</v>
      </c>
      <c r="G43" s="484">
        <f>SUM(G39:G42)</f>
        <v>569.02</v>
      </c>
      <c r="H43" s="484">
        <f>SUM(H39:H42)</f>
        <v>72.97</v>
      </c>
      <c r="I43" s="484">
        <f>SUM(I39:I42)</f>
        <v>16.060000000000002</v>
      </c>
      <c r="J43" s="485">
        <f>SUM(J39:J41)</f>
        <v>0</v>
      </c>
    </row>
    <row r="44" spans="1:12" ht="19.5" customHeight="1" x14ac:dyDescent="0.25">
      <c r="A44" s="743" t="str">
        <f>CONCATENATE("Custo Mensal - ",A7)</f>
        <v>Custo Mensal - Auxiliar Administrativo</v>
      </c>
      <c r="B44" s="743"/>
      <c r="C44" s="743"/>
      <c r="D44" s="743"/>
      <c r="E44" s="743"/>
      <c r="F44" s="486">
        <f>ROUND(F37/(1-D43),2)</f>
        <v>4645.07</v>
      </c>
      <c r="G44" s="486">
        <f>ROUND(G37/(1-D43),2)</f>
        <v>4645.07</v>
      </c>
      <c r="H44" s="486">
        <f>ROUND(H37/(1-D43),2)</f>
        <v>595.66</v>
      </c>
      <c r="I44" s="486">
        <f>ROUND(I37/(1-D43),2)</f>
        <v>131.12</v>
      </c>
      <c r="J44" s="487">
        <f>ROUND(J37/(1-D43),2)</f>
        <v>0</v>
      </c>
    </row>
    <row r="45" spans="1:12" ht="19.5" customHeight="1" x14ac:dyDescent="0.25">
      <c r="A45" s="744" t="str">
        <f>CONCATENATE("Valor do Custo Mensal - ",A7)</f>
        <v>Valor do Custo Mensal - Auxiliar Administrativo</v>
      </c>
      <c r="B45" s="744"/>
      <c r="C45" s="744"/>
      <c r="D45" s="744"/>
      <c r="E45" s="744"/>
      <c r="F45" s="486">
        <f>F44</f>
        <v>4645.07</v>
      </c>
      <c r="G45" s="486">
        <f>G44</f>
        <v>4645.07</v>
      </c>
      <c r="H45" s="486">
        <f>H44</f>
        <v>595.66</v>
      </c>
      <c r="I45" s="486">
        <f>I44</f>
        <v>131.12</v>
      </c>
      <c r="J45" s="487">
        <f>J44</f>
        <v>0</v>
      </c>
      <c r="K45" s="324"/>
      <c r="L45" s="324"/>
    </row>
    <row r="46" spans="1:12" ht="27.75" customHeight="1" x14ac:dyDescent="0.25">
      <c r="A46" s="745" t="s">
        <v>409</v>
      </c>
      <c r="B46" s="745"/>
      <c r="C46" s="745"/>
      <c r="D46" s="745"/>
      <c r="E46" s="745"/>
      <c r="F46" s="488">
        <f>(F45/F14)</f>
        <v>2.6695804597701147</v>
      </c>
      <c r="G46" s="488">
        <f>(G45/G14)</f>
        <v>2.6695804597701147</v>
      </c>
      <c r="H46" s="741" t="s">
        <v>410</v>
      </c>
      <c r="I46" s="741"/>
      <c r="J46" s="325">
        <v>0</v>
      </c>
    </row>
    <row r="47" spans="1:12" ht="19.5" customHeight="1" x14ac:dyDescent="0.25"/>
  </sheetData>
  <sheetProtection algorithmName="SHA-512" hashValue="ZbeREkV+p9LVY/Nr68+r1NOSwbxGULglcbevX0YFC0mKm96yxxkjdV2NzlIZAASeSy0joTZyTWVNrGZOuThlsg==" saltValue="ahWSXIcrg0dFr3DWuoCbZg==" spinCount="100000" sheet="1" objects="1" scenarios="1"/>
  <mergeCells count="49">
    <mergeCell ref="H46:I46"/>
    <mergeCell ref="A42:C42"/>
    <mergeCell ref="A43:C43"/>
    <mergeCell ref="A44:E44"/>
    <mergeCell ref="A45:E45"/>
    <mergeCell ref="A46:E46"/>
    <mergeCell ref="A37:E37"/>
    <mergeCell ref="A38:J38"/>
    <mergeCell ref="A39:C39"/>
    <mergeCell ref="A40:C40"/>
    <mergeCell ref="A41:C41"/>
    <mergeCell ref="A30:E30"/>
    <mergeCell ref="A31:J31"/>
    <mergeCell ref="A32:C32"/>
    <mergeCell ref="E32:J32"/>
    <mergeCell ref="A34:C34"/>
    <mergeCell ref="A24:B24"/>
    <mergeCell ref="A25:B25"/>
    <mergeCell ref="A26:B26"/>
    <mergeCell ref="A28:B28"/>
    <mergeCell ref="A29:E29"/>
    <mergeCell ref="A19:B19"/>
    <mergeCell ref="A20:B20"/>
    <mergeCell ref="A21:B21"/>
    <mergeCell ref="A22:B22"/>
    <mergeCell ref="A23:B23"/>
    <mergeCell ref="A16:E16"/>
    <mergeCell ref="A17:J17"/>
    <mergeCell ref="A18:B18"/>
    <mergeCell ref="D18:E18"/>
    <mergeCell ref="F18:J18"/>
    <mergeCell ref="A9:J9"/>
    <mergeCell ref="B10:C10"/>
    <mergeCell ref="F10:J10"/>
    <mergeCell ref="A11:A15"/>
    <mergeCell ref="B11:C11"/>
    <mergeCell ref="B12:C12"/>
    <mergeCell ref="B14:E14"/>
    <mergeCell ref="B15:D15"/>
    <mergeCell ref="A4:J4"/>
    <mergeCell ref="A5:J5"/>
    <mergeCell ref="A6:J6"/>
    <mergeCell ref="A7:E7"/>
    <mergeCell ref="F7:F8"/>
    <mergeCell ref="G7:G8"/>
    <mergeCell ref="H7:H8"/>
    <mergeCell ref="I7:I8"/>
    <mergeCell ref="J7:J8"/>
    <mergeCell ref="A8:D8"/>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M33"/>
  <sheetViews>
    <sheetView showGridLines="0" zoomScaleNormal="100" zoomScaleSheetLayoutView="100" zoomScalePageLayoutView="140" workbookViewId="0">
      <selection activeCell="J9" sqref="J9"/>
    </sheetView>
  </sheetViews>
  <sheetFormatPr defaultColWidth="8.7109375" defaultRowHeight="15" x14ac:dyDescent="0.25"/>
  <cols>
    <col min="1" max="1" width="7.28515625" style="69" customWidth="1"/>
    <col min="2" max="3" width="9.140625" style="69" customWidth="1"/>
    <col min="4" max="4" width="33" style="69" customWidth="1"/>
    <col min="5" max="5" width="9.42578125" style="69" customWidth="1"/>
    <col min="6" max="6" width="12.42578125" style="69" customWidth="1"/>
    <col min="7" max="7" width="8.85546875" style="69" customWidth="1"/>
    <col min="8" max="9" width="10" style="69" customWidth="1"/>
    <col min="10" max="10" width="16.5703125" style="69" customWidth="1"/>
    <col min="11" max="11" width="11.42578125" style="69" customWidth="1"/>
    <col min="12" max="12" width="12.28515625" style="69" customWidth="1"/>
    <col min="13" max="1027" width="9.140625" style="69" customWidth="1"/>
  </cols>
  <sheetData>
    <row r="1" spans="1:16" x14ac:dyDescent="0.25">
      <c r="A1" s="99"/>
      <c r="B1" s="100" t="str">
        <f>INSTRUÇÕES!B1</f>
        <v>Tribunal Regional Federal da 6ª Região</v>
      </c>
      <c r="C1" s="100"/>
      <c r="D1" s="100"/>
      <c r="E1" s="100"/>
      <c r="F1" s="100"/>
      <c r="G1" s="100"/>
      <c r="H1" s="100"/>
      <c r="I1" s="100"/>
      <c r="J1" s="100"/>
      <c r="K1" s="100"/>
      <c r="L1" s="163"/>
    </row>
    <row r="2" spans="1:16" x14ac:dyDescent="0.25">
      <c r="A2" s="101"/>
      <c r="B2" s="102" t="str">
        <f>INSTRUÇÕES!B2</f>
        <v>Seção Judiciária de Minas Gerais</v>
      </c>
      <c r="C2" s="102"/>
      <c r="D2" s="102"/>
      <c r="E2" s="102"/>
      <c r="F2" s="102"/>
      <c r="G2" s="102"/>
      <c r="H2" s="102"/>
      <c r="I2" s="102"/>
      <c r="J2" s="102"/>
      <c r="K2" s="102"/>
      <c r="L2" s="165"/>
    </row>
    <row r="3" spans="1:16" x14ac:dyDescent="0.25">
      <c r="A3" s="101"/>
      <c r="B3" s="69" t="str">
        <f>INSTRUÇÕES!B3</f>
        <v>Subseção Judiciária de Uberaba</v>
      </c>
      <c r="C3" s="320"/>
      <c r="D3" s="320"/>
      <c r="E3" s="320"/>
      <c r="F3" s="320"/>
      <c r="G3" s="320"/>
      <c r="H3" s="320"/>
      <c r="I3" s="320"/>
      <c r="J3" s="320"/>
      <c r="K3" s="320"/>
      <c r="L3" s="411"/>
    </row>
    <row r="4" spans="1:16" s="230" customFormat="1" ht="22.5" customHeight="1" x14ac:dyDescent="0.25">
      <c r="A4" s="746" t="s">
        <v>525</v>
      </c>
      <c r="B4" s="746"/>
      <c r="C4" s="746"/>
      <c r="D4" s="746"/>
      <c r="E4" s="746"/>
      <c r="F4" s="746"/>
      <c r="G4" s="746"/>
      <c r="H4" s="746"/>
      <c r="I4" s="746"/>
      <c r="J4" s="746"/>
      <c r="K4" s="746"/>
      <c r="L4" s="746"/>
      <c r="M4" s="412"/>
      <c r="N4" s="412"/>
      <c r="O4" s="412"/>
      <c r="P4" s="412"/>
    </row>
    <row r="5" spans="1:16" s="413" customFormat="1" ht="41.25" customHeight="1" x14ac:dyDescent="0.25">
      <c r="A5" s="747" t="s">
        <v>451</v>
      </c>
      <c r="B5" s="747"/>
      <c r="C5" s="747"/>
      <c r="D5" s="747"/>
      <c r="E5" s="748" t="s">
        <v>402</v>
      </c>
      <c r="F5" s="493" t="str">
        <f>Dados!C7</f>
        <v>Servente de Limpeza (40% Insalubridade)</v>
      </c>
      <c r="G5" s="494" t="str">
        <f>Dados!C8</f>
        <v xml:space="preserve">Servente de Limpeza  </v>
      </c>
      <c r="H5" s="494" t="str">
        <f>Dados!C9</f>
        <v>Servente acúmulo função Copeira</v>
      </c>
      <c r="I5" s="546" t="str">
        <f>Dados!C10</f>
        <v>Servente acúmulo função Jardineiro</v>
      </c>
      <c r="J5" s="494" t="str">
        <f>Dados!C11</f>
        <v>Zelador acúmulo função Lavador de Carro</v>
      </c>
      <c r="K5" s="539" t="str">
        <f>Dados!C12</f>
        <v>Encarregado</v>
      </c>
      <c r="L5" s="495" t="str">
        <f>Dados!C13</f>
        <v>Auxiliar Administrativo</v>
      </c>
    </row>
    <row r="6" spans="1:16" s="110" customFormat="1" ht="22.5" customHeight="1" x14ac:dyDescent="0.2">
      <c r="A6" s="496" t="s">
        <v>452</v>
      </c>
      <c r="B6" s="749" t="s">
        <v>302</v>
      </c>
      <c r="C6" s="749"/>
      <c r="D6" s="749"/>
      <c r="E6" s="748"/>
      <c r="F6" s="750" t="s">
        <v>453</v>
      </c>
      <c r="G6" s="750"/>
      <c r="H6" s="750"/>
      <c r="I6" s="750"/>
      <c r="J6" s="750"/>
      <c r="K6" s="750"/>
      <c r="L6" s="750"/>
    </row>
    <row r="7" spans="1:16" ht="14.25" customHeight="1" x14ac:dyDescent="0.25">
      <c r="A7" s="497">
        <v>1</v>
      </c>
      <c r="B7" s="751" t="s">
        <v>454</v>
      </c>
      <c r="C7" s="751"/>
      <c r="D7" s="751"/>
      <c r="E7" s="751"/>
      <c r="F7" s="498">
        <f>Dados!M7</f>
        <v>1952.8000000000002</v>
      </c>
      <c r="G7" s="498">
        <f>Dados!M8</f>
        <v>1388</v>
      </c>
      <c r="H7" s="498">
        <f>Dados!M9</f>
        <v>1454.62</v>
      </c>
      <c r="I7" s="498">
        <f>Dados!M10</f>
        <v>1429.64</v>
      </c>
      <c r="J7" s="498">
        <f>Dados!M11</f>
        <v>2136.2199999999998</v>
      </c>
      <c r="K7" s="498">
        <f>Dados!M12</f>
        <v>2072</v>
      </c>
      <c r="L7" s="499">
        <f>Dados!M13</f>
        <v>1740</v>
      </c>
    </row>
    <row r="8" spans="1:16" x14ac:dyDescent="0.25">
      <c r="A8" s="500" t="s">
        <v>455</v>
      </c>
      <c r="B8" s="752" t="s">
        <v>303</v>
      </c>
      <c r="C8" s="752"/>
      <c r="D8" s="752"/>
      <c r="E8" s="491">
        <f>Encargos!C39</f>
        <v>9.0899999999999995E-2</v>
      </c>
      <c r="F8" s="414">
        <f t="shared" ref="F8:L8" si="0">ROUND(F7*$E$8,2)</f>
        <v>177.51</v>
      </c>
      <c r="G8" s="414">
        <f t="shared" si="0"/>
        <v>126.17</v>
      </c>
      <c r="H8" s="414">
        <f t="shared" si="0"/>
        <v>132.22</v>
      </c>
      <c r="I8" s="414">
        <f t="shared" si="0"/>
        <v>129.94999999999999</v>
      </c>
      <c r="J8" s="414">
        <f t="shared" si="0"/>
        <v>194.18</v>
      </c>
      <c r="K8" s="414">
        <f>ROUND(K7*$E$8,2)</f>
        <v>188.34</v>
      </c>
      <c r="L8" s="415">
        <f t="shared" si="0"/>
        <v>158.16999999999999</v>
      </c>
    </row>
    <row r="9" spans="1:16" x14ac:dyDescent="0.25">
      <c r="A9" s="501" t="s">
        <v>456</v>
      </c>
      <c r="B9" s="753" t="s">
        <v>309</v>
      </c>
      <c r="C9" s="753"/>
      <c r="D9" s="753"/>
      <c r="E9" s="502">
        <f>E8*Encargos!C18</f>
        <v>3.6178200000000008E-2</v>
      </c>
      <c r="F9" s="416">
        <f t="shared" ref="F9:L9" si="1">ROUND(F7*$E$9,2)</f>
        <v>70.650000000000006</v>
      </c>
      <c r="G9" s="416">
        <f t="shared" si="1"/>
        <v>50.22</v>
      </c>
      <c r="H9" s="416">
        <f t="shared" si="1"/>
        <v>52.63</v>
      </c>
      <c r="I9" s="416">
        <f t="shared" si="1"/>
        <v>51.72</v>
      </c>
      <c r="J9" s="416">
        <f t="shared" si="1"/>
        <v>77.28</v>
      </c>
      <c r="K9" s="416">
        <f>ROUND(K7*$E$9,2)</f>
        <v>74.959999999999994</v>
      </c>
      <c r="L9" s="417">
        <f t="shared" si="1"/>
        <v>62.95</v>
      </c>
    </row>
    <row r="10" spans="1:16" ht="12.75" customHeight="1" x14ac:dyDescent="0.25">
      <c r="A10" s="754" t="s">
        <v>457</v>
      </c>
      <c r="B10" s="754"/>
      <c r="C10" s="754"/>
      <c r="D10" s="754"/>
      <c r="E10" s="503">
        <f t="shared" ref="E10:L10" si="2">SUM(E8:E9)</f>
        <v>0.1270782</v>
      </c>
      <c r="F10" s="418">
        <f t="shared" si="2"/>
        <v>248.16</v>
      </c>
      <c r="G10" s="418">
        <f t="shared" si="2"/>
        <v>176.39</v>
      </c>
      <c r="H10" s="418">
        <f t="shared" si="2"/>
        <v>184.85</v>
      </c>
      <c r="I10" s="418">
        <f t="shared" si="2"/>
        <v>181.67</v>
      </c>
      <c r="J10" s="418">
        <f t="shared" si="2"/>
        <v>271.46000000000004</v>
      </c>
      <c r="K10" s="418">
        <f>SUM(K8:K9)</f>
        <v>263.3</v>
      </c>
      <c r="L10" s="419">
        <f t="shared" si="2"/>
        <v>221.12</v>
      </c>
    </row>
    <row r="11" spans="1:16" ht="12.75" customHeight="1" x14ac:dyDescent="0.25">
      <c r="A11" s="754" t="s">
        <v>458</v>
      </c>
      <c r="B11" s="754"/>
      <c r="C11" s="754"/>
      <c r="D11" s="754"/>
      <c r="E11" s="754"/>
      <c r="F11" s="418">
        <f t="shared" ref="F11:L11" si="3">F10*12</f>
        <v>2977.92</v>
      </c>
      <c r="G11" s="418">
        <f t="shared" si="3"/>
        <v>2116.6799999999998</v>
      </c>
      <c r="H11" s="418">
        <f t="shared" si="3"/>
        <v>2218.1999999999998</v>
      </c>
      <c r="I11" s="418">
        <f t="shared" si="3"/>
        <v>2180.04</v>
      </c>
      <c r="J11" s="418">
        <f t="shared" si="3"/>
        <v>3257.5200000000004</v>
      </c>
      <c r="K11" s="418">
        <f>K10*12</f>
        <v>3159.6000000000004</v>
      </c>
      <c r="L11" s="419">
        <f t="shared" si="3"/>
        <v>2653.44</v>
      </c>
    </row>
    <row r="12" spans="1:16" x14ac:dyDescent="0.25">
      <c r="A12" s="504">
        <v>2</v>
      </c>
      <c r="B12" s="505" t="s">
        <v>459</v>
      </c>
      <c r="C12" s="505"/>
      <c r="D12" s="505"/>
      <c r="E12" s="505"/>
      <c r="F12" s="755" t="s">
        <v>349</v>
      </c>
      <c r="G12" s="755"/>
      <c r="H12" s="755"/>
      <c r="I12" s="755"/>
      <c r="J12" s="755"/>
      <c r="K12" s="755"/>
      <c r="L12" s="755"/>
    </row>
    <row r="13" spans="1:16" x14ac:dyDescent="0.25">
      <c r="A13" s="501" t="s">
        <v>455</v>
      </c>
      <c r="B13" s="753" t="s">
        <v>460</v>
      </c>
      <c r="C13" s="753"/>
      <c r="D13" s="753"/>
      <c r="E13" s="506"/>
      <c r="F13" s="507">
        <f>'Servente Insalubridade'!$F$23</f>
        <v>475.2</v>
      </c>
      <c r="G13" s="507">
        <f>Servente!$F$23</f>
        <v>475.2</v>
      </c>
      <c r="H13" s="507">
        <f>'Servente acúm. Copeira'!$F$23</f>
        <v>475.2</v>
      </c>
      <c r="I13" s="507">
        <f>'Servente acúm. Jardineiro'!F23</f>
        <v>475.2</v>
      </c>
      <c r="J13" s="507">
        <f>'Zelador acúm. Lavador Carros'!$F$23</f>
        <v>475.2</v>
      </c>
      <c r="K13" s="538">
        <f>Encarregado!F23</f>
        <v>475.2</v>
      </c>
      <c r="L13" s="508">
        <f>'Auxiliar Adm'!$F$23</f>
        <v>475.2</v>
      </c>
    </row>
    <row r="14" spans="1:16" x14ac:dyDescent="0.25">
      <c r="A14" s="501" t="s">
        <v>461</v>
      </c>
      <c r="B14" s="753" t="s">
        <v>462</v>
      </c>
      <c r="C14" s="753"/>
      <c r="D14" s="753"/>
      <c r="E14" s="506"/>
      <c r="F14" s="507">
        <f>'Servente Insalubridade'!$F$22</f>
        <v>125.72</v>
      </c>
      <c r="G14" s="507">
        <f>Servente!$F$22</f>
        <v>125.72</v>
      </c>
      <c r="H14" s="507">
        <f>'Servente acúm. Copeira'!$F$22</f>
        <v>125.72</v>
      </c>
      <c r="I14" s="507">
        <f>'Servente acúm. Jardineiro'!G22</f>
        <v>125.72</v>
      </c>
      <c r="J14" s="507">
        <f>'Zelador acúm. Lavador Carros'!$F$22</f>
        <v>84.56</v>
      </c>
      <c r="K14" s="538">
        <f>Encarregado!F22</f>
        <v>84.68</v>
      </c>
      <c r="L14" s="508">
        <f>'Auxiliar Adm'!$F$22</f>
        <v>104.6</v>
      </c>
    </row>
    <row r="15" spans="1:16" x14ac:dyDescent="0.25">
      <c r="A15" s="501" t="s">
        <v>463</v>
      </c>
      <c r="B15" s="506" t="s">
        <v>464</v>
      </c>
      <c r="C15" s="506"/>
      <c r="D15" s="506"/>
      <c r="E15" s="506"/>
      <c r="F15" s="507">
        <v>0</v>
      </c>
      <c r="G15" s="507">
        <v>0</v>
      </c>
      <c r="H15" s="507">
        <v>0</v>
      </c>
      <c r="I15" s="507">
        <v>0</v>
      </c>
      <c r="J15" s="507">
        <v>0</v>
      </c>
      <c r="K15" s="538">
        <v>0</v>
      </c>
      <c r="L15" s="508">
        <v>0</v>
      </c>
    </row>
    <row r="16" spans="1:16" x14ac:dyDescent="0.25">
      <c r="A16" s="756" t="s">
        <v>465</v>
      </c>
      <c r="B16" s="756"/>
      <c r="C16" s="756"/>
      <c r="D16" s="756"/>
      <c r="E16" s="756"/>
      <c r="F16" s="509">
        <f t="shared" ref="F16:L16" si="4">SUM(F13:F15)</f>
        <v>600.91999999999996</v>
      </c>
      <c r="G16" s="509">
        <f t="shared" si="4"/>
        <v>600.91999999999996</v>
      </c>
      <c r="H16" s="509">
        <f t="shared" si="4"/>
        <v>600.91999999999996</v>
      </c>
      <c r="I16" s="509">
        <f t="shared" si="4"/>
        <v>600.91999999999996</v>
      </c>
      <c r="J16" s="509">
        <f t="shared" si="4"/>
        <v>559.76</v>
      </c>
      <c r="K16" s="509">
        <f t="shared" si="4"/>
        <v>559.88</v>
      </c>
      <c r="L16" s="510">
        <f t="shared" si="4"/>
        <v>579.79999999999995</v>
      </c>
    </row>
    <row r="17" spans="1:12" ht="12.75" customHeight="1" x14ac:dyDescent="0.25">
      <c r="A17" s="504">
        <v>5</v>
      </c>
      <c r="B17" s="757" t="s">
        <v>466</v>
      </c>
      <c r="C17" s="757"/>
      <c r="D17" s="757"/>
      <c r="E17" s="511" t="s">
        <v>402</v>
      </c>
      <c r="F17" s="755" t="s">
        <v>349</v>
      </c>
      <c r="G17" s="755"/>
      <c r="H17" s="755"/>
      <c r="I17" s="755"/>
      <c r="J17" s="755"/>
      <c r="K17" s="755"/>
      <c r="L17" s="755"/>
    </row>
    <row r="18" spans="1:12" ht="12.75" customHeight="1" x14ac:dyDescent="0.25">
      <c r="A18" s="501" t="s">
        <v>455</v>
      </c>
      <c r="B18" s="576" t="s">
        <v>467</v>
      </c>
      <c r="C18" s="576"/>
      <c r="D18" s="576"/>
      <c r="E18" s="512">
        <f>Dados!$G$46</f>
        <v>0.03</v>
      </c>
      <c r="F18" s="513">
        <f t="shared" ref="F18:L18" si="5">ROUND(($E$18*F31),2)</f>
        <v>107.37</v>
      </c>
      <c r="G18" s="513">
        <f t="shared" si="5"/>
        <v>81.53</v>
      </c>
      <c r="H18" s="513">
        <f t="shared" si="5"/>
        <v>84.57</v>
      </c>
      <c r="I18" s="513">
        <f t="shared" si="5"/>
        <v>83.43</v>
      </c>
      <c r="J18" s="513">
        <f t="shared" si="5"/>
        <v>114.52</v>
      </c>
      <c r="K18" s="513">
        <f>ROUND(($E$18*K31),2)</f>
        <v>111.58</v>
      </c>
      <c r="L18" s="514">
        <f t="shared" si="5"/>
        <v>97</v>
      </c>
    </row>
    <row r="19" spans="1:12" ht="12.75" customHeight="1" x14ac:dyDescent="0.25">
      <c r="A19" s="501" t="s">
        <v>461</v>
      </c>
      <c r="B19" s="576" t="s">
        <v>212</v>
      </c>
      <c r="C19" s="576"/>
      <c r="D19" s="576"/>
      <c r="E19" s="512">
        <f>Dados!$G$47</f>
        <v>6.7900000000000002E-2</v>
      </c>
      <c r="F19" s="513">
        <f t="shared" ref="F19:L19" si="6">ROUND(($E$19*(F18+F31)),2)</f>
        <v>250.29</v>
      </c>
      <c r="G19" s="513">
        <f t="shared" si="6"/>
        <v>190.06</v>
      </c>
      <c r="H19" s="513">
        <f t="shared" si="6"/>
        <v>197.16</v>
      </c>
      <c r="I19" s="513">
        <f t="shared" si="6"/>
        <v>194.49</v>
      </c>
      <c r="J19" s="513">
        <f t="shared" si="6"/>
        <v>266.97000000000003</v>
      </c>
      <c r="K19" s="513">
        <f>ROUND(($E$19*(K18+K31)),2)</f>
        <v>260.13</v>
      </c>
      <c r="L19" s="514">
        <f t="shared" si="6"/>
        <v>226.12</v>
      </c>
    </row>
    <row r="20" spans="1:12" ht="12.75" customHeight="1" x14ac:dyDescent="0.25">
      <c r="A20" s="515" t="s">
        <v>463</v>
      </c>
      <c r="B20" s="758" t="s">
        <v>468</v>
      </c>
      <c r="C20" s="758"/>
      <c r="D20" s="758"/>
      <c r="E20" s="516">
        <f>SUM(E21:E24)</f>
        <v>0.1225</v>
      </c>
      <c r="F20" s="517">
        <f t="shared" ref="F20:L20" si="7">ROUND((((F31+F18+F19)/(1-$E$20))-(F31+F18+F19)),2)</f>
        <v>549.54</v>
      </c>
      <c r="G20" s="517">
        <f t="shared" si="7"/>
        <v>417.29</v>
      </c>
      <c r="H20" s="517">
        <f t="shared" si="7"/>
        <v>432.88</v>
      </c>
      <c r="I20" s="517">
        <f t="shared" si="7"/>
        <v>427.02</v>
      </c>
      <c r="J20" s="517">
        <f t="shared" si="7"/>
        <v>586.15</v>
      </c>
      <c r="K20" s="517">
        <f>ROUND((((K31+K18+K19)/(1-$E$20))-(K31+K18+K19)),2)</f>
        <v>571.13</v>
      </c>
      <c r="L20" s="518">
        <f t="shared" si="7"/>
        <v>496.47</v>
      </c>
    </row>
    <row r="21" spans="1:12" ht="12.75" customHeight="1" x14ac:dyDescent="0.25">
      <c r="A21" s="519" t="s">
        <v>469</v>
      </c>
      <c r="B21" s="576" t="s">
        <v>470</v>
      </c>
      <c r="C21" s="576"/>
      <c r="D21" s="576"/>
      <c r="E21" s="512">
        <f>Dados!G54+Dados!G55</f>
        <v>9.2499999999999999E-2</v>
      </c>
      <c r="F21" s="513">
        <f t="shared" ref="F21:L21" si="8">ROUND($E$21*F33,2)</f>
        <v>414.96</v>
      </c>
      <c r="G21" s="513">
        <f t="shared" si="8"/>
        <v>315.10000000000002</v>
      </c>
      <c r="H21" s="513">
        <f t="shared" si="8"/>
        <v>326.87</v>
      </c>
      <c r="I21" s="513">
        <f t="shared" si="8"/>
        <v>322.45</v>
      </c>
      <c r="J21" s="513">
        <f t="shared" si="8"/>
        <v>442.61</v>
      </c>
      <c r="K21" s="513">
        <f>ROUND($E$21*K33,2)</f>
        <v>431.26</v>
      </c>
      <c r="L21" s="514">
        <f t="shared" si="8"/>
        <v>374.89</v>
      </c>
    </row>
    <row r="22" spans="1:12" ht="12.75" customHeight="1" x14ac:dyDescent="0.25">
      <c r="A22" s="501" t="s">
        <v>471</v>
      </c>
      <c r="B22" s="576" t="s">
        <v>472</v>
      </c>
      <c r="C22" s="576"/>
      <c r="D22" s="576"/>
      <c r="E22" s="512">
        <v>0</v>
      </c>
      <c r="F22" s="513">
        <f t="shared" ref="F22:L22" si="9">ROUND($E$22*F33,2)</f>
        <v>0</v>
      </c>
      <c r="G22" s="513">
        <f t="shared" si="9"/>
        <v>0</v>
      </c>
      <c r="H22" s="513">
        <f t="shared" si="9"/>
        <v>0</v>
      </c>
      <c r="I22" s="513">
        <f t="shared" si="9"/>
        <v>0</v>
      </c>
      <c r="J22" s="513">
        <f t="shared" si="9"/>
        <v>0</v>
      </c>
      <c r="K22" s="513">
        <f>ROUND($E$22*K33,2)</f>
        <v>0</v>
      </c>
      <c r="L22" s="514">
        <f t="shared" si="9"/>
        <v>0</v>
      </c>
    </row>
    <row r="23" spans="1:12" ht="12.75" customHeight="1" x14ac:dyDescent="0.25">
      <c r="A23" s="501" t="s">
        <v>473</v>
      </c>
      <c r="B23" s="576" t="s">
        <v>474</v>
      </c>
      <c r="C23" s="576"/>
      <c r="D23" s="576"/>
      <c r="E23" s="512">
        <f>Dados!G56</f>
        <v>0.03</v>
      </c>
      <c r="F23" s="513">
        <f t="shared" ref="F23:L23" si="10">ROUND($E$23*F33,2)</f>
        <v>134.58000000000001</v>
      </c>
      <c r="G23" s="513">
        <f t="shared" si="10"/>
        <v>102.19</v>
      </c>
      <c r="H23" s="513">
        <f t="shared" si="10"/>
        <v>106.01</v>
      </c>
      <c r="I23" s="513">
        <f t="shared" si="10"/>
        <v>104.58</v>
      </c>
      <c r="J23" s="513">
        <f t="shared" si="10"/>
        <v>143.55000000000001</v>
      </c>
      <c r="K23" s="513">
        <f>ROUND($E$23*K33,2)</f>
        <v>139.87</v>
      </c>
      <c r="L23" s="514">
        <f t="shared" si="10"/>
        <v>121.58</v>
      </c>
    </row>
    <row r="24" spans="1:12" x14ac:dyDescent="0.25">
      <c r="A24" s="501" t="s">
        <v>475</v>
      </c>
      <c r="B24" s="576" t="str">
        <f>Dados!B57</f>
        <v>Outros (inserir somente com a justificativa legal)</v>
      </c>
      <c r="C24" s="576"/>
      <c r="D24" s="576"/>
      <c r="E24" s="512">
        <f>Dados!G57</f>
        <v>0</v>
      </c>
      <c r="F24" s="513">
        <f t="shared" ref="F24:L24" si="11">ROUND($E$24*F33,2)</f>
        <v>0</v>
      </c>
      <c r="G24" s="513">
        <f t="shared" si="11"/>
        <v>0</v>
      </c>
      <c r="H24" s="513">
        <f t="shared" si="11"/>
        <v>0</v>
      </c>
      <c r="I24" s="513">
        <f t="shared" si="11"/>
        <v>0</v>
      </c>
      <c r="J24" s="513">
        <f t="shared" si="11"/>
        <v>0</v>
      </c>
      <c r="K24" s="513">
        <f t="shared" si="11"/>
        <v>0</v>
      </c>
      <c r="L24" s="514">
        <f t="shared" si="11"/>
        <v>0</v>
      </c>
    </row>
    <row r="25" spans="1:12" x14ac:dyDescent="0.25">
      <c r="A25" s="520" t="s">
        <v>476</v>
      </c>
      <c r="B25" s="489"/>
      <c r="C25" s="489"/>
      <c r="D25" s="489"/>
      <c r="E25" s="489"/>
      <c r="F25" s="521">
        <f t="shared" ref="F25:L25" si="12">SUM(F18:F20)</f>
        <v>907.19999999999993</v>
      </c>
      <c r="G25" s="521">
        <f t="shared" si="12"/>
        <v>688.88000000000011</v>
      </c>
      <c r="H25" s="521">
        <f t="shared" si="12"/>
        <v>714.61</v>
      </c>
      <c r="I25" s="521">
        <f t="shared" si="12"/>
        <v>704.94</v>
      </c>
      <c r="J25" s="521">
        <f t="shared" si="12"/>
        <v>967.64</v>
      </c>
      <c r="K25" s="521">
        <f>SUM(K18:K20)</f>
        <v>942.83999999999992</v>
      </c>
      <c r="L25" s="522">
        <f t="shared" si="12"/>
        <v>819.59</v>
      </c>
    </row>
    <row r="26" spans="1:12" ht="19.5" customHeight="1" x14ac:dyDescent="0.25">
      <c r="A26" s="759" t="s">
        <v>477</v>
      </c>
      <c r="B26" s="759"/>
      <c r="C26" s="759"/>
      <c r="D26" s="759"/>
      <c r="E26" s="759"/>
      <c r="F26" s="759"/>
      <c r="G26" s="759"/>
      <c r="H26" s="759"/>
      <c r="I26" s="759"/>
      <c r="J26" s="759"/>
      <c r="K26" s="759"/>
      <c r="L26" s="759"/>
    </row>
    <row r="27" spans="1:12" ht="18" customHeight="1" x14ac:dyDescent="0.25">
      <c r="A27" s="760" t="s">
        <v>478</v>
      </c>
      <c r="B27" s="760"/>
      <c r="C27" s="760"/>
      <c r="D27" s="760"/>
      <c r="E27" s="760"/>
      <c r="F27" s="760"/>
      <c r="G27" s="760"/>
      <c r="H27" s="760"/>
      <c r="I27" s="760"/>
      <c r="J27" s="760"/>
      <c r="K27" s="760"/>
      <c r="L27" s="760"/>
    </row>
    <row r="28" spans="1:12" ht="14.25" customHeight="1" x14ac:dyDescent="0.25">
      <c r="A28" s="523" t="s">
        <v>479</v>
      </c>
      <c r="B28" s="524"/>
      <c r="C28" s="524"/>
      <c r="D28" s="524"/>
      <c r="E28" s="524"/>
      <c r="F28" s="761" t="s">
        <v>349</v>
      </c>
      <c r="G28" s="761"/>
      <c r="H28" s="761"/>
      <c r="I28" s="761"/>
      <c r="J28" s="761"/>
      <c r="K28" s="761"/>
      <c r="L28" s="761"/>
    </row>
    <row r="29" spans="1:12" x14ac:dyDescent="0.25">
      <c r="A29" s="501" t="s">
        <v>455</v>
      </c>
      <c r="B29" s="506" t="s">
        <v>480</v>
      </c>
      <c r="C29" s="506"/>
      <c r="D29" s="506"/>
      <c r="E29" s="506"/>
      <c r="F29" s="525">
        <f t="shared" ref="F29:L29" si="13">F11</f>
        <v>2977.92</v>
      </c>
      <c r="G29" s="525">
        <f t="shared" si="13"/>
        <v>2116.6799999999998</v>
      </c>
      <c r="H29" s="525">
        <f t="shared" si="13"/>
        <v>2218.1999999999998</v>
      </c>
      <c r="I29" s="525">
        <f t="shared" si="13"/>
        <v>2180.04</v>
      </c>
      <c r="J29" s="525">
        <f t="shared" si="13"/>
        <v>3257.5200000000004</v>
      </c>
      <c r="K29" s="525">
        <f>K11</f>
        <v>3159.6000000000004</v>
      </c>
      <c r="L29" s="526">
        <f t="shared" si="13"/>
        <v>2653.44</v>
      </c>
    </row>
    <row r="30" spans="1:12" x14ac:dyDescent="0.25">
      <c r="A30" s="501" t="s">
        <v>461</v>
      </c>
      <c r="B30" s="506" t="s">
        <v>459</v>
      </c>
      <c r="C30" s="506"/>
      <c r="D30" s="506"/>
      <c r="E30" s="506"/>
      <c r="F30" s="525">
        <f t="shared" ref="F30:L30" si="14">F16</f>
        <v>600.91999999999996</v>
      </c>
      <c r="G30" s="525">
        <f t="shared" si="14"/>
        <v>600.91999999999996</v>
      </c>
      <c r="H30" s="525">
        <f t="shared" si="14"/>
        <v>600.91999999999996</v>
      </c>
      <c r="I30" s="525">
        <f t="shared" si="14"/>
        <v>600.91999999999996</v>
      </c>
      <c r="J30" s="525">
        <f t="shared" si="14"/>
        <v>559.76</v>
      </c>
      <c r="K30" s="525">
        <f>K16</f>
        <v>559.88</v>
      </c>
      <c r="L30" s="526">
        <f t="shared" si="14"/>
        <v>579.79999999999995</v>
      </c>
    </row>
    <row r="31" spans="1:12" x14ac:dyDescent="0.25">
      <c r="A31" s="756" t="s">
        <v>481</v>
      </c>
      <c r="B31" s="756"/>
      <c r="C31" s="756"/>
      <c r="D31" s="756"/>
      <c r="E31" s="527"/>
      <c r="F31" s="528">
        <f t="shared" ref="F31:L31" si="15">SUM(F29:F30)</f>
        <v>3578.84</v>
      </c>
      <c r="G31" s="528">
        <f t="shared" si="15"/>
        <v>2717.6</v>
      </c>
      <c r="H31" s="528">
        <f t="shared" si="15"/>
        <v>2819.12</v>
      </c>
      <c r="I31" s="528">
        <f t="shared" si="15"/>
        <v>2780.96</v>
      </c>
      <c r="J31" s="528">
        <f t="shared" si="15"/>
        <v>3817.2800000000007</v>
      </c>
      <c r="K31" s="528">
        <f>SUM(K29:K30)</f>
        <v>3719.4800000000005</v>
      </c>
      <c r="L31" s="529">
        <f t="shared" si="15"/>
        <v>3233.24</v>
      </c>
    </row>
    <row r="32" spans="1:12" x14ac:dyDescent="0.25">
      <c r="A32" s="530" t="s">
        <v>482</v>
      </c>
      <c r="B32" s="531" t="s">
        <v>483</v>
      </c>
      <c r="C32" s="531"/>
      <c r="D32" s="531"/>
      <c r="E32" s="531"/>
      <c r="F32" s="532">
        <f t="shared" ref="F32:L32" si="16">F25</f>
        <v>907.19999999999993</v>
      </c>
      <c r="G32" s="532">
        <f t="shared" si="16"/>
        <v>688.88000000000011</v>
      </c>
      <c r="H32" s="532">
        <f t="shared" si="16"/>
        <v>714.61</v>
      </c>
      <c r="I32" s="532">
        <f t="shared" si="16"/>
        <v>704.94</v>
      </c>
      <c r="J32" s="532">
        <f t="shared" si="16"/>
        <v>967.64</v>
      </c>
      <c r="K32" s="532">
        <f>K25</f>
        <v>942.83999999999992</v>
      </c>
      <c r="L32" s="533">
        <f t="shared" si="16"/>
        <v>819.59</v>
      </c>
    </row>
    <row r="33" spans="1:12" ht="19.5" customHeight="1" x14ac:dyDescent="0.25">
      <c r="A33" s="534" t="s">
        <v>484</v>
      </c>
      <c r="B33" s="535"/>
      <c r="C33" s="535"/>
      <c r="D33" s="535"/>
      <c r="E33" s="535"/>
      <c r="F33" s="536">
        <f t="shared" ref="F33:L33" si="17">SUM(F31:F32)</f>
        <v>4486.04</v>
      </c>
      <c r="G33" s="536">
        <f t="shared" si="17"/>
        <v>3406.48</v>
      </c>
      <c r="H33" s="536">
        <f t="shared" si="17"/>
        <v>3533.73</v>
      </c>
      <c r="I33" s="536">
        <f t="shared" si="17"/>
        <v>3485.9</v>
      </c>
      <c r="J33" s="536">
        <f t="shared" si="17"/>
        <v>4784.920000000001</v>
      </c>
      <c r="K33" s="536">
        <f>SUM(K31:K32)</f>
        <v>4662.3200000000006</v>
      </c>
      <c r="L33" s="537">
        <f t="shared" si="17"/>
        <v>4052.83</v>
      </c>
    </row>
  </sheetData>
  <sheetProtection algorithmName="SHA-512" hashValue="1lhiqwRtFP7jx4NL1BKWhNLu9xxdxTay/WZYLa+MLlOvBITrbFCP8v8dvAqIR9BZ0DMycmMT0kMNBalJgA3OHw==" saltValue="si8psUFqTsAps76i5JGAYQ==" spinCount="100000" sheet="1" objects="1" scenarios="1"/>
  <mergeCells count="27">
    <mergeCell ref="A31:D31"/>
    <mergeCell ref="B23:D23"/>
    <mergeCell ref="B24:D24"/>
    <mergeCell ref="A26:L26"/>
    <mergeCell ref="A27:L27"/>
    <mergeCell ref="F28:L28"/>
    <mergeCell ref="B18:D18"/>
    <mergeCell ref="B19:D19"/>
    <mergeCell ref="B20:D20"/>
    <mergeCell ref="B21:D21"/>
    <mergeCell ref="B22:D22"/>
    <mergeCell ref="F12:L12"/>
    <mergeCell ref="B13:D13"/>
    <mergeCell ref="B14:D14"/>
    <mergeCell ref="A16:E16"/>
    <mergeCell ref="B17:D17"/>
    <mergeCell ref="F17:L17"/>
    <mergeCell ref="B7:E7"/>
    <mergeCell ref="B8:D8"/>
    <mergeCell ref="B9:D9"/>
    <mergeCell ref="A10:D10"/>
    <mergeCell ref="A11:E11"/>
    <mergeCell ref="A4:L4"/>
    <mergeCell ref="A5:D5"/>
    <mergeCell ref="E5:E6"/>
    <mergeCell ref="B6:D6"/>
    <mergeCell ref="F6:L6"/>
  </mergeCells>
  <printOptions horizontalCentered="1" verticalCentered="1"/>
  <pageMargins left="0.51180555555555596" right="0.51180555555555596" top="0.78749999999999998" bottom="0.78749999999999998" header="0.511811023622047" footer="0.511811023622047"/>
  <pageSetup paperSize="9" scale="61" fitToHeight="2"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I23"/>
  <sheetViews>
    <sheetView showGridLines="0" view="pageBreakPreview" zoomScale="140" zoomScaleNormal="100" zoomScalePageLayoutView="140" workbookViewId="0"/>
  </sheetViews>
  <sheetFormatPr defaultColWidth="8.7109375" defaultRowHeight="15" x14ac:dyDescent="0.25"/>
  <cols>
    <col min="1" max="1" width="7.85546875" customWidth="1"/>
    <col min="2" max="2" width="7.28515625" customWidth="1"/>
    <col min="3" max="3" width="4.42578125" customWidth="1"/>
    <col min="4" max="4" width="7.5703125" customWidth="1"/>
    <col min="5" max="5" width="5.42578125" customWidth="1"/>
    <col min="6" max="6" width="8.28515625" customWidth="1"/>
    <col min="7" max="7" width="7.42578125" customWidth="1"/>
    <col min="8" max="8" width="3.28515625" customWidth="1"/>
    <col min="9" max="9" width="7.28515625" customWidth="1"/>
    <col min="10" max="10" width="4.42578125" customWidth="1"/>
    <col min="11" max="11" width="7.5703125" customWidth="1"/>
    <col min="12" max="12" width="5.42578125" customWidth="1"/>
    <col min="13" max="13" width="8.28515625" customWidth="1"/>
    <col min="14" max="14" width="7.42578125" customWidth="1"/>
    <col min="15" max="15" width="3" customWidth="1"/>
    <col min="16" max="16" width="7.28515625" customWidth="1"/>
    <col min="17" max="17" width="4.42578125" customWidth="1"/>
    <col min="18" max="18" width="7.5703125" customWidth="1"/>
    <col min="19" max="19" width="5.42578125" customWidth="1"/>
    <col min="20" max="20" width="8.28515625" customWidth="1"/>
    <col min="21" max="21" width="7.42578125" customWidth="1"/>
    <col min="22" max="22" width="3" customWidth="1"/>
    <col min="23" max="23" width="7.28515625" customWidth="1"/>
    <col min="24" max="24" width="4.42578125" customWidth="1"/>
    <col min="25" max="25" width="7.5703125" customWidth="1"/>
    <col min="26" max="26" width="5.42578125" customWidth="1"/>
    <col min="27" max="27" width="8.28515625" customWidth="1"/>
    <col min="28" max="28" width="7.42578125" customWidth="1"/>
    <col min="29" max="29" width="3" customWidth="1"/>
    <col min="30" max="30" width="7.28515625" customWidth="1"/>
    <col min="31" max="31" width="4.42578125" customWidth="1"/>
    <col min="257" max="257" width="1.42578125" customWidth="1"/>
    <col min="258" max="258" width="7.28515625" customWidth="1"/>
    <col min="259" max="259" width="4.42578125" customWidth="1"/>
    <col min="260" max="260" width="7.5703125" customWidth="1"/>
    <col min="261" max="261" width="5.42578125" customWidth="1"/>
    <col min="262" max="262" width="8.28515625" customWidth="1"/>
    <col min="263" max="263" width="7.42578125" customWidth="1"/>
    <col min="264" max="264" width="3.28515625" customWidth="1"/>
    <col min="265" max="265" width="7.28515625" customWidth="1"/>
    <col min="266" max="266" width="4.42578125" customWidth="1"/>
    <col min="267" max="267" width="7.5703125" customWidth="1"/>
    <col min="268" max="268" width="5.42578125" customWidth="1"/>
    <col min="269" max="269" width="8.28515625" customWidth="1"/>
    <col min="270" max="270" width="7.42578125" customWidth="1"/>
    <col min="271" max="271" width="3" customWidth="1"/>
    <col min="272" max="272" width="7.28515625" customWidth="1"/>
    <col min="273" max="273" width="4.42578125" customWidth="1"/>
    <col min="274" max="274" width="7.5703125" customWidth="1"/>
    <col min="275" max="275" width="5.42578125" customWidth="1"/>
    <col min="276" max="276" width="8.28515625" customWidth="1"/>
    <col min="277" max="277" width="7.42578125" customWidth="1"/>
    <col min="278" max="278" width="3" customWidth="1"/>
    <col min="279" max="279" width="7.28515625" customWidth="1"/>
    <col min="280" max="280" width="4.42578125" customWidth="1"/>
    <col min="281" max="281" width="7.5703125" customWidth="1"/>
    <col min="282" max="282" width="5.42578125" customWidth="1"/>
    <col min="283" max="283" width="8.28515625" customWidth="1"/>
    <col min="284" max="284" width="7.42578125" customWidth="1"/>
    <col min="285" max="285" width="3" customWidth="1"/>
    <col min="286" max="286" width="7.28515625" customWidth="1"/>
    <col min="287" max="287" width="4.42578125" customWidth="1"/>
    <col min="513" max="513" width="1.42578125" customWidth="1"/>
    <col min="514" max="514" width="7.28515625" customWidth="1"/>
    <col min="515" max="515" width="4.42578125" customWidth="1"/>
    <col min="516" max="516" width="7.5703125" customWidth="1"/>
    <col min="517" max="517" width="5.42578125" customWidth="1"/>
    <col min="518" max="518" width="8.28515625" customWidth="1"/>
    <col min="519" max="519" width="7.42578125" customWidth="1"/>
    <col min="520" max="520" width="3.28515625" customWidth="1"/>
    <col min="521" max="521" width="7.28515625" customWidth="1"/>
    <col min="522" max="522" width="4.42578125" customWidth="1"/>
    <col min="523" max="523" width="7.5703125" customWidth="1"/>
    <col min="524" max="524" width="5.42578125" customWidth="1"/>
    <col min="525" max="525" width="8.28515625" customWidth="1"/>
    <col min="526" max="526" width="7.42578125" customWidth="1"/>
    <col min="527" max="527" width="3" customWidth="1"/>
    <col min="528" max="528" width="7.28515625" customWidth="1"/>
    <col min="529" max="529" width="4.42578125" customWidth="1"/>
    <col min="530" max="530" width="7.5703125" customWidth="1"/>
    <col min="531" max="531" width="5.42578125" customWidth="1"/>
    <col min="532" max="532" width="8.28515625" customWidth="1"/>
    <col min="533" max="533" width="7.42578125" customWidth="1"/>
    <col min="534" max="534" width="3" customWidth="1"/>
    <col min="535" max="535" width="7.28515625" customWidth="1"/>
    <col min="536" max="536" width="4.42578125" customWidth="1"/>
    <col min="537" max="537" width="7.5703125" customWidth="1"/>
    <col min="538" max="538" width="5.42578125" customWidth="1"/>
    <col min="539" max="539" width="8.28515625" customWidth="1"/>
    <col min="540" max="540" width="7.42578125" customWidth="1"/>
    <col min="541" max="541" width="3" customWidth="1"/>
    <col min="542" max="542" width="7.28515625" customWidth="1"/>
    <col min="543" max="543" width="4.42578125" customWidth="1"/>
    <col min="769" max="769" width="1.42578125" customWidth="1"/>
    <col min="770" max="770" width="7.28515625" customWidth="1"/>
    <col min="771" max="771" width="4.42578125" customWidth="1"/>
    <col min="772" max="772" width="7.5703125" customWidth="1"/>
    <col min="773" max="773" width="5.42578125" customWidth="1"/>
    <col min="774" max="774" width="8.28515625" customWidth="1"/>
    <col min="775" max="775" width="7.42578125" customWidth="1"/>
    <col min="776" max="776" width="3.28515625" customWidth="1"/>
    <col min="777" max="777" width="7.28515625" customWidth="1"/>
    <col min="778" max="778" width="4.42578125" customWidth="1"/>
    <col min="779" max="779" width="7.5703125" customWidth="1"/>
    <col min="780" max="780" width="5.42578125" customWidth="1"/>
    <col min="781" max="781" width="8.28515625" customWidth="1"/>
    <col min="782" max="782" width="7.42578125" customWidth="1"/>
    <col min="783" max="783" width="3" customWidth="1"/>
    <col min="784" max="784" width="7.28515625" customWidth="1"/>
    <col min="785" max="785" width="4.42578125" customWidth="1"/>
    <col min="786" max="786" width="7.5703125" customWidth="1"/>
    <col min="787" max="787" width="5.42578125" customWidth="1"/>
    <col min="788" max="788" width="8.28515625" customWidth="1"/>
    <col min="789" max="789" width="7.42578125" customWidth="1"/>
    <col min="790" max="790" width="3" customWidth="1"/>
    <col min="791" max="791" width="7.28515625" customWidth="1"/>
    <col min="792" max="792" width="4.42578125" customWidth="1"/>
    <col min="793" max="793" width="7.5703125" customWidth="1"/>
    <col min="794" max="794" width="5.42578125" customWidth="1"/>
    <col min="795" max="795" width="8.28515625" customWidth="1"/>
    <col min="796" max="796" width="7.42578125" customWidth="1"/>
    <col min="797" max="797" width="3" customWidth="1"/>
    <col min="798" max="798" width="7.28515625" customWidth="1"/>
    <col min="799" max="799" width="4.42578125" customWidth="1"/>
  </cols>
  <sheetData>
    <row r="1" spans="1:35" x14ac:dyDescent="0.25">
      <c r="A1" s="102"/>
      <c r="B1" s="102" t="s">
        <v>91</v>
      </c>
    </row>
    <row r="2" spans="1:35" x14ac:dyDescent="0.25">
      <c r="A2" s="102"/>
      <c r="B2" s="102" t="s">
        <v>92</v>
      </c>
    </row>
    <row r="3" spans="1:35" x14ac:dyDescent="0.25">
      <c r="A3" s="320"/>
      <c r="B3" s="69" t="s">
        <v>93</v>
      </c>
    </row>
    <row r="4" spans="1:35" ht="6" customHeight="1" x14ac:dyDescent="0.25"/>
    <row r="5" spans="1:35" ht="6" customHeight="1" x14ac:dyDescent="0.25"/>
    <row r="6" spans="1:35" ht="15.75" customHeight="1" x14ac:dyDescent="0.25">
      <c r="B6" s="762" t="s">
        <v>233</v>
      </c>
      <c r="C6" s="762"/>
      <c r="D6" s="762"/>
      <c r="E6" s="762"/>
      <c r="F6" s="762"/>
      <c r="G6" s="762"/>
      <c r="I6" s="762" t="s">
        <v>237</v>
      </c>
      <c r="J6" s="762"/>
      <c r="K6" s="762"/>
      <c r="L6" s="762"/>
      <c r="M6" s="762"/>
      <c r="N6" s="762"/>
      <c r="P6" s="762" t="s">
        <v>238</v>
      </c>
      <c r="Q6" s="762"/>
      <c r="R6" s="762"/>
      <c r="S6" s="762"/>
      <c r="T6" s="762"/>
      <c r="U6" s="762"/>
      <c r="W6" s="762" t="s">
        <v>239</v>
      </c>
      <c r="X6" s="762"/>
      <c r="Y6" s="762"/>
      <c r="Z6" s="762"/>
      <c r="AA6" s="762"/>
      <c r="AB6" s="762"/>
      <c r="AD6" s="762" t="s">
        <v>240</v>
      </c>
      <c r="AE6" s="762"/>
      <c r="AF6" s="762"/>
      <c r="AG6" s="762"/>
      <c r="AH6" s="762"/>
      <c r="AI6" s="762"/>
    </row>
    <row r="7" spans="1:35" x14ac:dyDescent="0.25">
      <c r="B7" s="420" t="s">
        <v>485</v>
      </c>
      <c r="C7" s="763"/>
      <c r="D7" s="763"/>
      <c r="E7" s="763"/>
      <c r="F7" s="763"/>
      <c r="G7" s="763"/>
      <c r="I7" s="420" t="s">
        <v>485</v>
      </c>
      <c r="J7" s="763"/>
      <c r="K7" s="763"/>
      <c r="L7" s="763"/>
      <c r="M7" s="763"/>
      <c r="N7" s="763"/>
      <c r="P7" s="420" t="s">
        <v>485</v>
      </c>
      <c r="Q7" s="763"/>
      <c r="R7" s="763"/>
      <c r="S7" s="763"/>
      <c r="T7" s="763"/>
      <c r="U7" s="763"/>
      <c r="W7" s="420" t="s">
        <v>485</v>
      </c>
      <c r="X7" s="763"/>
      <c r="Y7" s="763"/>
      <c r="Z7" s="763"/>
      <c r="AA7" s="763"/>
      <c r="AB7" s="763"/>
      <c r="AD7" s="420" t="s">
        <v>485</v>
      </c>
      <c r="AE7" s="763"/>
      <c r="AF7" s="763"/>
      <c r="AG7" s="763"/>
      <c r="AH7" s="763"/>
      <c r="AI7" s="763"/>
    </row>
    <row r="8" spans="1:35" ht="25.5" customHeight="1" x14ac:dyDescent="0.25">
      <c r="B8" s="682" t="s">
        <v>486</v>
      </c>
      <c r="C8" s="682"/>
      <c r="D8" s="211" t="s">
        <v>487</v>
      </c>
      <c r="E8" s="211" t="s">
        <v>488</v>
      </c>
      <c r="F8" s="211" t="s">
        <v>489</v>
      </c>
      <c r="G8" s="211" t="s">
        <v>490</v>
      </c>
      <c r="I8" s="682" t="s">
        <v>486</v>
      </c>
      <c r="J8" s="682"/>
      <c r="K8" s="211" t="s">
        <v>487</v>
      </c>
      <c r="L8" s="211" t="s">
        <v>488</v>
      </c>
      <c r="M8" s="211" t="s">
        <v>489</v>
      </c>
      <c r="N8" s="211" t="s">
        <v>490</v>
      </c>
      <c r="P8" s="682" t="s">
        <v>486</v>
      </c>
      <c r="Q8" s="682"/>
      <c r="R8" s="211" t="s">
        <v>487</v>
      </c>
      <c r="S8" s="211" t="s">
        <v>488</v>
      </c>
      <c r="T8" s="211" t="s">
        <v>489</v>
      </c>
      <c r="U8" s="211" t="s">
        <v>490</v>
      </c>
      <c r="W8" s="682" t="s">
        <v>486</v>
      </c>
      <c r="X8" s="682"/>
      <c r="Y8" s="211" t="s">
        <v>487</v>
      </c>
      <c r="Z8" s="211" t="s">
        <v>488</v>
      </c>
      <c r="AA8" s="211" t="s">
        <v>489</v>
      </c>
      <c r="AB8" s="211" t="s">
        <v>490</v>
      </c>
      <c r="AD8" s="682" t="s">
        <v>486</v>
      </c>
      <c r="AE8" s="682"/>
      <c r="AF8" s="211" t="s">
        <v>487</v>
      </c>
      <c r="AG8" s="211" t="s">
        <v>488</v>
      </c>
      <c r="AH8" s="211" t="s">
        <v>489</v>
      </c>
      <c r="AI8" s="211" t="s">
        <v>490</v>
      </c>
    </row>
    <row r="9" spans="1:35" x14ac:dyDescent="0.25">
      <c r="B9" s="421" t="s">
        <v>491</v>
      </c>
      <c r="C9" s="421" t="s">
        <v>492</v>
      </c>
      <c r="D9" s="421" t="s">
        <v>493</v>
      </c>
      <c r="E9" s="421"/>
      <c r="F9" s="421" t="s">
        <v>494</v>
      </c>
      <c r="G9" s="422">
        <v>100</v>
      </c>
      <c r="I9" s="421" t="s">
        <v>491</v>
      </c>
      <c r="J9" s="421" t="s">
        <v>492</v>
      </c>
      <c r="K9" s="421" t="s">
        <v>493</v>
      </c>
      <c r="L9" s="421"/>
      <c r="M9" s="421" t="s">
        <v>494</v>
      </c>
      <c r="N9" s="422">
        <v>100</v>
      </c>
      <c r="P9" s="421" t="s">
        <v>491</v>
      </c>
      <c r="Q9" s="421" t="s">
        <v>492</v>
      </c>
      <c r="R9" s="421" t="s">
        <v>493</v>
      </c>
      <c r="S9" s="421"/>
      <c r="T9" s="421" t="s">
        <v>494</v>
      </c>
      <c r="U9" s="422">
        <v>100</v>
      </c>
      <c r="W9" s="421" t="s">
        <v>491</v>
      </c>
      <c r="X9" s="421" t="s">
        <v>492</v>
      </c>
      <c r="Y9" s="421" t="s">
        <v>493</v>
      </c>
      <c r="Z9" s="421"/>
      <c r="AA9" s="421" t="s">
        <v>494</v>
      </c>
      <c r="AB9" s="422">
        <v>100</v>
      </c>
      <c r="AD9" s="421" t="s">
        <v>491</v>
      </c>
      <c r="AE9" s="421" t="s">
        <v>492</v>
      </c>
      <c r="AF9" s="421" t="s">
        <v>493</v>
      </c>
      <c r="AG9" s="421"/>
      <c r="AH9" s="421" t="s">
        <v>494</v>
      </c>
      <c r="AI9" s="422">
        <v>100</v>
      </c>
    </row>
    <row r="10" spans="1:35" x14ac:dyDescent="0.25">
      <c r="B10" s="421">
        <v>2023</v>
      </c>
      <c r="C10" s="423" t="s">
        <v>495</v>
      </c>
      <c r="D10" s="424"/>
      <c r="E10" s="425">
        <v>25</v>
      </c>
      <c r="F10" s="424">
        <f t="shared" ref="F10:F22" si="0">D10/30*E10</f>
        <v>0</v>
      </c>
      <c r="G10" s="426">
        <f t="shared" ref="G10:G22" si="1">(G9*F10)+G9</f>
        <v>100</v>
      </c>
      <c r="I10" s="421">
        <f t="shared" ref="I10:I22" si="2">B10+1</f>
        <v>2024</v>
      </c>
      <c r="J10" s="423" t="str">
        <f>$C$10</f>
        <v>AGO</v>
      </c>
      <c r="K10" s="424"/>
      <c r="L10" s="425">
        <f>$E$10</f>
        <v>25</v>
      </c>
      <c r="M10" s="424">
        <f t="shared" ref="M10:M22" si="3">K10/30*L10</f>
        <v>0</v>
      </c>
      <c r="N10" s="426">
        <f t="shared" ref="N10:N22" si="4">(N9*M10)+N9</f>
        <v>100</v>
      </c>
      <c r="P10" s="421">
        <f t="shared" ref="P10:P22" si="5">I10+1</f>
        <v>2025</v>
      </c>
      <c r="Q10" s="423" t="str">
        <f>$C$10</f>
        <v>AGO</v>
      </c>
      <c r="R10" s="424"/>
      <c r="S10" s="425">
        <f>$E$10</f>
        <v>25</v>
      </c>
      <c r="T10" s="424">
        <f t="shared" ref="T10:T22" si="6">R10/30*S10</f>
        <v>0</v>
      </c>
      <c r="U10" s="426">
        <f t="shared" ref="U10:U22" si="7">(U9*T10)+U9</f>
        <v>100</v>
      </c>
      <c r="W10" s="421">
        <f t="shared" ref="W10:W22" si="8">P10+1</f>
        <v>2026</v>
      </c>
      <c r="X10" s="423" t="str">
        <f>$C$10</f>
        <v>AGO</v>
      </c>
      <c r="Y10" s="424"/>
      <c r="Z10" s="425">
        <f>$E$10</f>
        <v>25</v>
      </c>
      <c r="AA10" s="424">
        <f t="shared" ref="AA10:AA22" si="9">Y10/30*Z10</f>
        <v>0</v>
      </c>
      <c r="AB10" s="426">
        <f t="shared" ref="AB10:AB22" si="10">(AB9*AA10)+AB9</f>
        <v>100</v>
      </c>
      <c r="AD10" s="421">
        <f t="shared" ref="AD10:AD22" si="11">W10+1</f>
        <v>2027</v>
      </c>
      <c r="AE10" s="423" t="str">
        <f>$C$10</f>
        <v>AGO</v>
      </c>
      <c r="AF10" s="424"/>
      <c r="AG10" s="425">
        <f>$E$10</f>
        <v>25</v>
      </c>
      <c r="AH10" s="424">
        <f t="shared" ref="AH10:AH22" si="12">AF10/30*AG10</f>
        <v>0</v>
      </c>
      <c r="AI10" s="426">
        <f t="shared" ref="AI10:AI22" si="13">(AI9*AH10)+AI9</f>
        <v>100</v>
      </c>
    </row>
    <row r="11" spans="1:35" x14ac:dyDescent="0.25">
      <c r="B11" s="421">
        <v>2023</v>
      </c>
      <c r="C11" s="423" t="s">
        <v>496</v>
      </c>
      <c r="D11" s="424"/>
      <c r="E11" s="425"/>
      <c r="F11" s="424">
        <f t="shared" si="0"/>
        <v>0</v>
      </c>
      <c r="G11" s="426">
        <f t="shared" si="1"/>
        <v>100</v>
      </c>
      <c r="I11" s="421">
        <f t="shared" si="2"/>
        <v>2024</v>
      </c>
      <c r="J11" s="423" t="str">
        <f>$C$11</f>
        <v>SET</v>
      </c>
      <c r="K11" s="424"/>
      <c r="L11" s="425"/>
      <c r="M11" s="424">
        <f t="shared" si="3"/>
        <v>0</v>
      </c>
      <c r="N11" s="426">
        <f t="shared" si="4"/>
        <v>100</v>
      </c>
      <c r="P11" s="421">
        <f t="shared" si="5"/>
        <v>2025</v>
      </c>
      <c r="Q11" s="423" t="str">
        <f>$C$11</f>
        <v>SET</v>
      </c>
      <c r="R11" s="424"/>
      <c r="S11" s="425"/>
      <c r="T11" s="424">
        <f t="shared" si="6"/>
        <v>0</v>
      </c>
      <c r="U11" s="426">
        <f t="shared" si="7"/>
        <v>100</v>
      </c>
      <c r="W11" s="421">
        <f t="shared" si="8"/>
        <v>2026</v>
      </c>
      <c r="X11" s="423" t="str">
        <f>$C$11</f>
        <v>SET</v>
      </c>
      <c r="Y11" s="424"/>
      <c r="Z11" s="425"/>
      <c r="AA11" s="424">
        <f t="shared" si="9"/>
        <v>0</v>
      </c>
      <c r="AB11" s="426">
        <f t="shared" si="10"/>
        <v>100</v>
      </c>
      <c r="AD11" s="421">
        <f t="shared" si="11"/>
        <v>2027</v>
      </c>
      <c r="AE11" s="423" t="str">
        <f>$C$11</f>
        <v>SET</v>
      </c>
      <c r="AF11" s="424"/>
      <c r="AG11" s="425"/>
      <c r="AH11" s="424">
        <f t="shared" si="12"/>
        <v>0</v>
      </c>
      <c r="AI11" s="426">
        <f t="shared" si="13"/>
        <v>100</v>
      </c>
    </row>
    <row r="12" spans="1:35" x14ac:dyDescent="0.25">
      <c r="B12" s="421">
        <v>2023</v>
      </c>
      <c r="C12" s="423" t="s">
        <v>497</v>
      </c>
      <c r="D12" s="424"/>
      <c r="E12" s="425"/>
      <c r="F12" s="424">
        <f t="shared" si="0"/>
        <v>0</v>
      </c>
      <c r="G12" s="426">
        <f t="shared" si="1"/>
        <v>100</v>
      </c>
      <c r="I12" s="421">
        <f t="shared" si="2"/>
        <v>2024</v>
      </c>
      <c r="J12" s="423" t="str">
        <f>$C$12</f>
        <v>OUT</v>
      </c>
      <c r="K12" s="424"/>
      <c r="L12" s="425"/>
      <c r="M12" s="424">
        <f t="shared" si="3"/>
        <v>0</v>
      </c>
      <c r="N12" s="426">
        <f t="shared" si="4"/>
        <v>100</v>
      </c>
      <c r="P12" s="421">
        <f t="shared" si="5"/>
        <v>2025</v>
      </c>
      <c r="Q12" s="423" t="str">
        <f>$C$12</f>
        <v>OUT</v>
      </c>
      <c r="R12" s="424"/>
      <c r="S12" s="425"/>
      <c r="T12" s="424">
        <f t="shared" si="6"/>
        <v>0</v>
      </c>
      <c r="U12" s="426">
        <f t="shared" si="7"/>
        <v>100</v>
      </c>
      <c r="W12" s="421">
        <f t="shared" si="8"/>
        <v>2026</v>
      </c>
      <c r="X12" s="423" t="str">
        <f>$C$12</f>
        <v>OUT</v>
      </c>
      <c r="Y12" s="424"/>
      <c r="Z12" s="425"/>
      <c r="AA12" s="424">
        <f t="shared" si="9"/>
        <v>0</v>
      </c>
      <c r="AB12" s="426">
        <f t="shared" si="10"/>
        <v>100</v>
      </c>
      <c r="AD12" s="421">
        <f t="shared" si="11"/>
        <v>2027</v>
      </c>
      <c r="AE12" s="423" t="str">
        <f>$C$12</f>
        <v>OUT</v>
      </c>
      <c r="AF12" s="424"/>
      <c r="AG12" s="425"/>
      <c r="AH12" s="424">
        <f t="shared" si="12"/>
        <v>0</v>
      </c>
      <c r="AI12" s="426">
        <f t="shared" si="13"/>
        <v>100</v>
      </c>
    </row>
    <row r="13" spans="1:35" x14ac:dyDescent="0.25">
      <c r="B13" s="421">
        <v>2023</v>
      </c>
      <c r="C13" s="423" t="s">
        <v>498</v>
      </c>
      <c r="D13" s="424"/>
      <c r="E13" s="425"/>
      <c r="F13" s="424">
        <f t="shared" si="0"/>
        <v>0</v>
      </c>
      <c r="G13" s="426">
        <f t="shared" si="1"/>
        <v>100</v>
      </c>
      <c r="I13" s="421">
        <f t="shared" si="2"/>
        <v>2024</v>
      </c>
      <c r="J13" s="423" t="str">
        <f>$C$13</f>
        <v>NOV</v>
      </c>
      <c r="K13" s="424"/>
      <c r="L13" s="425"/>
      <c r="M13" s="424">
        <f t="shared" si="3"/>
        <v>0</v>
      </c>
      <c r="N13" s="426">
        <f t="shared" si="4"/>
        <v>100</v>
      </c>
      <c r="P13" s="421">
        <f t="shared" si="5"/>
        <v>2025</v>
      </c>
      <c r="Q13" s="423" t="str">
        <f>$C$13</f>
        <v>NOV</v>
      </c>
      <c r="R13" s="424"/>
      <c r="S13" s="425"/>
      <c r="T13" s="424">
        <f t="shared" si="6"/>
        <v>0</v>
      </c>
      <c r="U13" s="426">
        <f t="shared" si="7"/>
        <v>100</v>
      </c>
      <c r="W13" s="421">
        <f t="shared" si="8"/>
        <v>2026</v>
      </c>
      <c r="X13" s="423" t="str">
        <f>$C$13</f>
        <v>NOV</v>
      </c>
      <c r="Y13" s="424"/>
      <c r="Z13" s="425"/>
      <c r="AA13" s="424">
        <f t="shared" si="9"/>
        <v>0</v>
      </c>
      <c r="AB13" s="426">
        <f t="shared" si="10"/>
        <v>100</v>
      </c>
      <c r="AD13" s="421">
        <f t="shared" si="11"/>
        <v>2027</v>
      </c>
      <c r="AE13" s="423" t="str">
        <f>$C$13</f>
        <v>NOV</v>
      </c>
      <c r="AF13" s="424"/>
      <c r="AG13" s="425"/>
      <c r="AH13" s="424">
        <f t="shared" si="12"/>
        <v>0</v>
      </c>
      <c r="AI13" s="426">
        <f t="shared" si="13"/>
        <v>100</v>
      </c>
    </row>
    <row r="14" spans="1:35" x14ac:dyDescent="0.25">
      <c r="B14" s="421">
        <v>2023</v>
      </c>
      <c r="C14" s="423" t="s">
        <v>499</v>
      </c>
      <c r="D14" s="424"/>
      <c r="E14" s="425"/>
      <c r="F14" s="424">
        <f t="shared" si="0"/>
        <v>0</v>
      </c>
      <c r="G14" s="426">
        <f t="shared" si="1"/>
        <v>100</v>
      </c>
      <c r="I14" s="421">
        <f t="shared" si="2"/>
        <v>2024</v>
      </c>
      <c r="J14" s="423" t="str">
        <f>$C$14</f>
        <v>DEZ</v>
      </c>
      <c r="K14" s="424"/>
      <c r="L14" s="425"/>
      <c r="M14" s="424">
        <f t="shared" si="3"/>
        <v>0</v>
      </c>
      <c r="N14" s="426">
        <f t="shared" si="4"/>
        <v>100</v>
      </c>
      <c r="P14" s="421">
        <f t="shared" si="5"/>
        <v>2025</v>
      </c>
      <c r="Q14" s="423" t="str">
        <f>$C$14</f>
        <v>DEZ</v>
      </c>
      <c r="R14" s="424"/>
      <c r="S14" s="425"/>
      <c r="T14" s="424">
        <f t="shared" si="6"/>
        <v>0</v>
      </c>
      <c r="U14" s="426">
        <f t="shared" si="7"/>
        <v>100</v>
      </c>
      <c r="W14" s="421">
        <f t="shared" si="8"/>
        <v>2026</v>
      </c>
      <c r="X14" s="423" t="str">
        <f>$C$14</f>
        <v>DEZ</v>
      </c>
      <c r="Y14" s="424"/>
      <c r="Z14" s="425"/>
      <c r="AA14" s="424">
        <f t="shared" si="9"/>
        <v>0</v>
      </c>
      <c r="AB14" s="426">
        <f t="shared" si="10"/>
        <v>100</v>
      </c>
      <c r="AD14" s="421">
        <f t="shared" si="11"/>
        <v>2027</v>
      </c>
      <c r="AE14" s="423" t="str">
        <f>$C$14</f>
        <v>DEZ</v>
      </c>
      <c r="AF14" s="424"/>
      <c r="AG14" s="425"/>
      <c r="AH14" s="424">
        <f t="shared" si="12"/>
        <v>0</v>
      </c>
      <c r="AI14" s="426">
        <f t="shared" si="13"/>
        <v>100</v>
      </c>
    </row>
    <row r="15" spans="1:35" x14ac:dyDescent="0.25">
      <c r="B15" s="421">
        <v>2023</v>
      </c>
      <c r="C15" s="423" t="s">
        <v>499</v>
      </c>
      <c r="D15" s="424"/>
      <c r="E15" s="425"/>
      <c r="F15" s="424">
        <f t="shared" si="0"/>
        <v>0</v>
      </c>
      <c r="G15" s="426">
        <f t="shared" si="1"/>
        <v>100</v>
      </c>
      <c r="I15" s="421">
        <f t="shared" si="2"/>
        <v>2024</v>
      </c>
      <c r="J15" s="423" t="str">
        <f>$C$15</f>
        <v>DEZ</v>
      </c>
      <c r="K15" s="424"/>
      <c r="L15" s="425"/>
      <c r="M15" s="424">
        <f t="shared" si="3"/>
        <v>0</v>
      </c>
      <c r="N15" s="426">
        <f t="shared" si="4"/>
        <v>100</v>
      </c>
      <c r="P15" s="421">
        <f t="shared" si="5"/>
        <v>2025</v>
      </c>
      <c r="Q15" s="423" t="str">
        <f>$C$15</f>
        <v>DEZ</v>
      </c>
      <c r="R15" s="424"/>
      <c r="S15" s="425"/>
      <c r="T15" s="424">
        <f t="shared" si="6"/>
        <v>0</v>
      </c>
      <c r="U15" s="426">
        <f t="shared" si="7"/>
        <v>100</v>
      </c>
      <c r="W15" s="421">
        <f t="shared" si="8"/>
        <v>2026</v>
      </c>
      <c r="X15" s="423" t="str">
        <f>$C$15</f>
        <v>DEZ</v>
      </c>
      <c r="Y15" s="424"/>
      <c r="Z15" s="425"/>
      <c r="AA15" s="424">
        <f t="shared" si="9"/>
        <v>0</v>
      </c>
      <c r="AB15" s="426">
        <f t="shared" si="10"/>
        <v>100</v>
      </c>
      <c r="AD15" s="421">
        <f t="shared" si="11"/>
        <v>2027</v>
      </c>
      <c r="AE15" s="423" t="str">
        <f>$C$15</f>
        <v>DEZ</v>
      </c>
      <c r="AF15" s="424"/>
      <c r="AG15" s="425"/>
      <c r="AH15" s="424">
        <f t="shared" si="12"/>
        <v>0</v>
      </c>
      <c r="AI15" s="426">
        <f t="shared" si="13"/>
        <v>100</v>
      </c>
    </row>
    <row r="16" spans="1:35" x14ac:dyDescent="0.25">
      <c r="B16" s="421">
        <v>2024</v>
      </c>
      <c r="C16" s="427" t="s">
        <v>500</v>
      </c>
      <c r="D16" s="428"/>
      <c r="E16" s="429"/>
      <c r="F16" s="424">
        <f t="shared" si="0"/>
        <v>0</v>
      </c>
      <c r="G16" s="426">
        <f t="shared" si="1"/>
        <v>100</v>
      </c>
      <c r="I16" s="421">
        <f t="shared" si="2"/>
        <v>2025</v>
      </c>
      <c r="J16" s="423" t="str">
        <f>$C$16</f>
        <v>JAN</v>
      </c>
      <c r="K16" s="428"/>
      <c r="L16" s="425"/>
      <c r="M16" s="424">
        <f t="shared" si="3"/>
        <v>0</v>
      </c>
      <c r="N16" s="426">
        <f t="shared" si="4"/>
        <v>100</v>
      </c>
      <c r="P16" s="421">
        <f t="shared" si="5"/>
        <v>2026</v>
      </c>
      <c r="Q16" s="423" t="str">
        <f>$C$16</f>
        <v>JAN</v>
      </c>
      <c r="R16" s="428"/>
      <c r="S16" s="425"/>
      <c r="T16" s="424">
        <f t="shared" si="6"/>
        <v>0</v>
      </c>
      <c r="U16" s="426">
        <f t="shared" si="7"/>
        <v>100</v>
      </c>
      <c r="W16" s="421">
        <f t="shared" si="8"/>
        <v>2027</v>
      </c>
      <c r="X16" s="423" t="str">
        <f>$C$16</f>
        <v>JAN</v>
      </c>
      <c r="Y16" s="428"/>
      <c r="Z16" s="425"/>
      <c r="AA16" s="424">
        <f t="shared" si="9"/>
        <v>0</v>
      </c>
      <c r="AB16" s="426">
        <f t="shared" si="10"/>
        <v>100</v>
      </c>
      <c r="AD16" s="421">
        <f t="shared" si="11"/>
        <v>2028</v>
      </c>
      <c r="AE16" s="423" t="str">
        <f>$C$16</f>
        <v>JAN</v>
      </c>
      <c r="AF16" s="428"/>
      <c r="AG16" s="425"/>
      <c r="AH16" s="424">
        <f t="shared" si="12"/>
        <v>0</v>
      </c>
      <c r="AI16" s="426">
        <f t="shared" si="13"/>
        <v>100</v>
      </c>
    </row>
    <row r="17" spans="2:35" x14ac:dyDescent="0.25">
      <c r="B17" s="421">
        <v>2024</v>
      </c>
      <c r="C17" s="423" t="s">
        <v>501</v>
      </c>
      <c r="D17" s="424"/>
      <c r="E17" s="425"/>
      <c r="F17" s="424">
        <f t="shared" si="0"/>
        <v>0</v>
      </c>
      <c r="G17" s="426">
        <f t="shared" si="1"/>
        <v>100</v>
      </c>
      <c r="I17" s="421">
        <f t="shared" si="2"/>
        <v>2025</v>
      </c>
      <c r="J17" s="423" t="str">
        <f>$C$17</f>
        <v>FEV</v>
      </c>
      <c r="K17" s="424"/>
      <c r="L17" s="425"/>
      <c r="M17" s="424">
        <f t="shared" si="3"/>
        <v>0</v>
      </c>
      <c r="N17" s="426">
        <f t="shared" si="4"/>
        <v>100</v>
      </c>
      <c r="P17" s="421">
        <f t="shared" si="5"/>
        <v>2026</v>
      </c>
      <c r="Q17" s="423" t="str">
        <f>$C$17</f>
        <v>FEV</v>
      </c>
      <c r="R17" s="424"/>
      <c r="S17" s="425"/>
      <c r="T17" s="424">
        <f t="shared" si="6"/>
        <v>0</v>
      </c>
      <c r="U17" s="426">
        <f t="shared" si="7"/>
        <v>100</v>
      </c>
      <c r="W17" s="421">
        <f t="shared" si="8"/>
        <v>2027</v>
      </c>
      <c r="X17" s="423" t="str">
        <f>$C$17</f>
        <v>FEV</v>
      </c>
      <c r="Y17" s="424"/>
      <c r="Z17" s="425"/>
      <c r="AA17" s="424">
        <f t="shared" si="9"/>
        <v>0</v>
      </c>
      <c r="AB17" s="426">
        <f t="shared" si="10"/>
        <v>100</v>
      </c>
      <c r="AD17" s="421">
        <f t="shared" si="11"/>
        <v>2028</v>
      </c>
      <c r="AE17" s="423" t="str">
        <f>$C$17</f>
        <v>FEV</v>
      </c>
      <c r="AF17" s="424"/>
      <c r="AG17" s="425"/>
      <c r="AH17" s="424">
        <f t="shared" si="12"/>
        <v>0</v>
      </c>
      <c r="AI17" s="426">
        <f t="shared" si="13"/>
        <v>100</v>
      </c>
    </row>
    <row r="18" spans="2:35" x14ac:dyDescent="0.25">
      <c r="B18" s="421">
        <v>2024</v>
      </c>
      <c r="C18" s="427" t="s">
        <v>502</v>
      </c>
      <c r="D18" s="424"/>
      <c r="E18" s="425"/>
      <c r="F18" s="424">
        <f t="shared" si="0"/>
        <v>0</v>
      </c>
      <c r="G18" s="426">
        <f t="shared" si="1"/>
        <v>100</v>
      </c>
      <c r="I18" s="421">
        <f t="shared" si="2"/>
        <v>2025</v>
      </c>
      <c r="J18" s="423" t="str">
        <f>$C$18</f>
        <v>MAR</v>
      </c>
      <c r="K18" s="424"/>
      <c r="L18" s="425"/>
      <c r="M18" s="424">
        <f t="shared" si="3"/>
        <v>0</v>
      </c>
      <c r="N18" s="426">
        <f t="shared" si="4"/>
        <v>100</v>
      </c>
      <c r="P18" s="421">
        <f t="shared" si="5"/>
        <v>2026</v>
      </c>
      <c r="Q18" s="423" t="str">
        <f>$C$18</f>
        <v>MAR</v>
      </c>
      <c r="R18" s="424"/>
      <c r="S18" s="425"/>
      <c r="T18" s="424">
        <f t="shared" si="6"/>
        <v>0</v>
      </c>
      <c r="U18" s="426">
        <f t="shared" si="7"/>
        <v>100</v>
      </c>
      <c r="W18" s="421">
        <f t="shared" si="8"/>
        <v>2027</v>
      </c>
      <c r="X18" s="423" t="str">
        <f>$C$18</f>
        <v>MAR</v>
      </c>
      <c r="Y18" s="424"/>
      <c r="Z18" s="425"/>
      <c r="AA18" s="424">
        <f t="shared" si="9"/>
        <v>0</v>
      </c>
      <c r="AB18" s="426">
        <f t="shared" si="10"/>
        <v>100</v>
      </c>
      <c r="AD18" s="421">
        <f t="shared" si="11"/>
        <v>2028</v>
      </c>
      <c r="AE18" s="423" t="str">
        <f>$C$18</f>
        <v>MAR</v>
      </c>
      <c r="AF18" s="424"/>
      <c r="AG18" s="425"/>
      <c r="AH18" s="424">
        <f t="shared" si="12"/>
        <v>0</v>
      </c>
      <c r="AI18" s="426">
        <f t="shared" si="13"/>
        <v>100</v>
      </c>
    </row>
    <row r="19" spans="2:35" x14ac:dyDescent="0.25">
      <c r="B19" s="421">
        <v>2024</v>
      </c>
      <c r="C19" s="423" t="s">
        <v>503</v>
      </c>
      <c r="D19" s="424"/>
      <c r="E19" s="425"/>
      <c r="F19" s="424">
        <f t="shared" si="0"/>
        <v>0</v>
      </c>
      <c r="G19" s="426">
        <f t="shared" si="1"/>
        <v>100</v>
      </c>
      <c r="I19" s="421">
        <f t="shared" si="2"/>
        <v>2025</v>
      </c>
      <c r="J19" s="423" t="str">
        <f>$C$19</f>
        <v>ABR</v>
      </c>
      <c r="K19" s="424"/>
      <c r="L19" s="425"/>
      <c r="M19" s="424">
        <f t="shared" si="3"/>
        <v>0</v>
      </c>
      <c r="N19" s="426">
        <f t="shared" si="4"/>
        <v>100</v>
      </c>
      <c r="P19" s="421">
        <f t="shared" si="5"/>
        <v>2026</v>
      </c>
      <c r="Q19" s="423" t="str">
        <f>$C$19</f>
        <v>ABR</v>
      </c>
      <c r="R19" s="424"/>
      <c r="S19" s="425"/>
      <c r="T19" s="424">
        <f t="shared" si="6"/>
        <v>0</v>
      </c>
      <c r="U19" s="426">
        <f t="shared" si="7"/>
        <v>100</v>
      </c>
      <c r="W19" s="421">
        <f t="shared" si="8"/>
        <v>2027</v>
      </c>
      <c r="X19" s="423" t="str">
        <f>$C$19</f>
        <v>ABR</v>
      </c>
      <c r="Y19" s="424"/>
      <c r="Z19" s="425"/>
      <c r="AA19" s="424">
        <f t="shared" si="9"/>
        <v>0</v>
      </c>
      <c r="AB19" s="426">
        <f t="shared" si="10"/>
        <v>100</v>
      </c>
      <c r="AD19" s="421">
        <f t="shared" si="11"/>
        <v>2028</v>
      </c>
      <c r="AE19" s="423" t="str">
        <f>$C$19</f>
        <v>ABR</v>
      </c>
      <c r="AF19" s="424"/>
      <c r="AG19" s="425"/>
      <c r="AH19" s="424">
        <f t="shared" si="12"/>
        <v>0</v>
      </c>
      <c r="AI19" s="426">
        <f t="shared" si="13"/>
        <v>100</v>
      </c>
    </row>
    <row r="20" spans="2:35" x14ac:dyDescent="0.25">
      <c r="B20" s="421">
        <v>2024</v>
      </c>
      <c r="C20" s="427" t="s">
        <v>504</v>
      </c>
      <c r="D20" s="424"/>
      <c r="E20" s="425"/>
      <c r="F20" s="424">
        <f t="shared" si="0"/>
        <v>0</v>
      </c>
      <c r="G20" s="426">
        <f t="shared" si="1"/>
        <v>100</v>
      </c>
      <c r="I20" s="421">
        <f t="shared" si="2"/>
        <v>2025</v>
      </c>
      <c r="J20" s="423" t="str">
        <f>$C$20</f>
        <v>MAI</v>
      </c>
      <c r="K20" s="424"/>
      <c r="L20" s="425"/>
      <c r="M20" s="424">
        <f t="shared" si="3"/>
        <v>0</v>
      </c>
      <c r="N20" s="426">
        <f t="shared" si="4"/>
        <v>100</v>
      </c>
      <c r="P20" s="421">
        <f t="shared" si="5"/>
        <v>2026</v>
      </c>
      <c r="Q20" s="423" t="str">
        <f>$C$20</f>
        <v>MAI</v>
      </c>
      <c r="R20" s="424"/>
      <c r="S20" s="425"/>
      <c r="T20" s="424">
        <f t="shared" si="6"/>
        <v>0</v>
      </c>
      <c r="U20" s="426">
        <f t="shared" si="7"/>
        <v>100</v>
      </c>
      <c r="W20" s="421">
        <f t="shared" si="8"/>
        <v>2027</v>
      </c>
      <c r="X20" s="423" t="str">
        <f>$C$20</f>
        <v>MAI</v>
      </c>
      <c r="Y20" s="424"/>
      <c r="Z20" s="425"/>
      <c r="AA20" s="424">
        <f t="shared" si="9"/>
        <v>0</v>
      </c>
      <c r="AB20" s="426">
        <f t="shared" si="10"/>
        <v>100</v>
      </c>
      <c r="AD20" s="421">
        <f t="shared" si="11"/>
        <v>2028</v>
      </c>
      <c r="AE20" s="423" t="str">
        <f>$C$20</f>
        <v>MAI</v>
      </c>
      <c r="AF20" s="424"/>
      <c r="AG20" s="425"/>
      <c r="AH20" s="424">
        <f t="shared" si="12"/>
        <v>0</v>
      </c>
      <c r="AI20" s="426">
        <f t="shared" si="13"/>
        <v>100</v>
      </c>
    </row>
    <row r="21" spans="2:35" x14ac:dyDescent="0.25">
      <c r="B21" s="421">
        <v>2024</v>
      </c>
      <c r="C21" s="423" t="s">
        <v>505</v>
      </c>
      <c r="D21" s="424"/>
      <c r="E21" s="425"/>
      <c r="F21" s="424">
        <f t="shared" si="0"/>
        <v>0</v>
      </c>
      <c r="G21" s="426">
        <f t="shared" si="1"/>
        <v>100</v>
      </c>
      <c r="I21" s="421">
        <f t="shared" si="2"/>
        <v>2025</v>
      </c>
      <c r="J21" s="423" t="str">
        <f>$C$21</f>
        <v>JUN</v>
      </c>
      <c r="K21" s="424"/>
      <c r="L21" s="425"/>
      <c r="M21" s="424">
        <f t="shared" si="3"/>
        <v>0</v>
      </c>
      <c r="N21" s="426">
        <f t="shared" si="4"/>
        <v>100</v>
      </c>
      <c r="P21" s="421">
        <f t="shared" si="5"/>
        <v>2026</v>
      </c>
      <c r="Q21" s="423" t="str">
        <f>$C$21</f>
        <v>JUN</v>
      </c>
      <c r="R21" s="424"/>
      <c r="S21" s="425"/>
      <c r="T21" s="424">
        <f t="shared" si="6"/>
        <v>0</v>
      </c>
      <c r="U21" s="426">
        <f t="shared" si="7"/>
        <v>100</v>
      </c>
      <c r="W21" s="421">
        <f t="shared" si="8"/>
        <v>2027</v>
      </c>
      <c r="X21" s="423" t="str">
        <f>$C$21</f>
        <v>JUN</v>
      </c>
      <c r="Y21" s="424"/>
      <c r="Z21" s="425"/>
      <c r="AA21" s="424">
        <f t="shared" si="9"/>
        <v>0</v>
      </c>
      <c r="AB21" s="426">
        <f t="shared" si="10"/>
        <v>100</v>
      </c>
      <c r="AD21" s="421">
        <f t="shared" si="11"/>
        <v>2028</v>
      </c>
      <c r="AE21" s="423" t="str">
        <f>$C$21</f>
        <v>JUN</v>
      </c>
      <c r="AF21" s="424"/>
      <c r="AG21" s="425"/>
      <c r="AH21" s="424">
        <f t="shared" si="12"/>
        <v>0</v>
      </c>
      <c r="AI21" s="426">
        <f t="shared" si="13"/>
        <v>100</v>
      </c>
    </row>
    <row r="22" spans="2:35" x14ac:dyDescent="0.25">
      <c r="B22" s="421">
        <v>2024</v>
      </c>
      <c r="C22" s="427" t="s">
        <v>506</v>
      </c>
      <c r="D22" s="424"/>
      <c r="E22" s="425">
        <v>5</v>
      </c>
      <c r="F22" s="424">
        <f t="shared" si="0"/>
        <v>0</v>
      </c>
      <c r="G22" s="426">
        <f t="shared" si="1"/>
        <v>100</v>
      </c>
      <c r="I22" s="421">
        <f t="shared" si="2"/>
        <v>2025</v>
      </c>
      <c r="J22" s="423" t="str">
        <f>$C$22</f>
        <v>JUL</v>
      </c>
      <c r="K22" s="424"/>
      <c r="L22" s="425">
        <f>$E$22</f>
        <v>5</v>
      </c>
      <c r="M22" s="424">
        <f t="shared" si="3"/>
        <v>0</v>
      </c>
      <c r="N22" s="426">
        <f t="shared" si="4"/>
        <v>100</v>
      </c>
      <c r="P22" s="421">
        <f t="shared" si="5"/>
        <v>2026</v>
      </c>
      <c r="Q22" s="423" t="str">
        <f>$C$22</f>
        <v>JUL</v>
      </c>
      <c r="R22" s="424"/>
      <c r="S22" s="425">
        <f>$E$22</f>
        <v>5</v>
      </c>
      <c r="T22" s="424">
        <f t="shared" si="6"/>
        <v>0</v>
      </c>
      <c r="U22" s="426">
        <f t="shared" si="7"/>
        <v>100</v>
      </c>
      <c r="W22" s="421">
        <f t="shared" si="8"/>
        <v>2027</v>
      </c>
      <c r="X22" s="423" t="str">
        <f>$C$22</f>
        <v>JUL</v>
      </c>
      <c r="Y22" s="424"/>
      <c r="Z22" s="425">
        <f>$E$22</f>
        <v>5</v>
      </c>
      <c r="AA22" s="424">
        <f t="shared" si="9"/>
        <v>0</v>
      </c>
      <c r="AB22" s="426">
        <f t="shared" si="10"/>
        <v>100</v>
      </c>
      <c r="AD22" s="421">
        <f t="shared" si="11"/>
        <v>2028</v>
      </c>
      <c r="AE22" s="423" t="str">
        <f>$C$22</f>
        <v>JUL</v>
      </c>
      <c r="AF22" s="424"/>
      <c r="AG22" s="425">
        <f>$E$22</f>
        <v>5</v>
      </c>
      <c r="AH22" s="424">
        <f t="shared" si="12"/>
        <v>0</v>
      </c>
      <c r="AI22" s="426">
        <f t="shared" si="13"/>
        <v>100</v>
      </c>
    </row>
    <row r="23" spans="2:35" x14ac:dyDescent="0.25">
      <c r="B23" s="764" t="s">
        <v>507</v>
      </c>
      <c r="C23" s="764"/>
      <c r="D23" s="764"/>
      <c r="E23" s="764"/>
      <c r="F23" s="764"/>
      <c r="G23" s="430">
        <f>ROUND(((G22-G9)/G9),4)</f>
        <v>0</v>
      </c>
      <c r="I23" s="764" t="s">
        <v>507</v>
      </c>
      <c r="J23" s="764"/>
      <c r="K23" s="764"/>
      <c r="L23" s="764"/>
      <c r="M23" s="764"/>
      <c r="N23" s="430">
        <f>ROUND(((N22-N9)/N9),4)</f>
        <v>0</v>
      </c>
      <c r="P23" s="764" t="s">
        <v>507</v>
      </c>
      <c r="Q23" s="764"/>
      <c r="R23" s="764"/>
      <c r="S23" s="764"/>
      <c r="T23" s="764"/>
      <c r="U23" s="430">
        <f>ROUND(((U22-U9)/U9),4)</f>
        <v>0</v>
      </c>
      <c r="W23" s="764" t="s">
        <v>507</v>
      </c>
      <c r="X23" s="764"/>
      <c r="Y23" s="764"/>
      <c r="Z23" s="764"/>
      <c r="AA23" s="764"/>
      <c r="AB23" s="430">
        <f>ROUND(((AB22-AB9)/AB9),4)</f>
        <v>0</v>
      </c>
      <c r="AD23" s="764" t="s">
        <v>507</v>
      </c>
      <c r="AE23" s="764"/>
      <c r="AF23" s="764"/>
      <c r="AG23" s="764"/>
      <c r="AH23" s="764"/>
      <c r="AI23" s="430">
        <f>ROUND(((AI22-AI9)/AI9),4)</f>
        <v>0</v>
      </c>
    </row>
  </sheetData>
  <sheetProtection sheet="1" objects="1" scenarios="1"/>
  <mergeCells count="20">
    <mergeCell ref="B23:F23"/>
    <mergeCell ref="I23:M23"/>
    <mergeCell ref="P23:T23"/>
    <mergeCell ref="W23:AA23"/>
    <mergeCell ref="AD23:AH23"/>
    <mergeCell ref="B8:C8"/>
    <mergeCell ref="I8:J8"/>
    <mergeCell ref="P8:Q8"/>
    <mergeCell ref="W8:X8"/>
    <mergeCell ref="AD8:AE8"/>
    <mergeCell ref="C7:G7"/>
    <mergeCell ref="J7:N7"/>
    <mergeCell ref="Q7:U7"/>
    <mergeCell ref="X7:AB7"/>
    <mergeCell ref="AE7:AI7"/>
    <mergeCell ref="B6:G6"/>
    <mergeCell ref="I6:N6"/>
    <mergeCell ref="P6:U6"/>
    <mergeCell ref="W6:AB6"/>
    <mergeCell ref="AD6:AI6"/>
  </mergeCells>
  <pageMargins left="0.51180555555555596" right="0.51180555555555596" top="0.78749999999999998" bottom="0.78749999999999998" header="0.511811023622047" footer="0.511811023622047"/>
  <pageSetup paperSize="9" scale="5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83"/>
  <sheetViews>
    <sheetView showGridLines="0" tabSelected="1" zoomScaleNormal="100" zoomScaleSheetLayoutView="130" zoomScalePageLayoutView="140" workbookViewId="0">
      <selection activeCell="T13" sqref="T13"/>
    </sheetView>
  </sheetViews>
  <sheetFormatPr defaultColWidth="8.7109375" defaultRowHeight="15" x14ac:dyDescent="0.25"/>
  <cols>
    <col min="1" max="1" width="6.28515625" style="64" customWidth="1"/>
    <col min="2" max="2" width="8.7109375" style="98"/>
    <col min="3" max="3" width="4" style="69" customWidth="1"/>
    <col min="4" max="23" width="9.140625" style="69" customWidth="1"/>
    <col min="24" max="24" width="10.7109375" style="69" customWidth="1"/>
    <col min="25" max="256" width="9.140625" style="69" customWidth="1"/>
    <col min="257" max="257" width="4.5703125" style="69" customWidth="1"/>
    <col min="258" max="258" width="11.140625" style="69" customWidth="1"/>
    <col min="259" max="259" width="4" style="69" customWidth="1"/>
    <col min="260" max="512" width="9.140625" style="69" customWidth="1"/>
    <col min="513" max="513" width="4.5703125" style="69" customWidth="1"/>
    <col min="514" max="514" width="11.140625" style="69" customWidth="1"/>
    <col min="515" max="515" width="4" style="69" customWidth="1"/>
    <col min="516" max="768" width="9.140625" style="69" customWidth="1"/>
    <col min="769" max="769" width="4.5703125" style="69" customWidth="1"/>
    <col min="770" max="770" width="11.140625" style="69" customWidth="1"/>
    <col min="771" max="771" width="4" style="69" customWidth="1"/>
    <col min="772" max="1025" width="9.140625" style="69" customWidth="1"/>
  </cols>
  <sheetData>
    <row r="1" spans="1:24" x14ac:dyDescent="0.25">
      <c r="A1" s="99"/>
      <c r="B1" s="100" t="s">
        <v>91</v>
      </c>
    </row>
    <row r="2" spans="1:24" x14ac:dyDescent="0.25">
      <c r="A2" s="101"/>
      <c r="B2" s="102" t="s">
        <v>92</v>
      </c>
    </row>
    <row r="3" spans="1:24" x14ac:dyDescent="0.25">
      <c r="A3" s="101"/>
      <c r="B3" s="69" t="s">
        <v>541</v>
      </c>
    </row>
    <row r="4" spans="1:24" s="17" customFormat="1" ht="15.75" x14ac:dyDescent="0.25">
      <c r="A4" s="610" t="s">
        <v>518</v>
      </c>
      <c r="B4" s="610"/>
      <c r="C4" s="610"/>
      <c r="D4" s="610"/>
      <c r="E4" s="610"/>
      <c r="F4" s="610"/>
      <c r="G4" s="610"/>
      <c r="H4" s="610"/>
      <c r="I4" s="610"/>
      <c r="J4" s="610"/>
      <c r="K4" s="610"/>
      <c r="L4" s="610"/>
      <c r="M4" s="610"/>
      <c r="N4" s="610"/>
      <c r="O4" s="610"/>
      <c r="P4" s="610"/>
      <c r="Q4" s="610"/>
      <c r="R4" s="610"/>
      <c r="S4" s="610"/>
      <c r="T4" s="610"/>
      <c r="U4" s="610"/>
      <c r="V4" s="610"/>
      <c r="W4" s="610"/>
      <c r="X4" s="610"/>
    </row>
    <row r="5" spans="1:24" ht="12" customHeight="1" x14ac:dyDescent="0.25"/>
    <row r="6" spans="1:24" x14ac:dyDescent="0.25">
      <c r="A6" s="103" t="s">
        <v>94</v>
      </c>
      <c r="B6" s="104" t="s">
        <v>95</v>
      </c>
    </row>
    <row r="7" spans="1:24" ht="7.5" customHeight="1" x14ac:dyDescent="0.25"/>
    <row r="8" spans="1:24" x14ac:dyDescent="0.25">
      <c r="B8" s="105"/>
      <c r="C8" s="98" t="s">
        <v>96</v>
      </c>
    </row>
    <row r="10" spans="1:24" x14ac:dyDescent="0.25">
      <c r="A10" s="103" t="s">
        <v>97</v>
      </c>
      <c r="B10" s="98" t="s">
        <v>98</v>
      </c>
    </row>
    <row r="12" spans="1:24" x14ac:dyDescent="0.25">
      <c r="A12" s="103" t="s">
        <v>99</v>
      </c>
      <c r="B12" s="98" t="s">
        <v>100</v>
      </c>
    </row>
    <row r="13" spans="1:24" x14ac:dyDescent="0.25">
      <c r="A13" s="103"/>
      <c r="B13" s="98" t="s">
        <v>101</v>
      </c>
    </row>
    <row r="14" spans="1:24" s="107" customFormat="1" ht="17.25" customHeight="1" x14ac:dyDescent="0.25">
      <c r="A14" s="103"/>
      <c r="B14" s="106" t="s">
        <v>102</v>
      </c>
    </row>
    <row r="15" spans="1:24" ht="7.5" customHeight="1" x14ac:dyDescent="0.25"/>
    <row r="16" spans="1:24" x14ac:dyDescent="0.25">
      <c r="B16" s="108" t="s">
        <v>103</v>
      </c>
      <c r="C16" s="109" t="s">
        <v>104</v>
      </c>
      <c r="D16" s="109"/>
      <c r="E16" s="109"/>
      <c r="F16" s="109"/>
      <c r="G16" s="109"/>
    </row>
    <row r="18" spans="3:4" x14ac:dyDescent="0.25">
      <c r="C18" s="110" t="s">
        <v>105</v>
      </c>
      <c r="D18" s="110" t="s">
        <v>106</v>
      </c>
    </row>
    <row r="19" spans="3:4" x14ac:dyDescent="0.25">
      <c r="D19" s="69" t="s">
        <v>551</v>
      </c>
    </row>
    <row r="20" spans="3:4" x14ac:dyDescent="0.25">
      <c r="D20" s="69" t="s">
        <v>552</v>
      </c>
    </row>
    <row r="21" spans="3:4" x14ac:dyDescent="0.25">
      <c r="C21" s="110"/>
      <c r="D21" s="69" t="s">
        <v>553</v>
      </c>
    </row>
    <row r="22" spans="3:4" x14ac:dyDescent="0.25">
      <c r="D22" s="69" t="s">
        <v>554</v>
      </c>
    </row>
    <row r="23" spans="3:4" x14ac:dyDescent="0.25">
      <c r="D23" s="69" t="s">
        <v>555</v>
      </c>
    </row>
    <row r="24" spans="3:4" x14ac:dyDescent="0.25">
      <c r="D24" s="69" t="s">
        <v>556</v>
      </c>
    </row>
    <row r="25" spans="3:4" x14ac:dyDescent="0.25">
      <c r="D25" s="69" t="s">
        <v>557</v>
      </c>
    </row>
    <row r="26" spans="3:4" x14ac:dyDescent="0.25">
      <c r="D26" s="69" t="s">
        <v>558</v>
      </c>
    </row>
    <row r="27" spans="3:4" x14ac:dyDescent="0.25">
      <c r="D27" s="69" t="s">
        <v>559</v>
      </c>
    </row>
    <row r="28" spans="3:4" x14ac:dyDescent="0.25">
      <c r="D28" s="69" t="s">
        <v>560</v>
      </c>
    </row>
    <row r="29" spans="3:4" x14ac:dyDescent="0.25">
      <c r="D29" s="69" t="s">
        <v>561</v>
      </c>
    </row>
    <row r="30" spans="3:4" x14ac:dyDescent="0.25">
      <c r="D30" s="69" t="s">
        <v>562</v>
      </c>
    </row>
    <row r="31" spans="3:4" x14ac:dyDescent="0.25">
      <c r="D31" s="69" t="s">
        <v>563</v>
      </c>
    </row>
    <row r="32" spans="3:4" x14ac:dyDescent="0.25">
      <c r="D32" s="69" t="s">
        <v>564</v>
      </c>
    </row>
    <row r="33" spans="3:8" x14ac:dyDescent="0.25">
      <c r="D33" s="69" t="s">
        <v>539</v>
      </c>
    </row>
    <row r="34" spans="3:8" x14ac:dyDescent="0.25">
      <c r="D34" s="69" t="s">
        <v>565</v>
      </c>
    </row>
    <row r="35" spans="3:8" x14ac:dyDescent="0.25">
      <c r="D35" s="69" t="s">
        <v>566</v>
      </c>
    </row>
    <row r="36" spans="3:8" x14ac:dyDescent="0.25">
      <c r="D36" s="69" t="s">
        <v>567</v>
      </c>
    </row>
    <row r="37" spans="3:8" x14ac:dyDescent="0.25">
      <c r="D37" s="69" t="s">
        <v>568</v>
      </c>
    </row>
    <row r="38" spans="3:8" x14ac:dyDescent="0.25">
      <c r="D38" s="69" t="s">
        <v>569</v>
      </c>
    </row>
    <row r="39" spans="3:8" x14ac:dyDescent="0.25">
      <c r="D39" s="69" t="s">
        <v>570</v>
      </c>
    </row>
    <row r="40" spans="3:8" x14ac:dyDescent="0.25">
      <c r="D40" s="69" t="s">
        <v>571</v>
      </c>
    </row>
    <row r="41" spans="3:8" x14ac:dyDescent="0.25">
      <c r="D41" s="69" t="s">
        <v>572</v>
      </c>
    </row>
    <row r="42" spans="3:8" x14ac:dyDescent="0.25">
      <c r="D42" s="109" t="s">
        <v>107</v>
      </c>
      <c r="E42" s="109"/>
      <c r="F42" s="109"/>
      <c r="G42" s="109"/>
      <c r="H42" s="109"/>
    </row>
    <row r="44" spans="3:8" x14ac:dyDescent="0.25">
      <c r="C44" s="110" t="s">
        <v>108</v>
      </c>
      <c r="D44" s="110" t="s">
        <v>109</v>
      </c>
    </row>
    <row r="45" spans="3:8" x14ac:dyDescent="0.25">
      <c r="D45" s="69" t="s">
        <v>110</v>
      </c>
    </row>
    <row r="46" spans="3:8" x14ac:dyDescent="0.25">
      <c r="D46" s="69" t="s">
        <v>111</v>
      </c>
    </row>
    <row r="47" spans="3:8" x14ac:dyDescent="0.25">
      <c r="D47" s="109" t="s">
        <v>107</v>
      </c>
      <c r="E47" s="109"/>
      <c r="F47" s="109"/>
      <c r="G47" s="109"/>
      <c r="H47" s="109"/>
    </row>
    <row r="49" spans="3:8" x14ac:dyDescent="0.25">
      <c r="C49" s="110" t="s">
        <v>112</v>
      </c>
      <c r="D49" s="110" t="s">
        <v>113</v>
      </c>
    </row>
    <row r="50" spans="3:8" x14ac:dyDescent="0.25">
      <c r="D50" s="69" t="s">
        <v>114</v>
      </c>
    </row>
    <row r="51" spans="3:8" x14ac:dyDescent="0.25">
      <c r="D51" s="69" t="s">
        <v>115</v>
      </c>
    </row>
    <row r="52" spans="3:8" x14ac:dyDescent="0.25">
      <c r="E52" s="69" t="s">
        <v>573</v>
      </c>
    </row>
    <row r="53" spans="3:8" x14ac:dyDescent="0.25">
      <c r="E53" s="69" t="s">
        <v>574</v>
      </c>
    </row>
    <row r="54" spans="3:8" x14ac:dyDescent="0.25">
      <c r="E54" s="69" t="s">
        <v>575</v>
      </c>
    </row>
    <row r="55" spans="3:8" x14ac:dyDescent="0.25">
      <c r="D55" s="69" t="s">
        <v>116</v>
      </c>
    </row>
    <row r="56" spans="3:8" x14ac:dyDescent="0.25">
      <c r="D56" s="109" t="s">
        <v>107</v>
      </c>
      <c r="E56" s="109"/>
      <c r="F56" s="109"/>
      <c r="G56" s="109"/>
      <c r="H56" s="109"/>
    </row>
    <row r="58" spans="3:8" x14ac:dyDescent="0.25">
      <c r="C58" s="110" t="s">
        <v>117</v>
      </c>
      <c r="D58" s="110" t="s">
        <v>118</v>
      </c>
    </row>
    <row r="59" spans="3:8" x14ac:dyDescent="0.25">
      <c r="D59" s="69" t="s">
        <v>119</v>
      </c>
    </row>
    <row r="60" spans="3:8" x14ac:dyDescent="0.25">
      <c r="D60" s="109" t="s">
        <v>107</v>
      </c>
      <c r="E60" s="109"/>
      <c r="F60" s="109"/>
      <c r="G60" s="109"/>
      <c r="H60" s="109"/>
    </row>
    <row r="62" spans="3:8" x14ac:dyDescent="0.25">
      <c r="C62" s="110" t="s">
        <v>120</v>
      </c>
      <c r="D62" s="110" t="s">
        <v>121</v>
      </c>
    </row>
    <row r="63" spans="3:8" x14ac:dyDescent="0.25">
      <c r="D63" s="69" t="s">
        <v>122</v>
      </c>
    </row>
    <row r="64" spans="3:8" x14ac:dyDescent="0.25">
      <c r="D64" s="69" t="s">
        <v>123</v>
      </c>
    </row>
    <row r="65" spans="1:8" x14ac:dyDescent="0.25">
      <c r="D65" s="69" t="s">
        <v>540</v>
      </c>
    </row>
    <row r="66" spans="1:8" x14ac:dyDescent="0.25">
      <c r="D66" s="109" t="s">
        <v>107</v>
      </c>
      <c r="E66" s="109"/>
      <c r="F66" s="109"/>
      <c r="G66" s="109"/>
      <c r="H66" s="109"/>
    </row>
    <row r="67" spans="1:8" ht="19.5" customHeight="1" x14ac:dyDescent="0.25"/>
    <row r="68" spans="1:8" s="58" customFormat="1" ht="20.25" customHeight="1" x14ac:dyDescent="0.25">
      <c r="A68" s="103" t="s">
        <v>124</v>
      </c>
      <c r="B68" s="61" t="s">
        <v>125</v>
      </c>
    </row>
    <row r="69" spans="1:8" s="58" customFormat="1" ht="13.5" customHeight="1" x14ac:dyDescent="0.25">
      <c r="A69" s="64"/>
      <c r="B69" s="103" t="s">
        <v>126</v>
      </c>
      <c r="C69" s="111" t="s">
        <v>127</v>
      </c>
      <c r="D69" s="111"/>
      <c r="E69" s="111"/>
      <c r="F69" s="111"/>
    </row>
    <row r="70" spans="1:8" ht="24.75" customHeight="1" x14ac:dyDescent="0.25"/>
    <row r="71" spans="1:8" x14ac:dyDescent="0.25">
      <c r="A71" s="103" t="s">
        <v>128</v>
      </c>
      <c r="B71" s="98" t="s">
        <v>129</v>
      </c>
    </row>
    <row r="72" spans="1:8" x14ac:dyDescent="0.25">
      <c r="A72" s="103"/>
      <c r="B72" s="98" t="s">
        <v>101</v>
      </c>
    </row>
    <row r="73" spans="1:8" s="107" customFormat="1" ht="18" customHeight="1" x14ac:dyDescent="0.25">
      <c r="A73" s="64"/>
      <c r="B73" s="103" t="s">
        <v>130</v>
      </c>
      <c r="C73" s="107" t="s">
        <v>131</v>
      </c>
    </row>
    <row r="74" spans="1:8" x14ac:dyDescent="0.25">
      <c r="B74" s="108" t="s">
        <v>132</v>
      </c>
      <c r="C74" s="112" t="s">
        <v>133</v>
      </c>
      <c r="D74" s="112"/>
      <c r="E74" s="112"/>
      <c r="F74" s="112"/>
      <c r="G74" s="112"/>
    </row>
    <row r="75" spans="1:8" ht="24.75" customHeight="1" x14ac:dyDescent="0.25"/>
    <row r="76" spans="1:8" s="107" customFormat="1" ht="15" customHeight="1" x14ac:dyDescent="0.25">
      <c r="A76" s="103" t="s">
        <v>134</v>
      </c>
      <c r="B76" s="61" t="s">
        <v>135</v>
      </c>
    </row>
    <row r="77" spans="1:8" s="107" customFormat="1" ht="15.75" customHeight="1" x14ac:dyDescent="0.25">
      <c r="A77" s="64"/>
      <c r="B77" s="103" t="s">
        <v>136</v>
      </c>
      <c r="C77" s="58" t="s">
        <v>137</v>
      </c>
    </row>
    <row r="78" spans="1:8" x14ac:dyDescent="0.25">
      <c r="B78" s="108" t="s">
        <v>138</v>
      </c>
      <c r="C78" s="113" t="s">
        <v>139</v>
      </c>
      <c r="D78" s="113"/>
      <c r="E78" s="113"/>
      <c r="F78" s="113"/>
    </row>
    <row r="79" spans="1:8" ht="24.75" customHeight="1" x14ac:dyDescent="0.25"/>
    <row r="80" spans="1:8" x14ac:dyDescent="0.25">
      <c r="A80" s="103" t="s">
        <v>140</v>
      </c>
      <c r="B80" s="98" t="s">
        <v>141</v>
      </c>
    </row>
    <row r="81" spans="1:7" s="107" customFormat="1" ht="16.5" customHeight="1" x14ac:dyDescent="0.25">
      <c r="A81" s="64"/>
      <c r="B81" s="103" t="s">
        <v>142</v>
      </c>
      <c r="C81" s="58" t="s">
        <v>143</v>
      </c>
    </row>
    <row r="82" spans="1:7" s="107" customFormat="1" ht="14.25" customHeight="1" x14ac:dyDescent="0.25">
      <c r="A82" s="64"/>
      <c r="B82" s="103" t="s">
        <v>144</v>
      </c>
      <c r="C82" s="114" t="s">
        <v>133</v>
      </c>
      <c r="D82" s="114"/>
      <c r="E82" s="114"/>
      <c r="F82" s="114"/>
      <c r="G82" s="114"/>
    </row>
    <row r="83" spans="1:7" s="107" customFormat="1" ht="23.25" customHeight="1" x14ac:dyDescent="0.25">
      <c r="A83" s="64"/>
      <c r="B83" s="103"/>
      <c r="C83" s="115"/>
      <c r="D83" s="115"/>
      <c r="E83" s="115"/>
      <c r="F83" s="115"/>
      <c r="G83" s="115"/>
    </row>
  </sheetData>
  <sheetProtection algorithmName="SHA-512" hashValue="EyagAW8EckiVmKVEhuNcTly9SlHp/0gsclIZGTLbG17WrD0sfJFGa6KVJPjrM89BcCxFs9cINvzh1vfdTRT+pQ==" saltValue="/c85LFQ4B3JTlJf9ONDzmw==" spinCount="100000" sheet="1" objects="1" scenarios="1"/>
  <mergeCells count="1">
    <mergeCell ref="A4:X4"/>
  </mergeCells>
  <printOptions horizontalCentered="1" verticalCentered="1"/>
  <pageMargins left="0.51180555555555596" right="0.51180555555555596" top="0.78749999999999998" bottom="0.78749999999999998" header="0.511811023622047" footer="0.511811023622047"/>
  <pageSetup paperSize="9" scale="43"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209"/>
  <sheetViews>
    <sheetView showGridLines="0" zoomScaleNormal="100" zoomScaleSheetLayoutView="100" zoomScalePageLayoutView="140" workbookViewId="0">
      <selection activeCell="J9" sqref="J9"/>
    </sheetView>
  </sheetViews>
  <sheetFormatPr defaultColWidth="8.7109375" defaultRowHeight="15" x14ac:dyDescent="0.25"/>
  <cols>
    <col min="1" max="1" width="12.140625" style="1" customWidth="1"/>
    <col min="2" max="2" width="10.42578125" style="1" customWidth="1"/>
    <col min="3" max="3" width="39.28515625" style="1" customWidth="1"/>
    <col min="4" max="4" width="12" style="1" customWidth="1"/>
    <col min="5" max="5" width="15.7109375" style="1" customWidth="1"/>
    <col min="6" max="6" width="14.85546875" style="1" customWidth="1"/>
    <col min="7" max="7" width="14" style="1" customWidth="1"/>
    <col min="8" max="8" width="13.5703125" style="1" customWidth="1"/>
    <col min="9" max="9" width="13.42578125" style="1" customWidth="1"/>
    <col min="10" max="10" width="13.5703125" style="2" customWidth="1"/>
    <col min="11" max="11" width="18.28515625" style="2" customWidth="1"/>
    <col min="12" max="12" width="13.28515625" style="1" customWidth="1"/>
    <col min="13" max="13" width="15.140625" style="1" customWidth="1"/>
    <col min="14" max="14" width="9.7109375" style="1" customWidth="1"/>
    <col min="15" max="15" width="12.7109375" style="1" customWidth="1"/>
    <col min="16" max="19" width="13.5703125" style="1" customWidth="1"/>
    <col min="20" max="20" width="15" style="1" customWidth="1"/>
    <col min="21" max="256" width="9.140625" style="1" customWidth="1"/>
    <col min="257" max="257" width="9.85546875" style="1" customWidth="1"/>
    <col min="258" max="258" width="10.42578125" style="1" customWidth="1"/>
    <col min="259" max="259" width="39.28515625" style="1" customWidth="1"/>
    <col min="260" max="260" width="15" style="1" customWidth="1"/>
    <col min="261" max="261" width="11" style="1" customWidth="1"/>
    <col min="262" max="262" width="11.140625" style="1" customWidth="1"/>
    <col min="263" max="263" width="12.85546875" style="1" customWidth="1"/>
    <col min="264" max="264" width="13.140625" style="1" customWidth="1"/>
    <col min="265" max="268" width="14.140625" style="1" customWidth="1"/>
    <col min="269" max="269" width="14.42578125" style="1" customWidth="1"/>
    <col min="270" max="270" width="9.7109375" style="1" customWidth="1"/>
    <col min="271" max="271" width="12.7109375" style="1" customWidth="1"/>
    <col min="272" max="274" width="13.5703125" style="1" customWidth="1"/>
    <col min="275" max="275" width="12.140625" style="1" customWidth="1"/>
    <col min="276" max="276" width="15" style="1" customWidth="1"/>
    <col min="277" max="512" width="9.140625" style="1" customWidth="1"/>
    <col min="513" max="513" width="9.85546875" style="1" customWidth="1"/>
    <col min="514" max="514" width="10.42578125" style="1" customWidth="1"/>
    <col min="515" max="515" width="39.28515625" style="1" customWidth="1"/>
    <col min="516" max="516" width="15" style="1" customWidth="1"/>
    <col min="517" max="517" width="11" style="1" customWidth="1"/>
    <col min="518" max="518" width="11.140625" style="1" customWidth="1"/>
    <col min="519" max="519" width="12.85546875" style="1" customWidth="1"/>
    <col min="520" max="520" width="13.140625" style="1" customWidth="1"/>
    <col min="521" max="524" width="14.140625" style="1" customWidth="1"/>
    <col min="525" max="525" width="14.42578125" style="1" customWidth="1"/>
    <col min="526" max="526" width="9.7109375" style="1" customWidth="1"/>
    <col min="527" max="527" width="12.7109375" style="1" customWidth="1"/>
    <col min="528" max="530" width="13.5703125" style="1" customWidth="1"/>
    <col min="531" max="531" width="12.140625" style="1" customWidth="1"/>
    <col min="532" max="532" width="15" style="1" customWidth="1"/>
    <col min="533" max="768" width="9.140625" style="1" customWidth="1"/>
    <col min="769" max="769" width="9.85546875" style="1" customWidth="1"/>
    <col min="770" max="770" width="10.42578125" style="1" customWidth="1"/>
    <col min="771" max="771" width="39.28515625" style="1" customWidth="1"/>
    <col min="772" max="772" width="15" style="1" customWidth="1"/>
    <col min="773" max="773" width="11" style="1" customWidth="1"/>
    <col min="774" max="774" width="11.140625" style="1" customWidth="1"/>
    <col min="775" max="775" width="12.85546875" style="1" customWidth="1"/>
    <col min="776" max="776" width="13.140625" style="1" customWidth="1"/>
    <col min="777" max="780" width="14.140625" style="1" customWidth="1"/>
    <col min="781" max="781" width="14.42578125" style="1" customWidth="1"/>
    <col min="782" max="782" width="9.7109375" style="1" customWidth="1"/>
    <col min="783" max="783" width="12.7109375" style="1" customWidth="1"/>
    <col min="784" max="786" width="13.5703125" style="1" customWidth="1"/>
    <col min="787" max="787" width="12.140625" style="1" customWidth="1"/>
    <col min="788" max="788" width="15" style="1" customWidth="1"/>
    <col min="789" max="1024" width="9.140625" style="1" customWidth="1"/>
    <col min="1025" max="1026" width="9.85546875" style="1" customWidth="1"/>
  </cols>
  <sheetData>
    <row r="1" spans="1:22" x14ac:dyDescent="0.25">
      <c r="A1" s="116"/>
      <c r="B1" s="102" t="str">
        <f>INSTRUÇÕES!B1</f>
        <v>Tribunal Regional Federal da 6ª Região</v>
      </c>
      <c r="D1" s="69"/>
      <c r="E1" s="69"/>
      <c r="F1" s="69"/>
      <c r="G1" s="69"/>
      <c r="H1" s="69"/>
      <c r="I1" s="69"/>
      <c r="J1" s="117"/>
      <c r="K1" s="117"/>
      <c r="L1" s="69"/>
      <c r="M1" s="69"/>
      <c r="N1" s="69"/>
    </row>
    <row r="2" spans="1:22" x14ac:dyDescent="0.25">
      <c r="A2" s="116"/>
      <c r="B2" s="102" t="str">
        <f>INSTRUÇÕES!B2</f>
        <v>Seção Judiciária de Minas Gerais</v>
      </c>
      <c r="D2" s="69"/>
      <c r="E2" s="69"/>
      <c r="F2" s="69"/>
      <c r="G2" s="69"/>
      <c r="H2" s="69"/>
      <c r="I2" s="69"/>
      <c r="J2" s="117"/>
      <c r="K2" s="117"/>
      <c r="L2" s="69"/>
      <c r="M2" s="69"/>
      <c r="N2" s="69"/>
    </row>
    <row r="3" spans="1:22" ht="18.75" x14ac:dyDescent="0.25">
      <c r="A3" s="116"/>
      <c r="B3" s="102" t="str">
        <f>INSTRUÇÕES!B3</f>
        <v>Subseção Judiciária de Uberaba</v>
      </c>
      <c r="D3" s="69"/>
      <c r="E3" s="118" t="s">
        <v>519</v>
      </c>
      <c r="F3" s="69"/>
      <c r="G3" s="69"/>
      <c r="H3" s="69"/>
      <c r="I3" s="69"/>
      <c r="J3" s="117"/>
      <c r="K3" s="117"/>
      <c r="L3" s="69"/>
      <c r="M3" s="69"/>
      <c r="N3" s="69"/>
      <c r="S3" s="69"/>
    </row>
    <row r="4" spans="1:22" s="17" customFormat="1" ht="24.75" customHeight="1" x14ac:dyDescent="0.25">
      <c r="A4" s="119" t="str">
        <f>CONCATENATE("Sindicato utilizado - ",E17,". Vigência: ",E19,". Sendo a data base da categoria ",E20,". Com número de registro no MTE ",E18,".")</f>
        <v>Sindicato utilizado - SINTAPPI x SINSERHT. Vigência: 2024/2025. Sendo a data base da categoria 01° de Abril. Com número de registro no MTE MG002103/2024.</v>
      </c>
      <c r="B4" s="119"/>
      <c r="C4" s="120"/>
      <c r="D4" s="1"/>
      <c r="E4" s="119"/>
      <c r="F4" s="121"/>
      <c r="G4" s="121"/>
      <c r="H4" s="121"/>
      <c r="I4" s="121"/>
      <c r="J4" s="121"/>
      <c r="K4" s="121"/>
      <c r="L4" s="121"/>
      <c r="M4" s="121"/>
      <c r="N4" s="121"/>
      <c r="O4" s="121"/>
      <c r="P4" s="121"/>
      <c r="Q4" s="121"/>
      <c r="R4" s="121"/>
      <c r="S4" s="121"/>
      <c r="T4" s="121"/>
    </row>
    <row r="5" spans="1:22" s="17" customFormat="1" ht="66.75" customHeight="1" x14ac:dyDescent="0.25">
      <c r="A5" s="611" t="s">
        <v>145</v>
      </c>
      <c r="B5" s="611" t="s">
        <v>146</v>
      </c>
      <c r="C5" s="611" t="s">
        <v>25</v>
      </c>
      <c r="D5" s="611" t="s">
        <v>147</v>
      </c>
      <c r="E5" s="611" t="s">
        <v>148</v>
      </c>
      <c r="F5" s="611" t="s">
        <v>149</v>
      </c>
      <c r="G5" s="611" t="s">
        <v>150</v>
      </c>
      <c r="H5" s="611" t="s">
        <v>151</v>
      </c>
      <c r="I5" s="611" t="s">
        <v>152</v>
      </c>
      <c r="J5" s="611" t="s">
        <v>153</v>
      </c>
      <c r="K5" s="611" t="s">
        <v>154</v>
      </c>
      <c r="L5" s="611" t="s">
        <v>155</v>
      </c>
      <c r="M5" s="612" t="s">
        <v>156</v>
      </c>
      <c r="N5" s="122" t="s">
        <v>157</v>
      </c>
      <c r="O5" s="122" t="s">
        <v>158</v>
      </c>
      <c r="P5" s="122" t="s">
        <v>159</v>
      </c>
      <c r="Q5" s="122" t="s">
        <v>160</v>
      </c>
      <c r="R5" s="122" t="s">
        <v>514</v>
      </c>
      <c r="S5" s="122" t="s">
        <v>161</v>
      </c>
      <c r="T5" s="611" t="s">
        <v>162</v>
      </c>
      <c r="V5" s="124"/>
    </row>
    <row r="6" spans="1:22" s="17" customFormat="1" ht="30" x14ac:dyDescent="0.25">
      <c r="A6" s="611"/>
      <c r="B6" s="611"/>
      <c r="C6" s="611"/>
      <c r="D6" s="611"/>
      <c r="E6" s="611"/>
      <c r="F6" s="611"/>
      <c r="G6" s="611"/>
      <c r="H6" s="611"/>
      <c r="I6" s="611"/>
      <c r="J6" s="611"/>
      <c r="K6" s="611"/>
      <c r="L6" s="611"/>
      <c r="M6" s="612"/>
      <c r="N6" s="125" t="s">
        <v>163</v>
      </c>
      <c r="O6" s="126">
        <f>B7+B8+B9+B10</f>
        <v>7</v>
      </c>
      <c r="P6" s="126">
        <f>B9</f>
        <v>1</v>
      </c>
      <c r="Q6" s="126">
        <f>B11</f>
        <v>1</v>
      </c>
      <c r="R6" s="126">
        <v>7</v>
      </c>
      <c r="S6" s="126">
        <f>B7+B8+B9+B10</f>
        <v>7</v>
      </c>
      <c r="T6" s="611"/>
      <c r="V6" s="124"/>
    </row>
    <row r="7" spans="1:22" s="17" customFormat="1" ht="31.5" customHeight="1" x14ac:dyDescent="0.25">
      <c r="A7" s="616">
        <v>333903702</v>
      </c>
      <c r="B7" s="126">
        <v>1</v>
      </c>
      <c r="C7" s="127" t="s">
        <v>734</v>
      </c>
      <c r="D7" s="126">
        <v>200</v>
      </c>
      <c r="E7" s="128">
        <v>1526.8</v>
      </c>
      <c r="F7" s="129">
        <f t="shared" ref="F7:F11" si="0">ROUND(((E7/220)*D7),2)</f>
        <v>1388</v>
      </c>
      <c r="G7" s="130">
        <v>0.4</v>
      </c>
      <c r="H7" s="129">
        <f>G7*G30</f>
        <v>564.80000000000007</v>
      </c>
      <c r="I7" s="36">
        <v>0</v>
      </c>
      <c r="J7" s="36">
        <v>0</v>
      </c>
      <c r="K7" s="36"/>
      <c r="L7" s="36">
        <v>0</v>
      </c>
      <c r="M7" s="131">
        <f t="shared" ref="M7:M13" si="1">F7+H7+L7</f>
        <v>1952.8000000000002</v>
      </c>
      <c r="N7" s="129">
        <f>Uniformes!H13</f>
        <v>36.090000000000003</v>
      </c>
      <c r="O7" s="129">
        <f>ROUND((Materiais!K61/$O$6),2)</f>
        <v>808.16</v>
      </c>
      <c r="P7" s="129"/>
      <c r="Q7" s="131"/>
      <c r="R7" s="437">
        <f>EPI!$F$10/$R$6</f>
        <v>4.1714285714285717</v>
      </c>
      <c r="S7" s="129">
        <f>(Equipamentos!G31/7+(Equipamentos!G39/8))</f>
        <v>6.6478571428571431</v>
      </c>
      <c r="T7" s="132">
        <v>2</v>
      </c>
      <c r="V7" s="124"/>
    </row>
    <row r="8" spans="1:22" s="17" customFormat="1" ht="21" customHeight="1" x14ac:dyDescent="0.25">
      <c r="A8" s="617"/>
      <c r="B8" s="126">
        <v>4</v>
      </c>
      <c r="C8" s="127" t="s">
        <v>164</v>
      </c>
      <c r="D8" s="126">
        <v>200</v>
      </c>
      <c r="E8" s="128">
        <v>1526.8</v>
      </c>
      <c r="F8" s="129">
        <f t="shared" si="0"/>
        <v>1388</v>
      </c>
      <c r="G8" s="133">
        <v>0</v>
      </c>
      <c r="H8" s="36">
        <v>0</v>
      </c>
      <c r="I8" s="36">
        <v>0</v>
      </c>
      <c r="J8" s="36">
        <v>0</v>
      </c>
      <c r="K8" s="36"/>
      <c r="L8" s="36">
        <v>0</v>
      </c>
      <c r="M8" s="131">
        <f t="shared" si="1"/>
        <v>1388</v>
      </c>
      <c r="N8" s="129">
        <f>Uniformes!H13</f>
        <v>36.090000000000003</v>
      </c>
      <c r="O8" s="129">
        <f>ROUND((Materiais!K61/$O$6),2)</f>
        <v>808.16</v>
      </c>
      <c r="P8" s="129"/>
      <c r="Q8" s="131"/>
      <c r="R8" s="437">
        <f>EPI!$F$10/$R$6</f>
        <v>4.1714285714285717</v>
      </c>
      <c r="S8" s="129">
        <f>(Equipamentos!G31/7+(Equipamentos!G39/8))</f>
        <v>6.6478571428571431</v>
      </c>
      <c r="T8" s="132">
        <v>2</v>
      </c>
      <c r="V8" s="124"/>
    </row>
    <row r="9" spans="1:22" s="17" customFormat="1" ht="24" customHeight="1" x14ac:dyDescent="0.25">
      <c r="A9" s="617"/>
      <c r="B9" s="126">
        <v>1</v>
      </c>
      <c r="C9" s="127" t="s">
        <v>731</v>
      </c>
      <c r="D9" s="126">
        <v>200</v>
      </c>
      <c r="E9" s="128">
        <v>1526.8</v>
      </c>
      <c r="F9" s="129">
        <f t="shared" si="0"/>
        <v>1388</v>
      </c>
      <c r="G9" s="133">
        <v>0</v>
      </c>
      <c r="H9" s="36">
        <v>0</v>
      </c>
      <c r="I9" s="134">
        <v>0.12</v>
      </c>
      <c r="J9" s="573">
        <v>0.4</v>
      </c>
      <c r="K9" s="128">
        <f>F9</f>
        <v>1388</v>
      </c>
      <c r="L9" s="135">
        <f>ROUND((K9*I9*J9),2)</f>
        <v>66.62</v>
      </c>
      <c r="M9" s="131">
        <f t="shared" si="1"/>
        <v>1454.62</v>
      </c>
      <c r="N9" s="129">
        <f>Uniformes!H13+Uniformes!H20</f>
        <v>40.880000000000003</v>
      </c>
      <c r="O9" s="129">
        <f>ROUND((Materiais!K61/$O$6),2)</f>
        <v>808.16</v>
      </c>
      <c r="P9" s="129">
        <f>Materiais!K77/P6</f>
        <v>488.9133333333333</v>
      </c>
      <c r="Q9" s="131"/>
      <c r="R9" s="437">
        <f>EPI!$F$10/$R$6</f>
        <v>4.1714285714285717</v>
      </c>
      <c r="S9" s="129">
        <f>(Equipamentos!G31/7+(Equipamentos!G39/8))</f>
        <v>6.6478571428571431</v>
      </c>
      <c r="T9" s="132">
        <v>2</v>
      </c>
      <c r="V9" s="124"/>
    </row>
    <row r="10" spans="1:22" s="17" customFormat="1" ht="24" customHeight="1" x14ac:dyDescent="0.25">
      <c r="A10" s="617"/>
      <c r="B10" s="126">
        <v>1</v>
      </c>
      <c r="C10" s="127" t="s">
        <v>732</v>
      </c>
      <c r="D10" s="126">
        <v>200</v>
      </c>
      <c r="E10" s="128">
        <v>1526.8</v>
      </c>
      <c r="F10" s="129">
        <f t="shared" si="0"/>
        <v>1388</v>
      </c>
      <c r="G10" s="133"/>
      <c r="H10" s="36"/>
      <c r="I10" s="134">
        <v>0.12</v>
      </c>
      <c r="J10" s="573">
        <v>0.25</v>
      </c>
      <c r="K10" s="128">
        <f>F10</f>
        <v>1388</v>
      </c>
      <c r="L10" s="135">
        <f>ROUND((K10*I10*J10),2)</f>
        <v>41.64</v>
      </c>
      <c r="M10" s="131">
        <f t="shared" si="1"/>
        <v>1429.64</v>
      </c>
      <c r="N10" s="129">
        <f>Uniformes!H13+Uniformes!H26</f>
        <v>38.24</v>
      </c>
      <c r="O10" s="129">
        <f>ROUND((Materiais!K61/$O$6),2)</f>
        <v>808.16</v>
      </c>
      <c r="P10" s="129"/>
      <c r="Q10" s="131"/>
      <c r="R10" s="437">
        <f>EPI!$F$10/$R$6</f>
        <v>4.1714285714285717</v>
      </c>
      <c r="S10" s="129">
        <f>(Equipamentos!G16+(Equipamentos!G31/7)+(Equipamentos!G39/8))</f>
        <v>13.627857142857142</v>
      </c>
      <c r="T10" s="132">
        <v>2</v>
      </c>
      <c r="V10" s="124"/>
    </row>
    <row r="11" spans="1:22" ht="21" customHeight="1" x14ac:dyDescent="0.25">
      <c r="A11" s="618"/>
      <c r="B11" s="126">
        <v>1</v>
      </c>
      <c r="C11" s="127" t="s">
        <v>733</v>
      </c>
      <c r="D11" s="126">
        <v>200</v>
      </c>
      <c r="E11" s="128">
        <v>2281.4</v>
      </c>
      <c r="F11" s="129">
        <f t="shared" si="0"/>
        <v>2074</v>
      </c>
      <c r="G11" s="133">
        <v>0</v>
      </c>
      <c r="H11" s="36">
        <v>0</v>
      </c>
      <c r="I11" s="134">
        <v>0.12</v>
      </c>
      <c r="J11" s="573">
        <v>0.25</v>
      </c>
      <c r="K11" s="128">
        <f>F11</f>
        <v>2074</v>
      </c>
      <c r="L11" s="135">
        <f>ROUND((K11*I11*J11),2)</f>
        <v>62.22</v>
      </c>
      <c r="M11" s="131">
        <f t="shared" si="1"/>
        <v>2136.2199999999998</v>
      </c>
      <c r="N11" s="129">
        <f>Uniformes!H35</f>
        <v>45.36</v>
      </c>
      <c r="O11" s="136"/>
      <c r="P11" s="129"/>
      <c r="Q11" s="129">
        <f>Materiais!$K$89/$Q$6</f>
        <v>281.52999999999997</v>
      </c>
      <c r="R11" s="437">
        <f>EPI!F13</f>
        <v>4.17</v>
      </c>
      <c r="S11" s="129">
        <f>(Equipamentos!G25+(Equipamentos!G39/8))</f>
        <v>21.694999999999997</v>
      </c>
      <c r="T11" s="132">
        <v>2</v>
      </c>
    </row>
    <row r="12" spans="1:22" ht="21" customHeight="1" x14ac:dyDescent="0.25">
      <c r="A12" s="619">
        <v>333903701</v>
      </c>
      <c r="B12" s="126">
        <v>1</v>
      </c>
      <c r="C12" s="127" t="s">
        <v>542</v>
      </c>
      <c r="D12" s="126">
        <v>200</v>
      </c>
      <c r="E12" s="128">
        <v>2279.1999999999998</v>
      </c>
      <c r="F12" s="129">
        <f>ROUND(((E12/220)*D12),2)</f>
        <v>2072</v>
      </c>
      <c r="G12" s="133"/>
      <c r="H12" s="36"/>
      <c r="I12" s="541"/>
      <c r="J12" s="541"/>
      <c r="K12" s="542"/>
      <c r="L12" s="543"/>
      <c r="M12" s="131">
        <f t="shared" si="1"/>
        <v>2072</v>
      </c>
      <c r="N12" s="129">
        <f>Uniformes!H42</f>
        <v>49.35</v>
      </c>
      <c r="O12" s="136"/>
      <c r="P12" s="129"/>
      <c r="Q12" s="129"/>
      <c r="R12" s="437"/>
      <c r="S12" s="129"/>
      <c r="T12" s="132">
        <v>1</v>
      </c>
    </row>
    <row r="13" spans="1:22" ht="24.75" customHeight="1" x14ac:dyDescent="0.25">
      <c r="A13" s="620"/>
      <c r="B13" s="126">
        <v>13</v>
      </c>
      <c r="C13" s="127" t="s">
        <v>165</v>
      </c>
      <c r="D13" s="126">
        <v>200</v>
      </c>
      <c r="E13" s="128">
        <v>1914</v>
      </c>
      <c r="F13" s="129">
        <f>ROUND(((E13/220)*D13),2)</f>
        <v>1740</v>
      </c>
      <c r="G13" s="133">
        <v>0</v>
      </c>
      <c r="H13" s="36">
        <v>0</v>
      </c>
      <c r="I13" s="36">
        <v>0</v>
      </c>
      <c r="J13" s="36">
        <v>0</v>
      </c>
      <c r="K13" s="36"/>
      <c r="L13" s="36">
        <v>0</v>
      </c>
      <c r="M13" s="131">
        <f t="shared" si="1"/>
        <v>1740</v>
      </c>
      <c r="N13" s="129">
        <f>Uniformes!H42</f>
        <v>49.35</v>
      </c>
      <c r="O13" s="129"/>
      <c r="P13" s="129"/>
      <c r="Q13" s="131"/>
      <c r="R13" s="131"/>
      <c r="S13" s="129"/>
      <c r="T13" s="132">
        <v>1</v>
      </c>
    </row>
    <row r="14" spans="1:22" ht="34.5" customHeight="1" x14ac:dyDescent="0.25">
      <c r="A14" s="137" t="s">
        <v>166</v>
      </c>
      <c r="B14" s="2"/>
      <c r="C14" s="2"/>
      <c r="D14" s="137"/>
      <c r="F14" s="137"/>
      <c r="G14" s="137" t="s">
        <v>167</v>
      </c>
      <c r="H14" s="137"/>
      <c r="I14" s="137"/>
      <c r="J14" s="137"/>
      <c r="K14" s="119"/>
      <c r="L14" s="138" t="s">
        <v>168</v>
      </c>
      <c r="M14" s="139">
        <f>SUM(M7:M13)</f>
        <v>12173.28</v>
      </c>
      <c r="N14" s="119"/>
      <c r="O14" s="119"/>
      <c r="P14" s="119"/>
      <c r="Q14" s="119"/>
      <c r="R14" s="119"/>
      <c r="S14" s="119"/>
      <c r="T14" s="119"/>
    </row>
    <row r="15" spans="1:22" ht="24.75" customHeight="1" x14ac:dyDescent="0.25">
      <c r="A15" s="613" t="s">
        <v>169</v>
      </c>
      <c r="B15" s="613"/>
      <c r="C15" s="613"/>
      <c r="D15" s="613"/>
      <c r="E15" s="613"/>
      <c r="F15" s="613"/>
      <c r="G15" s="613"/>
      <c r="N15" s="119"/>
      <c r="O15" s="119"/>
      <c r="P15" s="119"/>
      <c r="Q15" s="119"/>
      <c r="R15" s="119"/>
      <c r="S15" s="119"/>
      <c r="T15" s="119"/>
    </row>
    <row r="16" spans="1:22" ht="24" customHeight="1" x14ac:dyDescent="0.25">
      <c r="A16" s="141">
        <v>1</v>
      </c>
      <c r="B16" s="614" t="s">
        <v>170</v>
      </c>
      <c r="C16" s="614"/>
      <c r="D16" s="614"/>
      <c r="E16" s="615" t="s">
        <v>171</v>
      </c>
      <c r="F16" s="615"/>
      <c r="G16" s="615"/>
      <c r="H16" s="14" t="s">
        <v>172</v>
      </c>
      <c r="N16" s="119"/>
      <c r="O16" s="119"/>
      <c r="P16" s="119"/>
      <c r="Q16" s="119"/>
      <c r="R16" s="119"/>
      <c r="S16" s="119"/>
      <c r="T16" s="58"/>
    </row>
    <row r="17" spans="1:20" ht="24" customHeight="1" x14ac:dyDescent="0.25">
      <c r="A17" s="141">
        <v>2</v>
      </c>
      <c r="B17" s="614" t="s">
        <v>173</v>
      </c>
      <c r="C17" s="614"/>
      <c r="D17" s="614"/>
      <c r="E17" s="615" t="s">
        <v>576</v>
      </c>
      <c r="F17" s="615"/>
      <c r="G17" s="615"/>
      <c r="H17" s="14" t="s">
        <v>174</v>
      </c>
      <c r="N17" s="119"/>
      <c r="O17" s="119"/>
      <c r="P17" s="119"/>
      <c r="Q17" s="119"/>
      <c r="R17" s="119"/>
      <c r="S17" s="119"/>
      <c r="T17" s="58"/>
    </row>
    <row r="18" spans="1:20" ht="24" customHeight="1" x14ac:dyDescent="0.25">
      <c r="A18" s="141">
        <v>3</v>
      </c>
      <c r="B18" s="614" t="s">
        <v>175</v>
      </c>
      <c r="C18" s="614"/>
      <c r="D18" s="614"/>
      <c r="E18" s="615" t="s">
        <v>577</v>
      </c>
      <c r="F18" s="615"/>
      <c r="G18" s="615"/>
      <c r="H18" s="14" t="s">
        <v>176</v>
      </c>
      <c r="N18" s="119"/>
      <c r="O18" s="119"/>
      <c r="P18" s="119"/>
      <c r="Q18" s="119"/>
      <c r="R18" s="119"/>
      <c r="S18" s="119"/>
      <c r="T18" s="58"/>
    </row>
    <row r="19" spans="1:20" ht="24" customHeight="1" x14ac:dyDescent="0.25">
      <c r="A19" s="141">
        <v>4</v>
      </c>
      <c r="B19" s="614" t="s">
        <v>177</v>
      </c>
      <c r="C19" s="614"/>
      <c r="D19" s="614"/>
      <c r="E19" s="615" t="s">
        <v>578</v>
      </c>
      <c r="F19" s="615"/>
      <c r="G19" s="615"/>
      <c r="H19" s="14" t="s">
        <v>178</v>
      </c>
      <c r="N19" s="119"/>
      <c r="O19" s="119"/>
      <c r="P19" s="119"/>
      <c r="Q19" s="119"/>
      <c r="R19" s="119"/>
      <c r="S19" s="119"/>
      <c r="T19" s="58"/>
    </row>
    <row r="20" spans="1:20" ht="24" customHeight="1" x14ac:dyDescent="0.25">
      <c r="A20" s="141">
        <v>5</v>
      </c>
      <c r="B20" s="614" t="s">
        <v>179</v>
      </c>
      <c r="C20" s="614"/>
      <c r="D20" s="614"/>
      <c r="E20" s="615" t="s">
        <v>579</v>
      </c>
      <c r="F20" s="615"/>
      <c r="G20" s="615"/>
      <c r="H20" s="14" t="s">
        <v>180</v>
      </c>
      <c r="N20" s="119"/>
      <c r="O20" s="119"/>
      <c r="P20" s="119"/>
      <c r="Q20" s="119"/>
      <c r="R20" s="119"/>
      <c r="S20" s="119"/>
      <c r="T20" s="58"/>
    </row>
    <row r="21" spans="1:20" s="1" customFormat="1" ht="12.75" customHeight="1" x14ac:dyDescent="0.25">
      <c r="A21" s="142"/>
      <c r="H21" s="14"/>
    </row>
    <row r="22" spans="1:20" s="58" customFormat="1" ht="24.75" customHeight="1" x14ac:dyDescent="0.25">
      <c r="A22" s="613" t="s">
        <v>181</v>
      </c>
      <c r="B22" s="613"/>
      <c r="C22" s="613"/>
      <c r="D22" s="613"/>
      <c r="E22" s="613"/>
      <c r="F22" s="613"/>
      <c r="G22" s="613"/>
      <c r="H22" s="14"/>
      <c r="I22" s="119"/>
      <c r="J22" s="119"/>
      <c r="K22" s="119"/>
      <c r="L22" s="119"/>
      <c r="M22" s="119"/>
      <c r="N22" s="119"/>
      <c r="O22" s="119"/>
      <c r="P22" s="119"/>
      <c r="Q22" s="119"/>
      <c r="R22" s="119"/>
      <c r="S22" s="119"/>
    </row>
    <row r="23" spans="1:20" s="1" customFormat="1" ht="24" customHeight="1" x14ac:dyDescent="0.25">
      <c r="A23" s="141" t="s">
        <v>182</v>
      </c>
      <c r="B23" s="614" t="s">
        <v>183</v>
      </c>
      <c r="C23" s="614"/>
      <c r="D23" s="614"/>
      <c r="E23" s="614"/>
      <c r="F23" s="614"/>
      <c r="G23" s="130">
        <f>Encargos!C57</f>
        <v>0.76400000000000001</v>
      </c>
      <c r="H23" s="14"/>
    </row>
    <row r="24" spans="1:20" s="1" customFormat="1" ht="12.75" customHeight="1" x14ac:dyDescent="0.25">
      <c r="A24" s="142"/>
      <c r="G24" s="2"/>
      <c r="H24" s="14"/>
    </row>
    <row r="25" spans="1:20" s="1" customFormat="1" ht="24.75" customHeight="1" x14ac:dyDescent="0.25">
      <c r="A25" s="96">
        <v>1</v>
      </c>
      <c r="B25" s="614" t="s">
        <v>184</v>
      </c>
      <c r="C25" s="614"/>
      <c r="D25" s="614"/>
      <c r="E25" s="614"/>
      <c r="F25" s="614"/>
      <c r="G25" s="143">
        <f>G26*G27</f>
        <v>0.06</v>
      </c>
      <c r="H25" s="14"/>
    </row>
    <row r="26" spans="1:20" s="1" customFormat="1" ht="24.75" customHeight="1" x14ac:dyDescent="0.25">
      <c r="A26" s="96">
        <v>2</v>
      </c>
      <c r="B26" s="614" t="s">
        <v>185</v>
      </c>
      <c r="C26" s="614"/>
      <c r="D26" s="614"/>
      <c r="E26" s="614"/>
      <c r="F26" s="614"/>
      <c r="G26" s="134">
        <v>0.03</v>
      </c>
      <c r="H26" s="14" t="s">
        <v>186</v>
      </c>
    </row>
    <row r="27" spans="1:20" s="1" customFormat="1" ht="24.75" customHeight="1" x14ac:dyDescent="0.25">
      <c r="A27" s="96">
        <v>3</v>
      </c>
      <c r="B27" s="614" t="s">
        <v>187</v>
      </c>
      <c r="C27" s="614"/>
      <c r="D27" s="614"/>
      <c r="E27" s="614"/>
      <c r="F27" s="614"/>
      <c r="G27" s="144">
        <v>2</v>
      </c>
      <c r="H27" s="14" t="s">
        <v>188</v>
      </c>
    </row>
    <row r="28" spans="1:20" s="1" customFormat="1" ht="12.75" customHeight="1" x14ac:dyDescent="0.25">
      <c r="A28" s="142"/>
      <c r="B28" s="119"/>
      <c r="C28" s="119"/>
      <c r="D28" s="119"/>
      <c r="E28" s="119"/>
      <c r="F28" s="119"/>
      <c r="H28" s="14"/>
    </row>
    <row r="29" spans="1:20" s="1" customFormat="1" ht="24.75" customHeight="1" x14ac:dyDescent="0.25">
      <c r="A29" s="613" t="s">
        <v>189</v>
      </c>
      <c r="B29" s="613"/>
      <c r="C29" s="613"/>
      <c r="D29" s="613"/>
      <c r="E29" s="613"/>
      <c r="F29" s="613"/>
      <c r="G29" s="613"/>
      <c r="H29" s="14"/>
    </row>
    <row r="30" spans="1:20" s="1" customFormat="1" ht="24.75" customHeight="1" x14ac:dyDescent="0.25">
      <c r="A30" s="96">
        <v>1</v>
      </c>
      <c r="B30" s="614" t="s">
        <v>527</v>
      </c>
      <c r="C30" s="614"/>
      <c r="D30" s="614"/>
      <c r="E30" s="614"/>
      <c r="F30" s="614"/>
      <c r="G30" s="128">
        <v>1412</v>
      </c>
      <c r="H30" s="14" t="s">
        <v>190</v>
      </c>
    </row>
    <row r="31" spans="1:20" s="1" customFormat="1" ht="12.75" customHeight="1" x14ac:dyDescent="0.25">
      <c r="A31" s="145"/>
      <c r="B31" s="146"/>
      <c r="C31" s="146"/>
      <c r="D31" s="146"/>
      <c r="E31" s="146"/>
      <c r="F31" s="146"/>
      <c r="G31" s="147"/>
      <c r="H31" s="14"/>
    </row>
    <row r="32" spans="1:20" s="58" customFormat="1" ht="24.75" customHeight="1" x14ac:dyDescent="0.25">
      <c r="A32" s="613" t="s">
        <v>191</v>
      </c>
      <c r="B32" s="613"/>
      <c r="C32" s="613"/>
      <c r="D32" s="613"/>
      <c r="E32" s="613"/>
      <c r="F32" s="613"/>
      <c r="G32" s="613"/>
      <c r="H32" s="14"/>
      <c r="I32" s="1"/>
      <c r="J32" s="1"/>
      <c r="K32" s="119"/>
      <c r="L32" s="119"/>
      <c r="M32" s="119"/>
      <c r="N32" s="119"/>
      <c r="O32" s="119"/>
      <c r="P32" s="119"/>
      <c r="Q32" s="119"/>
      <c r="R32" s="119"/>
      <c r="S32" s="119"/>
    </row>
    <row r="33" spans="1:19" s="1" customFormat="1" ht="26.25" customHeight="1" x14ac:dyDescent="0.25">
      <c r="A33" s="141">
        <v>1</v>
      </c>
      <c r="B33" s="614" t="s">
        <v>192</v>
      </c>
      <c r="C33" s="614"/>
      <c r="D33" s="614"/>
      <c r="E33" s="614"/>
      <c r="F33" s="614"/>
      <c r="G33" s="148">
        <v>7.2</v>
      </c>
      <c r="H33" s="14" t="s">
        <v>193</v>
      </c>
    </row>
    <row r="34" spans="1:19" s="1" customFormat="1" ht="26.25" customHeight="1" x14ac:dyDescent="0.25">
      <c r="A34" s="149">
        <v>2</v>
      </c>
      <c r="B34" s="614" t="s">
        <v>194</v>
      </c>
      <c r="C34" s="614"/>
      <c r="D34" s="614"/>
      <c r="E34" s="614"/>
      <c r="F34" s="614"/>
      <c r="G34" s="144">
        <v>0</v>
      </c>
      <c r="H34" s="14" t="s">
        <v>193</v>
      </c>
    </row>
    <row r="35" spans="1:19" s="1" customFormat="1" ht="26.25" customHeight="1" x14ac:dyDescent="0.25">
      <c r="A35" s="621">
        <v>3</v>
      </c>
      <c r="B35" s="622" t="s">
        <v>195</v>
      </c>
      <c r="C35" s="622"/>
      <c r="D35" s="614" t="s">
        <v>196</v>
      </c>
      <c r="E35" s="614"/>
      <c r="F35" s="614"/>
      <c r="G35" s="144">
        <v>4.75</v>
      </c>
      <c r="H35" s="14" t="s">
        <v>197</v>
      </c>
      <c r="I35" s="119"/>
      <c r="O35" s="60"/>
    </row>
    <row r="36" spans="1:19" s="1" customFormat="1" ht="26.25" customHeight="1" x14ac:dyDescent="0.25">
      <c r="A36" s="621"/>
      <c r="B36" s="622"/>
      <c r="C36" s="622"/>
      <c r="D36" s="614" t="s">
        <v>198</v>
      </c>
      <c r="E36" s="614"/>
      <c r="F36" s="614"/>
      <c r="G36" s="150">
        <v>2</v>
      </c>
      <c r="H36" s="14" t="s">
        <v>199</v>
      </c>
      <c r="I36" s="119"/>
      <c r="O36" s="60"/>
    </row>
    <row r="37" spans="1:19" s="1" customFormat="1" ht="26.25" customHeight="1" x14ac:dyDescent="0.25">
      <c r="A37" s="621"/>
      <c r="B37" s="622"/>
      <c r="C37" s="622"/>
      <c r="D37" s="614" t="s">
        <v>200</v>
      </c>
      <c r="E37" s="614"/>
      <c r="F37" s="614"/>
      <c r="G37" s="151">
        <v>22</v>
      </c>
      <c r="H37" s="14" t="s">
        <v>201</v>
      </c>
      <c r="I37" s="119"/>
      <c r="O37" s="60"/>
    </row>
    <row r="38" spans="1:19" ht="26.25" customHeight="1" x14ac:dyDescent="0.25">
      <c r="A38" s="621"/>
      <c r="B38" s="622"/>
      <c r="C38" s="622"/>
      <c r="D38" s="623" t="s">
        <v>202</v>
      </c>
      <c r="E38" s="623"/>
      <c r="F38" s="623"/>
      <c r="G38" s="152">
        <v>0.06</v>
      </c>
      <c r="H38" s="14" t="s">
        <v>203</v>
      </c>
      <c r="O38" s="60"/>
    </row>
    <row r="39" spans="1:19" s="1" customFormat="1" ht="26.25" customHeight="1" x14ac:dyDescent="0.25">
      <c r="A39" s="621">
        <v>4</v>
      </c>
      <c r="B39" s="622" t="s">
        <v>204</v>
      </c>
      <c r="C39" s="622"/>
      <c r="D39" s="614" t="s">
        <v>205</v>
      </c>
      <c r="E39" s="614"/>
      <c r="F39" s="614"/>
      <c r="G39" s="144">
        <v>27</v>
      </c>
      <c r="H39" s="14" t="s">
        <v>206</v>
      </c>
      <c r="I39" s="119"/>
    </row>
    <row r="40" spans="1:19" ht="26.25" customHeight="1" x14ac:dyDescent="0.25">
      <c r="A40" s="621"/>
      <c r="B40" s="622"/>
      <c r="C40" s="622"/>
      <c r="D40" s="614" t="s">
        <v>200</v>
      </c>
      <c r="E40" s="614"/>
      <c r="F40" s="614"/>
      <c r="G40" s="151">
        <f>G37</f>
        <v>22</v>
      </c>
      <c r="H40" s="14" t="s">
        <v>201</v>
      </c>
      <c r="I40" s="153"/>
      <c r="J40" s="153"/>
      <c r="K40" s="119"/>
      <c r="O40" s="60"/>
      <c r="Q40" s="60"/>
      <c r="R40" s="60"/>
    </row>
    <row r="41" spans="1:19" s="1" customFormat="1" ht="26.25" customHeight="1" x14ac:dyDescent="0.25">
      <c r="A41" s="621"/>
      <c r="B41" s="622"/>
      <c r="C41" s="622"/>
      <c r="D41" s="623" t="s">
        <v>202</v>
      </c>
      <c r="E41" s="623"/>
      <c r="F41" s="623"/>
      <c r="G41" s="134">
        <v>0.2</v>
      </c>
      <c r="H41" s="14" t="s">
        <v>203</v>
      </c>
      <c r="O41" s="60"/>
    </row>
    <row r="42" spans="1:19" s="1" customFormat="1" ht="26.25" customHeight="1" x14ac:dyDescent="0.25">
      <c r="A42" s="141">
        <v>5</v>
      </c>
      <c r="B42" s="624" t="s">
        <v>207</v>
      </c>
      <c r="C42" s="624"/>
      <c r="D42" s="624"/>
      <c r="E42" s="624"/>
      <c r="F42" s="624"/>
      <c r="G42" s="144">
        <v>0</v>
      </c>
      <c r="H42" s="14" t="s">
        <v>208</v>
      </c>
      <c r="O42" s="60"/>
    </row>
    <row r="43" spans="1:19" s="1" customFormat="1" ht="26.25" customHeight="1" x14ac:dyDescent="0.25">
      <c r="A43" s="141">
        <v>6</v>
      </c>
      <c r="B43" s="624" t="s">
        <v>207</v>
      </c>
      <c r="C43" s="624"/>
      <c r="D43" s="624"/>
      <c r="E43" s="624"/>
      <c r="F43" s="624"/>
      <c r="G43" s="144">
        <v>0</v>
      </c>
      <c r="H43" s="14" t="s">
        <v>208</v>
      </c>
    </row>
    <row r="44" spans="1:19" s="1" customFormat="1" ht="12.75" customHeight="1" x14ac:dyDescent="0.25">
      <c r="H44" s="14"/>
    </row>
    <row r="45" spans="1:19" s="58" customFormat="1" ht="24.75" customHeight="1" x14ac:dyDescent="0.25">
      <c r="A45" s="613" t="s">
        <v>209</v>
      </c>
      <c r="B45" s="613"/>
      <c r="C45" s="613"/>
      <c r="D45" s="613"/>
      <c r="E45" s="613"/>
      <c r="F45" s="613"/>
      <c r="G45" s="613"/>
      <c r="H45" s="14"/>
      <c r="I45" s="119"/>
      <c r="J45" s="119"/>
      <c r="K45" s="119"/>
      <c r="L45" s="119"/>
      <c r="M45" s="119"/>
      <c r="N45" s="119"/>
      <c r="O45" s="119"/>
      <c r="P45" s="119"/>
      <c r="Q45" s="119"/>
      <c r="R45" s="119"/>
      <c r="S45" s="119"/>
    </row>
    <row r="46" spans="1:19" s="1" customFormat="1" ht="24.75" customHeight="1" x14ac:dyDescent="0.25">
      <c r="A46" s="141">
        <v>1</v>
      </c>
      <c r="B46" s="614" t="s">
        <v>210</v>
      </c>
      <c r="C46" s="614"/>
      <c r="D46" s="614"/>
      <c r="E46" s="614"/>
      <c r="F46" s="614"/>
      <c r="G46" s="134">
        <v>0.03</v>
      </c>
      <c r="H46" s="14" t="s">
        <v>211</v>
      </c>
    </row>
    <row r="47" spans="1:19" s="1" customFormat="1" ht="24.75" customHeight="1" x14ac:dyDescent="0.25">
      <c r="A47" s="141">
        <v>2</v>
      </c>
      <c r="B47" s="614" t="s">
        <v>212</v>
      </c>
      <c r="C47" s="614"/>
      <c r="D47" s="614"/>
      <c r="E47" s="614"/>
      <c r="F47" s="614"/>
      <c r="G47" s="134">
        <v>6.7900000000000002E-2</v>
      </c>
      <c r="H47" s="14" t="s">
        <v>211</v>
      </c>
    </row>
    <row r="48" spans="1:19" s="1" customFormat="1" ht="12.75" customHeight="1" x14ac:dyDescent="0.25">
      <c r="H48" s="14"/>
    </row>
    <row r="49" spans="1:19" s="58" customFormat="1" ht="24.75" customHeight="1" x14ac:dyDescent="0.25">
      <c r="A49" s="613" t="s">
        <v>213</v>
      </c>
      <c r="B49" s="613"/>
      <c r="C49" s="613"/>
      <c r="D49" s="613"/>
      <c r="E49" s="613"/>
      <c r="F49" s="613"/>
      <c r="G49" s="613"/>
      <c r="H49" s="14"/>
      <c r="I49" s="119"/>
      <c r="J49" s="119"/>
      <c r="K49" s="119"/>
      <c r="L49" s="119"/>
      <c r="M49" s="119"/>
      <c r="N49" s="119"/>
      <c r="O49" s="119"/>
      <c r="P49" s="119"/>
      <c r="Q49" s="119"/>
      <c r="R49" s="119"/>
      <c r="S49" s="119"/>
    </row>
    <row r="50" spans="1:19" s="58" customFormat="1" ht="24.75" customHeight="1" x14ac:dyDescent="0.25">
      <c r="A50" s="612" t="s">
        <v>214</v>
      </c>
      <c r="B50" s="612" t="str">
        <f>IF(F53="LUCRO REAL","INFORMAR ALÍQUOTAS MÉDIAS DE RECOLHIMENTO DOS ÚLTIMOS 12 (DOZE) MESES.",IF(F53="LUCRO PRESUMIDO","ALÍQUOTAS FIXAS - PIS: 0,65%; COFINS: 3,00%.",IF(F53="SIMPLES NACIONAL","NECESSÁRIO COMUNICAR A EXCLUSÃO DO SIMPLES NACIONAL - REGIME DE CONTRATAÇÃO INCOMPATÍVEL COM A LEI 123/2003. DEFINIR OUTRO REGIME TRIBUTÁRIO PARA O PRESENTE PROCESSO, OU APRESENTAR AS JUSTIFICATIVAS LEGAIS.","INFORMAR ALÍQUOTA E APRESENTAR AS JUSTIFICATIVAS LEGAIS.")))</f>
        <v>INFORMAR ALÍQUOTAS MÉDIAS DE RECOLHIMENTO DOS ÚLTIMOS 12 (DOZE) MESES.</v>
      </c>
      <c r="C50" s="612"/>
      <c r="D50" s="612"/>
      <c r="E50" s="612"/>
      <c r="F50" s="612"/>
      <c r="G50" s="612"/>
      <c r="H50" s="14"/>
      <c r="I50" s="119"/>
      <c r="J50" s="119"/>
      <c r="K50" s="119"/>
      <c r="L50" s="119"/>
      <c r="M50" s="119"/>
      <c r="N50" s="119"/>
      <c r="O50" s="119"/>
      <c r="P50" s="119"/>
      <c r="Q50" s="119"/>
      <c r="R50" s="119"/>
      <c r="S50" s="119"/>
    </row>
    <row r="51" spans="1:19" s="58" customFormat="1" ht="24.75" customHeight="1" x14ac:dyDescent="0.25">
      <c r="A51" s="612"/>
      <c r="B51" s="612"/>
      <c r="C51" s="612"/>
      <c r="D51" s="612"/>
      <c r="E51" s="612"/>
      <c r="F51" s="612"/>
      <c r="G51" s="612"/>
      <c r="H51" s="14"/>
      <c r="I51" s="119"/>
      <c r="J51" s="119"/>
      <c r="K51" s="119"/>
      <c r="L51" s="119"/>
      <c r="M51" s="119"/>
      <c r="N51" s="119"/>
      <c r="O51" s="119"/>
      <c r="P51" s="119"/>
      <c r="Q51" s="119"/>
      <c r="R51" s="119"/>
      <c r="S51" s="119"/>
    </row>
    <row r="52" spans="1:19" s="58" customFormat="1" ht="24.75" customHeight="1" x14ac:dyDescent="0.25">
      <c r="A52" s="612"/>
      <c r="B52" s="612"/>
      <c r="C52" s="612"/>
      <c r="D52" s="612"/>
      <c r="E52" s="612"/>
      <c r="F52" s="612"/>
      <c r="G52" s="612"/>
      <c r="H52" s="14"/>
      <c r="I52" s="119"/>
      <c r="J52" s="119"/>
      <c r="K52" s="119"/>
      <c r="L52" s="119"/>
      <c r="M52" s="119"/>
      <c r="N52" s="119"/>
      <c r="O52" s="119"/>
      <c r="P52" s="119"/>
      <c r="Q52" s="119"/>
      <c r="R52" s="119"/>
      <c r="S52" s="119"/>
    </row>
    <row r="53" spans="1:19" s="1" customFormat="1" ht="24" customHeight="1" x14ac:dyDescent="0.25">
      <c r="A53" s="141">
        <v>1</v>
      </c>
      <c r="B53" s="614" t="s">
        <v>215</v>
      </c>
      <c r="C53" s="614"/>
      <c r="D53" s="614"/>
      <c r="E53" s="614"/>
      <c r="F53" s="615" t="s">
        <v>216</v>
      </c>
      <c r="G53" s="615"/>
      <c r="H53" s="14" t="s">
        <v>217</v>
      </c>
      <c r="S53" s="154"/>
    </row>
    <row r="54" spans="1:19" s="1" customFormat="1" ht="24" customHeight="1" x14ac:dyDescent="0.25">
      <c r="A54" s="141">
        <v>2</v>
      </c>
      <c r="B54" s="614" t="s">
        <v>218</v>
      </c>
      <c r="C54" s="614"/>
      <c r="D54" s="614"/>
      <c r="E54" s="614"/>
      <c r="F54" s="614"/>
      <c r="G54" s="134">
        <v>7.5999999999999998E-2</v>
      </c>
      <c r="H54" s="14" t="s">
        <v>219</v>
      </c>
    </row>
    <row r="55" spans="1:19" s="1" customFormat="1" ht="24" customHeight="1" x14ac:dyDescent="0.25">
      <c r="A55" s="141">
        <v>3</v>
      </c>
      <c r="B55" s="614" t="s">
        <v>220</v>
      </c>
      <c r="C55" s="614"/>
      <c r="D55" s="614"/>
      <c r="E55" s="614"/>
      <c r="F55" s="614"/>
      <c r="G55" s="134">
        <v>1.6500000000000001E-2</v>
      </c>
      <c r="H55" s="14" t="s">
        <v>219</v>
      </c>
    </row>
    <row r="56" spans="1:19" s="1" customFormat="1" ht="24" customHeight="1" x14ac:dyDescent="0.25">
      <c r="A56" s="141">
        <v>4</v>
      </c>
      <c r="B56" s="614" t="s">
        <v>221</v>
      </c>
      <c r="C56" s="614"/>
      <c r="D56" s="614"/>
      <c r="E56" s="614"/>
      <c r="F56" s="614"/>
      <c r="G56" s="134">
        <v>0.03</v>
      </c>
      <c r="H56" s="14" t="s">
        <v>222</v>
      </c>
    </row>
    <row r="57" spans="1:19" s="1" customFormat="1" ht="24" customHeight="1" x14ac:dyDescent="0.25">
      <c r="A57" s="141">
        <v>5</v>
      </c>
      <c r="B57" s="624" t="s">
        <v>207</v>
      </c>
      <c r="C57" s="624"/>
      <c r="D57" s="624"/>
      <c r="E57" s="624"/>
      <c r="F57" s="624"/>
      <c r="G57" s="134">
        <v>0</v>
      </c>
      <c r="H57" s="14" t="s">
        <v>223</v>
      </c>
    </row>
    <row r="58" spans="1:19" s="1" customFormat="1" ht="21.75" customHeight="1" x14ac:dyDescent="0.25">
      <c r="A58" s="141">
        <v>6</v>
      </c>
      <c r="B58" s="614" t="s">
        <v>224</v>
      </c>
      <c r="C58" s="614"/>
      <c r="D58" s="614"/>
      <c r="E58" s="614"/>
      <c r="F58" s="614"/>
      <c r="G58" s="130">
        <f>SUM(G54:G57)</f>
        <v>0.1225</v>
      </c>
      <c r="H58" s="14"/>
    </row>
    <row r="59" spans="1:19" ht="12.75" customHeight="1" x14ac:dyDescent="0.25"/>
    <row r="60" spans="1:19" s="1" customFormat="1" x14ac:dyDescent="0.25"/>
    <row r="62" spans="1:19" ht="66.75" hidden="1" customHeight="1" x14ac:dyDescent="0.25">
      <c r="A62" s="612" t="s">
        <v>225</v>
      </c>
      <c r="B62" s="612"/>
      <c r="C62" s="612"/>
      <c r="D62" s="612"/>
      <c r="E62" s="612"/>
      <c r="F62" s="612"/>
      <c r="G62" s="612"/>
      <c r="H62" s="612"/>
      <c r="I62" s="140" t="s">
        <v>226</v>
      </c>
      <c r="J62" s="123" t="s">
        <v>227</v>
      </c>
      <c r="K62" s="140" t="s">
        <v>228</v>
      </c>
      <c r="L62" s="140" t="s">
        <v>226</v>
      </c>
      <c r="M62" s="140" t="s">
        <v>229</v>
      </c>
      <c r="N62" s="612" t="s">
        <v>230</v>
      </c>
      <c r="O62" s="612"/>
      <c r="P62" s="612" t="s">
        <v>231</v>
      </c>
      <c r="Q62" s="612"/>
      <c r="R62" s="123"/>
      <c r="S62" s="123" t="s">
        <v>232</v>
      </c>
    </row>
    <row r="63" spans="1:19" ht="15" hidden="1" customHeight="1" x14ac:dyDescent="0.25">
      <c r="A63" s="621" t="s">
        <v>233</v>
      </c>
      <c r="B63" s="621"/>
      <c r="C63" s="141" t="s">
        <v>234</v>
      </c>
      <c r="D63" s="155">
        <f>IPCA!G23</f>
        <v>0</v>
      </c>
      <c r="E63" s="614" t="s">
        <v>235</v>
      </c>
      <c r="F63" s="614"/>
      <c r="G63" s="614"/>
      <c r="H63" s="614"/>
      <c r="I63" s="156" t="s">
        <v>236</v>
      </c>
      <c r="J63" s="156" t="s">
        <v>236</v>
      </c>
      <c r="K63" s="156" t="s">
        <v>236</v>
      </c>
      <c r="L63" s="156" t="s">
        <v>236</v>
      </c>
      <c r="M63" s="156" t="s">
        <v>236</v>
      </c>
      <c r="N63" s="625">
        <f>ROUND((100%+D63),2)</f>
        <v>1</v>
      </c>
      <c r="O63" s="625"/>
      <c r="P63" s="626"/>
      <c r="Q63" s="626"/>
      <c r="R63" s="431"/>
      <c r="S63" s="157"/>
    </row>
    <row r="64" spans="1:19" ht="15" hidden="1" customHeight="1" x14ac:dyDescent="0.25">
      <c r="A64" s="621" t="s">
        <v>237</v>
      </c>
      <c r="B64" s="621"/>
      <c r="C64" s="141" t="s">
        <v>234</v>
      </c>
      <c r="D64" s="155">
        <f>IPCA!N23</f>
        <v>0</v>
      </c>
      <c r="E64" s="614" t="s">
        <v>235</v>
      </c>
      <c r="F64" s="614"/>
      <c r="G64" s="614"/>
      <c r="H64" s="614"/>
      <c r="I64" s="156" t="s">
        <v>236</v>
      </c>
      <c r="J64" s="156" t="s">
        <v>236</v>
      </c>
      <c r="K64" s="156" t="s">
        <v>236</v>
      </c>
      <c r="L64" s="156" t="s">
        <v>236</v>
      </c>
      <c r="M64" s="156" t="s">
        <v>236</v>
      </c>
      <c r="N64" s="625">
        <f>ROUND((100%+D64),2)</f>
        <v>1</v>
      </c>
      <c r="O64" s="625"/>
      <c r="P64" s="626"/>
      <c r="Q64" s="626"/>
      <c r="R64" s="431"/>
      <c r="S64" s="157"/>
    </row>
    <row r="65" spans="1:19" ht="15" hidden="1" customHeight="1" x14ac:dyDescent="0.25">
      <c r="A65" s="621" t="s">
        <v>238</v>
      </c>
      <c r="B65" s="621"/>
      <c r="C65" s="141" t="s">
        <v>234</v>
      </c>
      <c r="D65" s="155">
        <f>IPCA!U23</f>
        <v>0</v>
      </c>
      <c r="E65" s="614" t="s">
        <v>235</v>
      </c>
      <c r="F65" s="614"/>
      <c r="G65" s="614"/>
      <c r="H65" s="614"/>
      <c r="I65" s="156" t="s">
        <v>236</v>
      </c>
      <c r="J65" s="156" t="s">
        <v>236</v>
      </c>
      <c r="K65" s="156" t="s">
        <v>236</v>
      </c>
      <c r="L65" s="156" t="s">
        <v>236</v>
      </c>
      <c r="M65" s="156" t="s">
        <v>236</v>
      </c>
      <c r="N65" s="625">
        <f>ROUND((100%+D65),2)</f>
        <v>1</v>
      </c>
      <c r="O65" s="625"/>
      <c r="P65" s="626"/>
      <c r="Q65" s="626"/>
      <c r="R65" s="431"/>
      <c r="S65" s="157"/>
    </row>
    <row r="66" spans="1:19" ht="15" hidden="1" customHeight="1" x14ac:dyDescent="0.25">
      <c r="A66" s="621" t="s">
        <v>239</v>
      </c>
      <c r="B66" s="621"/>
      <c r="C66" s="141" t="s">
        <v>234</v>
      </c>
      <c r="D66" s="155">
        <f>IPCA!AB23</f>
        <v>0</v>
      </c>
      <c r="E66" s="614" t="s">
        <v>235</v>
      </c>
      <c r="F66" s="614"/>
      <c r="G66" s="614"/>
      <c r="H66" s="614"/>
      <c r="I66" s="156" t="s">
        <v>236</v>
      </c>
      <c r="J66" s="156" t="s">
        <v>236</v>
      </c>
      <c r="K66" s="156" t="s">
        <v>236</v>
      </c>
      <c r="L66" s="156" t="s">
        <v>236</v>
      </c>
      <c r="M66" s="156" t="s">
        <v>236</v>
      </c>
      <c r="N66" s="625">
        <f>ROUND((100%+D66),2)</f>
        <v>1</v>
      </c>
      <c r="O66" s="625"/>
      <c r="P66" s="626"/>
      <c r="Q66" s="626"/>
      <c r="R66" s="431"/>
      <c r="S66" s="157"/>
    </row>
    <row r="67" spans="1:19" ht="15" hidden="1" customHeight="1" x14ac:dyDescent="0.25">
      <c r="A67" s="621" t="s">
        <v>240</v>
      </c>
      <c r="B67" s="621"/>
      <c r="C67" s="141" t="s">
        <v>234</v>
      </c>
      <c r="D67" s="155">
        <f>IPCA!AI23</f>
        <v>0</v>
      </c>
      <c r="E67" s="614" t="s">
        <v>235</v>
      </c>
      <c r="F67" s="614"/>
      <c r="G67" s="614"/>
      <c r="H67" s="614"/>
      <c r="I67" s="156" t="s">
        <v>236</v>
      </c>
      <c r="J67" s="156" t="s">
        <v>236</v>
      </c>
      <c r="K67" s="156" t="s">
        <v>236</v>
      </c>
      <c r="L67" s="156" t="s">
        <v>236</v>
      </c>
      <c r="M67" s="156" t="s">
        <v>236</v>
      </c>
      <c r="N67" s="625">
        <f>ROUND((100%+D67),2)</f>
        <v>1</v>
      </c>
      <c r="O67" s="625"/>
      <c r="P67" s="626"/>
      <c r="Q67" s="626"/>
      <c r="R67" s="431"/>
      <c r="S67" s="157"/>
    </row>
    <row r="68" spans="1:19" hidden="1" x14ac:dyDescent="0.25">
      <c r="B68" s="158"/>
      <c r="C68" s="158"/>
      <c r="D68" s="158"/>
      <c r="E68" s="158"/>
    </row>
    <row r="69" spans="1:19" ht="30" hidden="1" customHeight="1" x14ac:dyDescent="0.25">
      <c r="A69" s="612" t="s">
        <v>241</v>
      </c>
      <c r="B69" s="612"/>
      <c r="C69" s="612"/>
      <c r="D69" s="123" t="s">
        <v>242</v>
      </c>
      <c r="E69" s="158"/>
    </row>
    <row r="70" spans="1:19" ht="15.75" hidden="1" customHeight="1" x14ac:dyDescent="0.25">
      <c r="A70" s="612"/>
      <c r="B70" s="612"/>
      <c r="C70" s="612"/>
      <c r="D70" s="156" t="s">
        <v>243</v>
      </c>
      <c r="E70" s="158"/>
    </row>
    <row r="71" spans="1:19" ht="30" hidden="1" customHeight="1" x14ac:dyDescent="0.25">
      <c r="A71" s="612" t="s">
        <v>244</v>
      </c>
      <c r="B71" s="612"/>
      <c r="C71" s="612"/>
      <c r="D71" s="123" t="s">
        <v>242</v>
      </c>
      <c r="E71" s="158"/>
    </row>
    <row r="72" spans="1:19" ht="15.75" hidden="1" customHeight="1" x14ac:dyDescent="0.25">
      <c r="A72" s="612"/>
      <c r="B72" s="612"/>
      <c r="C72" s="612"/>
      <c r="D72" s="156" t="s">
        <v>243</v>
      </c>
      <c r="E72" s="158"/>
    </row>
    <row r="73" spans="1:19" ht="30" hidden="1" customHeight="1" x14ac:dyDescent="0.25">
      <c r="A73" s="612" t="s">
        <v>245</v>
      </c>
      <c r="B73" s="612"/>
      <c r="C73" s="612"/>
      <c r="D73" s="123" t="s">
        <v>242</v>
      </c>
      <c r="E73" s="158"/>
    </row>
    <row r="74" spans="1:19" ht="15.75" hidden="1" customHeight="1" x14ac:dyDescent="0.25">
      <c r="A74" s="612"/>
      <c r="B74" s="612"/>
      <c r="C74" s="612"/>
      <c r="D74" s="156" t="s">
        <v>243</v>
      </c>
      <c r="E74" s="158"/>
    </row>
    <row r="75" spans="1:19" ht="42.75" hidden="1" customHeight="1" x14ac:dyDescent="0.25">
      <c r="A75" s="612" t="s">
        <v>246</v>
      </c>
      <c r="B75" s="612"/>
      <c r="C75" s="612"/>
      <c r="D75" s="123" t="s">
        <v>242</v>
      </c>
      <c r="E75" s="159" t="s">
        <v>247</v>
      </c>
      <c r="F75" s="123" t="s">
        <v>248</v>
      </c>
      <c r="G75" s="123" t="s">
        <v>249</v>
      </c>
      <c r="H75" s="123" t="s">
        <v>250</v>
      </c>
      <c r="I75" s="123" t="s">
        <v>251</v>
      </c>
      <c r="J75" s="123" t="s">
        <v>252</v>
      </c>
      <c r="K75" s="158"/>
    </row>
    <row r="76" spans="1:19" ht="15.75" hidden="1" customHeight="1" x14ac:dyDescent="0.25">
      <c r="A76" s="612"/>
      <c r="B76" s="612"/>
      <c r="C76" s="612"/>
      <c r="D76" s="156" t="s">
        <v>243</v>
      </c>
      <c r="E76" s="156">
        <v>1.55</v>
      </c>
      <c r="F76" s="141">
        <f>ROUND(IF(Dados!$M$63="SIM",E76*Dados!$N$63,E76),2)</f>
        <v>1.55</v>
      </c>
      <c r="G76" s="141">
        <f>ROUND(IF(Dados!$M$64="SIM",F76*Dados!$N$64,F76),2)</f>
        <v>1.55</v>
      </c>
      <c r="H76" s="141">
        <f>ROUND(IF(Dados!$M$65="SIM",G76*Dados!$N$65,G76),2)</f>
        <v>1.55</v>
      </c>
      <c r="I76" s="141">
        <f>ROUND(IF(Dados!$M$66="SIM",H76*Dados!$N$66,H76),2)</f>
        <v>1.55</v>
      </c>
      <c r="J76" s="141">
        <f>ROUND(IF(Dados!$M$67="SIM",I76*Dados!$N$67,I76),2)</f>
        <v>1.55</v>
      </c>
    </row>
    <row r="77" spans="1:19" hidden="1" x14ac:dyDescent="0.25">
      <c r="E77" s="158"/>
    </row>
    <row r="78" spans="1:19" ht="15.75" hidden="1" customHeight="1" x14ac:dyDescent="0.25">
      <c r="A78" s="627" t="s">
        <v>253</v>
      </c>
      <c r="B78" s="627"/>
      <c r="C78" s="627"/>
      <c r="D78" s="627"/>
      <c r="E78" s="627"/>
      <c r="F78" s="627"/>
      <c r="G78" s="627"/>
      <c r="H78" s="627"/>
    </row>
    <row r="79" spans="1:19" hidden="1" x14ac:dyDescent="0.25">
      <c r="A79" s="631" t="s">
        <v>254</v>
      </c>
      <c r="B79" s="631"/>
      <c r="C79" s="631"/>
      <c r="D79" s="631"/>
      <c r="E79" s="631"/>
      <c r="F79" s="629" t="s">
        <v>255</v>
      </c>
      <c r="G79" s="629"/>
      <c r="H79" s="160"/>
    </row>
    <row r="80" spans="1:19" ht="43.5" hidden="1" customHeight="1" x14ac:dyDescent="0.25">
      <c r="A80" s="630" t="s">
        <v>256</v>
      </c>
      <c r="B80" s="630"/>
      <c r="C80" s="630"/>
      <c r="D80" s="630"/>
      <c r="E80" s="630"/>
      <c r="F80" s="630"/>
      <c r="G80" s="630"/>
      <c r="H80" s="630"/>
    </row>
    <row r="81" spans="1:8" hidden="1" x14ac:dyDescent="0.25">
      <c r="A81" s="631" t="s">
        <v>257</v>
      </c>
      <c r="B81" s="631"/>
      <c r="C81" s="631"/>
      <c r="D81" s="631"/>
      <c r="E81" s="631"/>
      <c r="F81" s="629" t="s">
        <v>255</v>
      </c>
      <c r="G81" s="629"/>
      <c r="H81" s="160"/>
    </row>
    <row r="82" spans="1:8" ht="43.5" hidden="1" customHeight="1" x14ac:dyDescent="0.25">
      <c r="A82" s="632" t="s">
        <v>258</v>
      </c>
      <c r="B82" s="632"/>
      <c r="C82" s="632"/>
      <c r="D82" s="632"/>
      <c r="E82" s="632"/>
      <c r="F82" s="632"/>
      <c r="G82" s="632"/>
      <c r="H82" s="632"/>
    </row>
    <row r="83" spans="1:8" hidden="1" x14ac:dyDescent="0.25">
      <c r="A83" s="631" t="s">
        <v>259</v>
      </c>
      <c r="B83" s="631"/>
      <c r="C83" s="631"/>
      <c r="D83" s="631"/>
      <c r="E83" s="631"/>
      <c r="F83" s="629" t="s">
        <v>255</v>
      </c>
      <c r="G83" s="629"/>
      <c r="H83" s="160"/>
    </row>
    <row r="84" spans="1:8" ht="43.5" hidden="1" customHeight="1" x14ac:dyDescent="0.25">
      <c r="A84" s="630" t="s">
        <v>260</v>
      </c>
      <c r="B84" s="630"/>
      <c r="C84" s="630"/>
      <c r="D84" s="630"/>
      <c r="E84" s="630"/>
      <c r="F84" s="630"/>
      <c r="G84" s="630"/>
      <c r="H84" s="630"/>
    </row>
    <row r="85" spans="1:8" hidden="1" x14ac:dyDescent="0.25">
      <c r="A85" s="628" t="s">
        <v>261</v>
      </c>
      <c r="B85" s="628"/>
      <c r="C85" s="628"/>
      <c r="D85" s="628"/>
      <c r="E85" s="628"/>
      <c r="F85" s="629" t="s">
        <v>255</v>
      </c>
      <c r="G85" s="629"/>
      <c r="H85" s="161"/>
    </row>
    <row r="86" spans="1:8" ht="43.5" hidden="1" customHeight="1" x14ac:dyDescent="0.25">
      <c r="A86" s="630" t="s">
        <v>262</v>
      </c>
      <c r="B86" s="630"/>
      <c r="C86" s="630"/>
      <c r="D86" s="630"/>
      <c r="E86" s="630"/>
      <c r="F86" s="630"/>
      <c r="G86" s="630"/>
      <c r="H86" s="630"/>
    </row>
    <row r="87" spans="1:8" hidden="1" x14ac:dyDescent="0.25"/>
    <row r="88" spans="1:8" hidden="1" x14ac:dyDescent="0.25"/>
    <row r="89" spans="1:8" hidden="1" x14ac:dyDescent="0.25"/>
    <row r="90" spans="1:8" hidden="1" x14ac:dyDescent="0.25"/>
    <row r="91" spans="1:8" hidden="1" x14ac:dyDescent="0.25"/>
    <row r="92" spans="1:8" hidden="1" x14ac:dyDescent="0.25"/>
    <row r="93" spans="1:8" hidden="1" x14ac:dyDescent="0.25"/>
    <row r="94" spans="1:8" hidden="1" x14ac:dyDescent="0.25"/>
    <row r="95" spans="1:8" hidden="1" x14ac:dyDescent="0.25"/>
    <row r="96" spans="1:8"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sheetData>
  <sheetProtection algorithmName="SHA-512" hashValue="ej5FvzZJjunjmMISh3g4cjmpWlsTk4LPp0aVeJE12ToiBrFD8mMwbcqjhm75k9qCvsUTSMf3kVtTEK2PgxpPqw==" saltValue="dfKST3vHY7eWSNSZyA11XQ==" spinCount="100000" sheet="1" objects="1" scenarios="1"/>
  <mergeCells count="103">
    <mergeCell ref="A85:E85"/>
    <mergeCell ref="F85:G85"/>
    <mergeCell ref="A86:H86"/>
    <mergeCell ref="A79:E79"/>
    <mergeCell ref="F79:G79"/>
    <mergeCell ref="A80:H80"/>
    <mergeCell ref="A81:E81"/>
    <mergeCell ref="F81:G81"/>
    <mergeCell ref="A82:H82"/>
    <mergeCell ref="A83:E83"/>
    <mergeCell ref="F83:G83"/>
    <mergeCell ref="A84:H84"/>
    <mergeCell ref="A67:B67"/>
    <mergeCell ref="E67:H67"/>
    <mergeCell ref="N67:O67"/>
    <mergeCell ref="P67:Q67"/>
    <mergeCell ref="A69:C70"/>
    <mergeCell ref="A71:C72"/>
    <mergeCell ref="A73:C74"/>
    <mergeCell ref="A75:C76"/>
    <mergeCell ref="A78:H78"/>
    <mergeCell ref="A64:B64"/>
    <mergeCell ref="E64:H64"/>
    <mergeCell ref="N64:O64"/>
    <mergeCell ref="P64:Q64"/>
    <mergeCell ref="A65:B65"/>
    <mergeCell ref="E65:H65"/>
    <mergeCell ref="N65:O65"/>
    <mergeCell ref="P65:Q65"/>
    <mergeCell ref="A66:B66"/>
    <mergeCell ref="E66:H66"/>
    <mergeCell ref="N66:O66"/>
    <mergeCell ref="P66:Q66"/>
    <mergeCell ref="B54:F54"/>
    <mergeCell ref="B55:F55"/>
    <mergeCell ref="B56:F56"/>
    <mergeCell ref="B57:F57"/>
    <mergeCell ref="B58:F58"/>
    <mergeCell ref="A62:H62"/>
    <mergeCell ref="N62:O62"/>
    <mergeCell ref="P62:Q62"/>
    <mergeCell ref="A63:B63"/>
    <mergeCell ref="E63:H63"/>
    <mergeCell ref="N63:O63"/>
    <mergeCell ref="P63:Q63"/>
    <mergeCell ref="B42:F42"/>
    <mergeCell ref="B43:F43"/>
    <mergeCell ref="A45:G45"/>
    <mergeCell ref="B46:F46"/>
    <mergeCell ref="B47:F47"/>
    <mergeCell ref="A49:G49"/>
    <mergeCell ref="A50:A52"/>
    <mergeCell ref="B50:G52"/>
    <mergeCell ref="B53:E53"/>
    <mergeCell ref="F53:G53"/>
    <mergeCell ref="A35:A38"/>
    <mergeCell ref="B35:C38"/>
    <mergeCell ref="D35:F35"/>
    <mergeCell ref="D36:F36"/>
    <mergeCell ref="D37:F37"/>
    <mergeCell ref="D38:F38"/>
    <mergeCell ref="A39:A41"/>
    <mergeCell ref="B39:C41"/>
    <mergeCell ref="D39:F39"/>
    <mergeCell ref="D40:F40"/>
    <mergeCell ref="D41:F41"/>
    <mergeCell ref="B23:F23"/>
    <mergeCell ref="B25:F25"/>
    <mergeCell ref="B26:F26"/>
    <mergeCell ref="B27:F27"/>
    <mergeCell ref="A29:G29"/>
    <mergeCell ref="B30:F30"/>
    <mergeCell ref="A32:G32"/>
    <mergeCell ref="B33:F33"/>
    <mergeCell ref="B34:F34"/>
    <mergeCell ref="B17:D17"/>
    <mergeCell ref="E17:G17"/>
    <mergeCell ref="B18:D18"/>
    <mergeCell ref="E18:G18"/>
    <mergeCell ref="B19:D19"/>
    <mergeCell ref="E19:G19"/>
    <mergeCell ref="B20:D20"/>
    <mergeCell ref="E20:G20"/>
    <mergeCell ref="A22:G22"/>
    <mergeCell ref="J5:J6"/>
    <mergeCell ref="K5:K6"/>
    <mergeCell ref="L5:L6"/>
    <mergeCell ref="M5:M6"/>
    <mergeCell ref="T5:T6"/>
    <mergeCell ref="A15:G15"/>
    <mergeCell ref="B16:D16"/>
    <mergeCell ref="E16:G16"/>
    <mergeCell ref="A5:A6"/>
    <mergeCell ref="B5:B6"/>
    <mergeCell ref="C5:C6"/>
    <mergeCell ref="D5:D6"/>
    <mergeCell ref="E5:E6"/>
    <mergeCell ref="F5:F6"/>
    <mergeCell ref="G5:G6"/>
    <mergeCell ref="H5:H6"/>
    <mergeCell ref="I5:I6"/>
    <mergeCell ref="A7:A11"/>
    <mergeCell ref="A12:A13"/>
  </mergeCells>
  <dataValidations disablePrompts="1" count="3">
    <dataValidation type="list" allowBlank="1" showInputMessage="1" showErrorMessage="1" sqref="F53" xr:uid="{00000000-0002-0000-0200-000000000000}">
      <formula1>"LUCRO REAL,LUCRO PRESUMIDO,SIMPLES NACIONAL,OUTRO"</formula1>
      <formula2>0</formula2>
    </dataValidation>
    <dataValidation type="list" allowBlank="1" showInputMessage="1" showErrorMessage="1" sqref="I63:M67" xr:uid="{00000000-0002-0000-0200-000001000000}">
      <formula1>"NÃO,SIM"</formula1>
      <formula2>0</formula2>
    </dataValidation>
    <dataValidation type="list" allowBlank="1" showInputMessage="1" showErrorMessage="1" sqref="D70 D72 D74 D76" xr:uid="{00000000-0002-0000-0200-000002000000}">
      <formula1>"INICIAL,1º IPCA,2º IPCA,3º IPCA,4º IPCA,5º IPCA"</formula1>
      <formula2>0</formula2>
    </dataValidation>
  </dataValidations>
  <printOptions horizontalCentered="1" verticalCentered="1"/>
  <pageMargins left="0.51180555555555596" right="0.51180555555555596" top="0.78749999999999998" bottom="0.78749999999999998" header="0.511811023622047" footer="0.511811023622047"/>
  <pageSetup paperSize="9" scale="31" fitToHeight="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1"/>
  <sheetViews>
    <sheetView showGridLines="0" zoomScaleNormal="100" zoomScaleSheetLayoutView="100" zoomScalePageLayoutView="140" workbookViewId="0">
      <selection activeCell="E35" sqref="E35"/>
    </sheetView>
  </sheetViews>
  <sheetFormatPr defaultColWidth="8.7109375" defaultRowHeight="15" x14ac:dyDescent="0.25"/>
  <cols>
    <col min="1" max="1" width="9" customWidth="1"/>
    <col min="2" max="2" width="55.5703125" customWidth="1"/>
    <col min="3" max="3" width="13.140625" customWidth="1"/>
    <col min="4" max="4" width="4.85546875" customWidth="1"/>
    <col min="5" max="5" width="41.7109375" customWidth="1"/>
    <col min="6" max="8" width="11" customWidth="1"/>
    <col min="9" max="257" width="9" customWidth="1"/>
    <col min="258" max="258" width="55.5703125" customWidth="1"/>
    <col min="259" max="259" width="13.140625" customWidth="1"/>
    <col min="260" max="260" width="9" customWidth="1"/>
    <col min="261" max="261" width="35.140625" customWidth="1"/>
    <col min="262" max="264" width="11" customWidth="1"/>
    <col min="265" max="513" width="9" customWidth="1"/>
    <col min="514" max="514" width="55.5703125" customWidth="1"/>
    <col min="515" max="515" width="13.140625" customWidth="1"/>
    <col min="516" max="516" width="9" customWidth="1"/>
    <col min="517" max="517" width="35.140625" customWidth="1"/>
    <col min="518" max="520" width="11" customWidth="1"/>
    <col min="521" max="769" width="9" customWidth="1"/>
    <col min="770" max="770" width="55.5703125" customWidth="1"/>
    <col min="771" max="771" width="13.140625" customWidth="1"/>
    <col min="772" max="772" width="9" customWidth="1"/>
    <col min="773" max="773" width="35.140625" customWidth="1"/>
    <col min="774" max="776" width="11" customWidth="1"/>
    <col min="777" max="1025" width="9" customWidth="1"/>
  </cols>
  <sheetData>
    <row r="1" spans="1:4" x14ac:dyDescent="0.25">
      <c r="A1" s="162"/>
      <c r="B1" s="100" t="str">
        <f>INSTRUÇÕES!B1</f>
        <v>Tribunal Regional Federal da 6ª Região</v>
      </c>
      <c r="C1" s="163"/>
    </row>
    <row r="2" spans="1:4" x14ac:dyDescent="0.25">
      <c r="A2" s="164"/>
      <c r="B2" s="102" t="str">
        <f>INSTRUÇÕES!B2</f>
        <v>Seção Judiciária de Minas Gerais</v>
      </c>
      <c r="C2" s="165"/>
    </row>
    <row r="3" spans="1:4" x14ac:dyDescent="0.25">
      <c r="A3" s="166"/>
      <c r="B3" s="102" t="str">
        <f>INSTRUÇÕES!B3</f>
        <v>Subseção Judiciária de Uberaba</v>
      </c>
      <c r="C3" s="165"/>
    </row>
    <row r="4" spans="1:4" ht="21.75" customHeight="1" x14ac:dyDescent="0.25">
      <c r="A4" s="633" t="s">
        <v>263</v>
      </c>
      <c r="B4" s="633"/>
      <c r="C4" s="633"/>
    </row>
    <row r="5" spans="1:4" ht="21.75" customHeight="1" x14ac:dyDescent="0.25">
      <c r="A5" s="633" t="s">
        <v>520</v>
      </c>
      <c r="B5" s="633"/>
      <c r="C5" s="633"/>
    </row>
    <row r="6" spans="1:4" ht="26.25" customHeight="1" x14ac:dyDescent="0.25">
      <c r="A6" s="634" t="s">
        <v>264</v>
      </c>
      <c r="B6" s="634"/>
      <c r="C6" s="634"/>
    </row>
    <row r="7" spans="1:4" x14ac:dyDescent="0.25">
      <c r="A7" s="635" t="s">
        <v>265</v>
      </c>
      <c r="B7" s="635"/>
      <c r="C7" s="635"/>
    </row>
    <row r="8" spans="1:4" ht="15.75" customHeight="1" x14ac:dyDescent="0.25">
      <c r="A8" s="167" t="s">
        <v>59</v>
      </c>
      <c r="B8" s="168" t="s">
        <v>266</v>
      </c>
      <c r="C8" s="169" t="s">
        <v>267</v>
      </c>
    </row>
    <row r="9" spans="1:4" ht="15.75" customHeight="1" x14ac:dyDescent="0.25">
      <c r="A9" s="170" t="s">
        <v>268</v>
      </c>
      <c r="B9" s="636" t="s">
        <v>269</v>
      </c>
      <c r="C9" s="636"/>
    </row>
    <row r="10" spans="1:4" ht="15.75" customHeight="1" x14ac:dyDescent="0.25">
      <c r="A10" s="171">
        <v>1</v>
      </c>
      <c r="B10" s="172" t="s">
        <v>270</v>
      </c>
      <c r="C10" s="173">
        <v>0.2</v>
      </c>
    </row>
    <row r="11" spans="1:4" ht="15.75" customHeight="1" x14ac:dyDescent="0.25">
      <c r="A11" s="171">
        <v>2</v>
      </c>
      <c r="B11" s="172" t="s">
        <v>271</v>
      </c>
      <c r="C11" s="173">
        <v>1.4999999999999999E-2</v>
      </c>
    </row>
    <row r="12" spans="1:4" ht="15.75" customHeight="1" x14ac:dyDescent="0.25">
      <c r="A12" s="171">
        <v>3</v>
      </c>
      <c r="B12" s="172" t="s">
        <v>272</v>
      </c>
      <c r="C12" s="173">
        <v>0.01</v>
      </c>
    </row>
    <row r="13" spans="1:4" ht="15.75" customHeight="1" x14ac:dyDescent="0.25">
      <c r="A13" s="171">
        <v>4</v>
      </c>
      <c r="B13" s="172" t="s">
        <v>273</v>
      </c>
      <c r="C13" s="173">
        <v>2E-3</v>
      </c>
    </row>
    <row r="14" spans="1:4" ht="15.75" customHeight="1" x14ac:dyDescent="0.25">
      <c r="A14" s="171">
        <v>5</v>
      </c>
      <c r="B14" s="172" t="s">
        <v>274</v>
      </c>
      <c r="C14" s="173">
        <v>2.5000000000000001E-2</v>
      </c>
    </row>
    <row r="15" spans="1:4" ht="15.75" customHeight="1" x14ac:dyDescent="0.25">
      <c r="A15" s="171">
        <v>6</v>
      </c>
      <c r="B15" s="172" t="s">
        <v>275</v>
      </c>
      <c r="C15" s="173">
        <v>0.08</v>
      </c>
    </row>
    <row r="16" spans="1:4" ht="15.75" customHeight="1" x14ac:dyDescent="0.25">
      <c r="A16" s="171">
        <v>7</v>
      </c>
      <c r="B16" s="172" t="s">
        <v>276</v>
      </c>
      <c r="C16" s="174">
        <f>Dados!G25</f>
        <v>0.06</v>
      </c>
      <c r="D16" s="175" t="s">
        <v>277</v>
      </c>
    </row>
    <row r="17" spans="1:3" ht="15.75" customHeight="1" x14ac:dyDescent="0.25">
      <c r="A17" s="171">
        <v>8</v>
      </c>
      <c r="B17" s="172" t="s">
        <v>278</v>
      </c>
      <c r="C17" s="173">
        <v>6.0000000000000001E-3</v>
      </c>
    </row>
    <row r="18" spans="1:3" ht="15.75" customHeight="1" x14ac:dyDescent="0.25">
      <c r="A18" s="637" t="s">
        <v>279</v>
      </c>
      <c r="B18" s="637"/>
      <c r="C18" s="176">
        <f>SUM(C10:C17)</f>
        <v>0.39800000000000008</v>
      </c>
    </row>
    <row r="19" spans="1:3" ht="15.75" customHeight="1" x14ac:dyDescent="0.25">
      <c r="A19" s="638" t="s">
        <v>280</v>
      </c>
      <c r="B19" s="638"/>
      <c r="C19" s="638"/>
    </row>
    <row r="20" spans="1:3" ht="15.75" customHeight="1" x14ac:dyDescent="0.25">
      <c r="A20" s="638" t="s">
        <v>281</v>
      </c>
      <c r="B20" s="638"/>
      <c r="C20" s="638"/>
    </row>
    <row r="21" spans="1:3" ht="15.75" customHeight="1" x14ac:dyDescent="0.25">
      <c r="A21" s="171">
        <v>9</v>
      </c>
      <c r="B21" s="177" t="s">
        <v>282</v>
      </c>
      <c r="C21" s="178">
        <f>ROUND((100%/11),4)</f>
        <v>9.0899999999999995E-2</v>
      </c>
    </row>
    <row r="22" spans="1:3" ht="15.75" customHeight="1" x14ac:dyDescent="0.25">
      <c r="A22" s="171">
        <v>10</v>
      </c>
      <c r="B22" s="177" t="s">
        <v>283</v>
      </c>
      <c r="C22" s="178">
        <f>ROUND((C21/3),4)</f>
        <v>3.0300000000000001E-2</v>
      </c>
    </row>
    <row r="23" spans="1:3" ht="15.75" customHeight="1" x14ac:dyDescent="0.25">
      <c r="A23" s="639" t="s">
        <v>284</v>
      </c>
      <c r="B23" s="639"/>
      <c r="C23" s="179">
        <f>SUM(C21:C22)</f>
        <v>0.1212</v>
      </c>
    </row>
    <row r="24" spans="1:3" ht="15.75" customHeight="1" x14ac:dyDescent="0.25">
      <c r="A24" s="640" t="s">
        <v>285</v>
      </c>
      <c r="B24" s="640"/>
      <c r="C24" s="174">
        <f>(C18*C23)</f>
        <v>4.8237600000000012E-2</v>
      </c>
    </row>
    <row r="25" spans="1:3" ht="15.75" customHeight="1" x14ac:dyDescent="0.25">
      <c r="A25" s="639" t="s">
        <v>286</v>
      </c>
      <c r="B25" s="639"/>
      <c r="C25" s="179">
        <f>SUM(C23:C24)</f>
        <v>0.16943760000000002</v>
      </c>
    </row>
    <row r="26" spans="1:3" ht="15.75" customHeight="1" x14ac:dyDescent="0.25">
      <c r="A26" s="170" t="s">
        <v>287</v>
      </c>
      <c r="B26" s="636" t="s">
        <v>288</v>
      </c>
      <c r="C26" s="636"/>
    </row>
    <row r="27" spans="1:3" ht="15.75" customHeight="1" x14ac:dyDescent="0.25">
      <c r="A27" s="171">
        <v>11</v>
      </c>
      <c r="B27" s="172" t="s">
        <v>289</v>
      </c>
      <c r="C27" s="173">
        <f>ROUND((0.0144*0.1*0.4509*6/12),4)</f>
        <v>2.9999999999999997E-4</v>
      </c>
    </row>
    <row r="28" spans="1:3" ht="15.75" customHeight="1" x14ac:dyDescent="0.25">
      <c r="A28" s="640" t="s">
        <v>290</v>
      </c>
      <c r="B28" s="640"/>
      <c r="C28" s="180">
        <f>C18*C27</f>
        <v>1.1940000000000002E-4</v>
      </c>
    </row>
    <row r="29" spans="1:3" ht="15.75" customHeight="1" x14ac:dyDescent="0.25">
      <c r="A29" s="639" t="s">
        <v>291</v>
      </c>
      <c r="B29" s="639"/>
      <c r="C29" s="181">
        <f>SUM(C27:C28)</f>
        <v>4.194E-4</v>
      </c>
    </row>
    <row r="30" spans="1:3" ht="15.75" customHeight="1" x14ac:dyDescent="0.25">
      <c r="A30" s="170" t="s">
        <v>292</v>
      </c>
      <c r="B30" s="636" t="s">
        <v>293</v>
      </c>
      <c r="C30" s="636"/>
    </row>
    <row r="31" spans="1:3" ht="15.75" customHeight="1" x14ac:dyDescent="0.25">
      <c r="A31" s="171">
        <v>12</v>
      </c>
      <c r="B31" s="172" t="s">
        <v>294</v>
      </c>
      <c r="C31" s="173">
        <f>ROUND((100%/12)*5%,4)</f>
        <v>4.1999999999999997E-3</v>
      </c>
    </row>
    <row r="32" spans="1:3" ht="15.75" customHeight="1" x14ac:dyDescent="0.25">
      <c r="A32" s="641" t="s">
        <v>295</v>
      </c>
      <c r="B32" s="641"/>
      <c r="C32" s="174">
        <f>C15*C31</f>
        <v>3.3599999999999998E-4</v>
      </c>
    </row>
    <row r="33" spans="1:8" ht="15.75" customHeight="1" x14ac:dyDescent="0.25">
      <c r="A33" s="171">
        <v>13</v>
      </c>
      <c r="B33" s="172" t="s">
        <v>296</v>
      </c>
      <c r="C33" s="178">
        <f>ROUND((C15*0.4*0.9*(1+1/11+1/11+(1/3*1/11))),5)</f>
        <v>3.4909999999999997E-2</v>
      </c>
    </row>
    <row r="34" spans="1:8" ht="15.75" customHeight="1" x14ac:dyDescent="0.25">
      <c r="A34" s="171">
        <v>14</v>
      </c>
      <c r="B34" s="172" t="s">
        <v>297</v>
      </c>
      <c r="C34" s="173">
        <f>ROUND((7/30/12)*0.02*100%,4)</f>
        <v>4.0000000000000002E-4</v>
      </c>
    </row>
    <row r="35" spans="1:8" ht="15.75" customHeight="1" x14ac:dyDescent="0.25">
      <c r="A35" s="641" t="s">
        <v>298</v>
      </c>
      <c r="B35" s="641"/>
      <c r="C35" s="174">
        <f>ROUND((C34*C18),4)</f>
        <v>2.0000000000000001E-4</v>
      </c>
    </row>
    <row r="36" spans="1:8" ht="15.75" customHeight="1" x14ac:dyDescent="0.25">
      <c r="A36" s="171">
        <v>15</v>
      </c>
      <c r="B36" s="172" t="s">
        <v>299</v>
      </c>
      <c r="C36" s="174">
        <f>(0.4*C15/100)</f>
        <v>3.2000000000000003E-4</v>
      </c>
    </row>
    <row r="37" spans="1:8" ht="15.75" customHeight="1" x14ac:dyDescent="0.25">
      <c r="A37" s="642" t="s">
        <v>300</v>
      </c>
      <c r="B37" s="642"/>
      <c r="C37" s="179">
        <f>SUM(C31:C36)</f>
        <v>4.0365999999999992E-2</v>
      </c>
    </row>
    <row r="38" spans="1:8" ht="15.75" customHeight="1" x14ac:dyDescent="0.25">
      <c r="A38" s="170" t="s">
        <v>301</v>
      </c>
      <c r="B38" s="636" t="s">
        <v>302</v>
      </c>
      <c r="C38" s="636"/>
    </row>
    <row r="39" spans="1:8" ht="15.75" customHeight="1" x14ac:dyDescent="0.25">
      <c r="A39" s="171">
        <v>16</v>
      </c>
      <c r="B39" s="172" t="s">
        <v>303</v>
      </c>
      <c r="C39" s="178">
        <f>ROUND((100%/11),4)</f>
        <v>9.0899999999999995E-2</v>
      </c>
    </row>
    <row r="40" spans="1:8" ht="15.75" customHeight="1" x14ac:dyDescent="0.25">
      <c r="A40" s="171">
        <v>17</v>
      </c>
      <c r="B40" s="172" t="s">
        <v>304</v>
      </c>
      <c r="C40" s="173">
        <v>1.66E-2</v>
      </c>
    </row>
    <row r="41" spans="1:8" ht="15.75" customHeight="1" x14ac:dyDescent="0.25">
      <c r="A41" s="171">
        <v>18</v>
      </c>
      <c r="B41" s="172" t="s">
        <v>305</v>
      </c>
      <c r="C41" s="173">
        <f>ROUND((5/30/12)*0.022,4)</f>
        <v>2.9999999999999997E-4</v>
      </c>
    </row>
    <row r="42" spans="1:8" ht="15.75" customHeight="1" x14ac:dyDescent="0.25">
      <c r="A42" s="171">
        <v>19</v>
      </c>
      <c r="B42" s="172" t="s">
        <v>306</v>
      </c>
      <c r="C42" s="173">
        <f>ROUND((1/30/12),4)</f>
        <v>2.8E-3</v>
      </c>
    </row>
    <row r="43" spans="1:8" ht="15.75" customHeight="1" x14ac:dyDescent="0.25">
      <c r="A43" s="171">
        <v>20</v>
      </c>
      <c r="B43" s="172" t="s">
        <v>307</v>
      </c>
      <c r="C43" s="173">
        <f>ROUND((15/30/12*0.0078),4)</f>
        <v>2.9999999999999997E-4</v>
      </c>
    </row>
    <row r="44" spans="1:8" ht="15.75" customHeight="1" x14ac:dyDescent="0.25">
      <c r="A44" s="642" t="s">
        <v>284</v>
      </c>
      <c r="B44" s="642"/>
      <c r="C44" s="179">
        <f>SUM(C39:C43)</f>
        <v>0.11089999999999998</v>
      </c>
      <c r="E44" s="643" t="s">
        <v>308</v>
      </c>
      <c r="F44" s="643"/>
      <c r="G44" s="643"/>
      <c r="H44" s="643"/>
    </row>
    <row r="45" spans="1:8" ht="15.75" customHeight="1" x14ac:dyDescent="0.25">
      <c r="A45" s="641" t="s">
        <v>309</v>
      </c>
      <c r="B45" s="641"/>
      <c r="C45" s="174">
        <f>C18*C44</f>
        <v>4.4138200000000002E-2</v>
      </c>
      <c r="E45" s="643"/>
      <c r="F45" s="643"/>
      <c r="G45" s="643"/>
      <c r="H45" s="643"/>
    </row>
    <row r="46" spans="1:8" ht="15" customHeight="1" x14ac:dyDescent="0.25">
      <c r="A46" s="642" t="s">
        <v>310</v>
      </c>
      <c r="B46" s="642"/>
      <c r="C46" s="179">
        <f>SUM(C44:C45)</f>
        <v>0.15503819999999999</v>
      </c>
      <c r="E46" s="644" t="s">
        <v>311</v>
      </c>
      <c r="F46" s="645" t="s">
        <v>312</v>
      </c>
      <c r="G46" s="645"/>
      <c r="H46" s="645"/>
    </row>
    <row r="47" spans="1:8" ht="15.75" customHeight="1" x14ac:dyDescent="0.25">
      <c r="A47" s="182" t="s">
        <v>313</v>
      </c>
      <c r="B47" s="183" t="s">
        <v>314</v>
      </c>
      <c r="C47" s="179" t="s">
        <v>182</v>
      </c>
      <c r="E47" s="644"/>
      <c r="F47" s="645" t="s">
        <v>315</v>
      </c>
      <c r="G47" s="645"/>
      <c r="H47" s="645"/>
    </row>
    <row r="48" spans="1:8" ht="15.75" customHeight="1" x14ac:dyDescent="0.25">
      <c r="A48" s="171">
        <v>21</v>
      </c>
      <c r="B48" s="172" t="s">
        <v>316</v>
      </c>
      <c r="C48" s="173">
        <f>1*1%/12</f>
        <v>8.3333333333333339E-4</v>
      </c>
      <c r="E48" s="184" t="s">
        <v>317</v>
      </c>
      <c r="F48" s="185" t="s">
        <v>318</v>
      </c>
      <c r="G48" s="185" t="s">
        <v>319</v>
      </c>
      <c r="H48" s="186" t="s">
        <v>320</v>
      </c>
    </row>
    <row r="49" spans="1:8" ht="15.75" customHeight="1" x14ac:dyDescent="0.25">
      <c r="A49" s="642" t="s">
        <v>321</v>
      </c>
      <c r="B49" s="642"/>
      <c r="C49" s="179">
        <f>SUM(C47:C48)</f>
        <v>8.3333333333333339E-4</v>
      </c>
      <c r="E49" s="184" t="s">
        <v>322</v>
      </c>
      <c r="F49" s="187">
        <v>0.34300000000000003</v>
      </c>
      <c r="G49" s="187">
        <v>0.39800000000000002</v>
      </c>
      <c r="H49" s="188">
        <f>$C$18</f>
        <v>0.39800000000000008</v>
      </c>
    </row>
    <row r="50" spans="1:8" ht="15.75" customHeight="1" x14ac:dyDescent="0.25">
      <c r="A50" s="646" t="s">
        <v>323</v>
      </c>
      <c r="B50" s="646"/>
      <c r="C50" s="646"/>
      <c r="E50" s="184" t="s">
        <v>324</v>
      </c>
      <c r="F50" s="187">
        <v>5.0000000000000001E-3</v>
      </c>
      <c r="G50" s="187">
        <v>0.06</v>
      </c>
      <c r="H50" s="188">
        <f>$C$16</f>
        <v>0.06</v>
      </c>
    </row>
    <row r="51" spans="1:8" ht="15.75" customHeight="1" x14ac:dyDescent="0.25">
      <c r="A51" s="641" t="s">
        <v>269</v>
      </c>
      <c r="B51" s="641"/>
      <c r="C51" s="174">
        <f>ROUND(C18,4)</f>
        <v>0.39800000000000002</v>
      </c>
      <c r="E51" s="189" t="s">
        <v>325</v>
      </c>
      <c r="F51" s="190">
        <f>$C$21</f>
        <v>9.0899999999999995E-2</v>
      </c>
      <c r="G51" s="190">
        <f>$F$51</f>
        <v>9.0899999999999995E-2</v>
      </c>
      <c r="H51" s="191">
        <f>$F$51</f>
        <v>9.0899999999999995E-2</v>
      </c>
    </row>
    <row r="52" spans="1:8" ht="15.75" customHeight="1" x14ac:dyDescent="0.25">
      <c r="A52" s="641" t="s">
        <v>326</v>
      </c>
      <c r="B52" s="641"/>
      <c r="C52" s="174">
        <f>ROUND(C25,4)</f>
        <v>0.1694</v>
      </c>
      <c r="E52" s="189" t="s">
        <v>327</v>
      </c>
      <c r="F52" s="190">
        <f>$C$39</f>
        <v>9.0899999999999995E-2</v>
      </c>
      <c r="G52" s="190">
        <f>$F$52</f>
        <v>9.0899999999999995E-2</v>
      </c>
      <c r="H52" s="191">
        <f>$F$52</f>
        <v>9.0899999999999995E-2</v>
      </c>
    </row>
    <row r="53" spans="1:8" ht="15.75" customHeight="1" x14ac:dyDescent="0.25">
      <c r="A53" s="641" t="s">
        <v>288</v>
      </c>
      <c r="B53" s="641"/>
      <c r="C53" s="174">
        <f>ROUND(C29,4)</f>
        <v>4.0000000000000002E-4</v>
      </c>
      <c r="E53" s="189" t="s">
        <v>328</v>
      </c>
      <c r="F53" s="190">
        <f>$C$22</f>
        <v>3.0300000000000001E-2</v>
      </c>
      <c r="G53" s="190">
        <f>$F$53</f>
        <v>3.0300000000000001E-2</v>
      </c>
      <c r="H53" s="191">
        <f>$F$53</f>
        <v>3.0300000000000001E-2</v>
      </c>
    </row>
    <row r="54" spans="1:8" ht="15.75" customHeight="1" x14ac:dyDescent="0.25">
      <c r="A54" s="641" t="s">
        <v>329</v>
      </c>
      <c r="B54" s="641"/>
      <c r="C54" s="174">
        <f>ROUND(C37,4)</f>
        <v>4.0399999999999998E-2</v>
      </c>
      <c r="E54" s="192" t="s">
        <v>284</v>
      </c>
      <c r="F54" s="193">
        <f>SUM(F51:F53)</f>
        <v>0.21209999999999998</v>
      </c>
      <c r="G54" s="193">
        <f>SUM(G51:G53)</f>
        <v>0.21209999999999998</v>
      </c>
      <c r="H54" s="194">
        <f>ROUND((SUM(H51:H53)),4)</f>
        <v>0.21210000000000001</v>
      </c>
    </row>
    <row r="55" spans="1:8" ht="15.75" customHeight="1" x14ac:dyDescent="0.25">
      <c r="A55" s="641" t="s">
        <v>330</v>
      </c>
      <c r="B55" s="641"/>
      <c r="C55" s="174">
        <f>ROUND(C46,4)</f>
        <v>0.155</v>
      </c>
      <c r="E55" s="189" t="s">
        <v>331</v>
      </c>
      <c r="F55" s="190">
        <f>F54*F49</f>
        <v>7.2750300000000004E-2</v>
      </c>
      <c r="G55" s="190">
        <f>G54*G49</f>
        <v>8.4415799999999999E-2</v>
      </c>
      <c r="H55" s="191">
        <f>ROUND((H54*H49),4)</f>
        <v>8.4400000000000003E-2</v>
      </c>
    </row>
    <row r="56" spans="1:8" ht="15.75" customHeight="1" x14ac:dyDescent="0.25">
      <c r="A56" s="641" t="s">
        <v>316</v>
      </c>
      <c r="B56" s="641"/>
      <c r="C56" s="174">
        <f>ROUND(C49,4)</f>
        <v>8.0000000000000004E-4</v>
      </c>
      <c r="E56" s="189" t="s">
        <v>332</v>
      </c>
      <c r="F56" s="190">
        <v>3.4909999999999997E-2</v>
      </c>
      <c r="G56" s="190">
        <v>3.4909999999999997E-2</v>
      </c>
      <c r="H56" s="195">
        <f>C33</f>
        <v>3.4909999999999997E-2</v>
      </c>
    </row>
    <row r="57" spans="1:8" ht="15.75" customHeight="1" x14ac:dyDescent="0.25">
      <c r="A57" s="647" t="s">
        <v>333</v>
      </c>
      <c r="B57" s="647"/>
      <c r="C57" s="176">
        <f>SUM(C51:C56)</f>
        <v>0.76400000000000001</v>
      </c>
      <c r="E57" s="196" t="s">
        <v>334</v>
      </c>
      <c r="F57" s="197">
        <f>SUM(F54:F56)</f>
        <v>0.3197603</v>
      </c>
      <c r="G57" s="197">
        <f>SUM(G54:G56)</f>
        <v>0.33142579999999999</v>
      </c>
      <c r="H57" s="198">
        <f>ROUND((SUM(H54:H56)),4)</f>
        <v>0.33139999999999997</v>
      </c>
    </row>
    <row r="58" spans="1:8" ht="24" x14ac:dyDescent="0.25">
      <c r="A58" s="199" t="s">
        <v>50</v>
      </c>
      <c r="B58" s="200"/>
      <c r="C58" s="201"/>
      <c r="E58" s="189" t="s">
        <v>335</v>
      </c>
      <c r="F58" s="190" t="s">
        <v>182</v>
      </c>
      <c r="G58" s="190" t="s">
        <v>182</v>
      </c>
      <c r="H58" s="191" t="s">
        <v>182</v>
      </c>
    </row>
    <row r="59" spans="1:8" ht="54.75" customHeight="1" x14ac:dyDescent="0.25">
      <c r="A59" s="648" t="s">
        <v>336</v>
      </c>
      <c r="B59" s="648"/>
      <c r="C59" s="648"/>
      <c r="E59" s="202" t="s">
        <v>337</v>
      </c>
      <c r="F59" s="203">
        <f>F57</f>
        <v>0.3197603</v>
      </c>
      <c r="G59" s="203">
        <f>G57</f>
        <v>0.33142579999999999</v>
      </c>
      <c r="H59" s="204">
        <f>ROUND((H57),4)</f>
        <v>0.33139999999999997</v>
      </c>
    </row>
    <row r="61" spans="1:8" ht="12.75" customHeight="1" x14ac:dyDescent="0.25"/>
  </sheetData>
  <sheetProtection algorithmName="SHA-512" hashValue="ApbIgTv2HK++dSCbdF/x7uUPR8JjeEabgCiOWifsd9gGA7oRrJ0OjdA+iZ/PA3Nn8jlRElPjP/LDRgvVMVHz4A==" saltValue="+lEeem3HgPOfo0wNXSvXjw==" spinCount="100000" sheet="1" objects="1" scenarios="1"/>
  <mergeCells count="36">
    <mergeCell ref="A54:B54"/>
    <mergeCell ref="A55:B55"/>
    <mergeCell ref="A56:B56"/>
    <mergeCell ref="A57:B57"/>
    <mergeCell ref="A59:C59"/>
    <mergeCell ref="A49:B49"/>
    <mergeCell ref="A50:C50"/>
    <mergeCell ref="A51:B51"/>
    <mergeCell ref="A52:B52"/>
    <mergeCell ref="A53:B53"/>
    <mergeCell ref="E44:H45"/>
    <mergeCell ref="A45:B45"/>
    <mergeCell ref="A46:B46"/>
    <mergeCell ref="E46:E47"/>
    <mergeCell ref="F46:H46"/>
    <mergeCell ref="F47:H47"/>
    <mergeCell ref="A32:B32"/>
    <mergeCell ref="A35:B35"/>
    <mergeCell ref="A37:B37"/>
    <mergeCell ref="B38:C38"/>
    <mergeCell ref="A44:B44"/>
    <mergeCell ref="A25:B25"/>
    <mergeCell ref="B26:C26"/>
    <mergeCell ref="A28:B28"/>
    <mergeCell ref="A29:B29"/>
    <mergeCell ref="B30:C30"/>
    <mergeCell ref="A18:B18"/>
    <mergeCell ref="A19:C19"/>
    <mergeCell ref="A20:C20"/>
    <mergeCell ref="A23:B23"/>
    <mergeCell ref="A24:B24"/>
    <mergeCell ref="A4:C4"/>
    <mergeCell ref="A5:C5"/>
    <mergeCell ref="A6:C6"/>
    <mergeCell ref="A7:C7"/>
    <mergeCell ref="B9:C9"/>
  </mergeCells>
  <printOptions horizontalCentered="1" verticalCentered="1"/>
  <pageMargins left="0.51180555555555596" right="0.51180555555555596" top="0.78749999999999998" bottom="0.78749999999999998" header="0.511811023622047" footer="0.511811023622047"/>
  <pageSetup paperSize="9" scale="5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MK26"/>
  <sheetViews>
    <sheetView showGridLines="0" zoomScaleNormal="100" zoomScaleSheetLayoutView="100" zoomScalePageLayoutView="140" workbookViewId="0">
      <selection activeCell="B14" sqref="B14"/>
    </sheetView>
  </sheetViews>
  <sheetFormatPr defaultColWidth="8.7109375" defaultRowHeight="15" x14ac:dyDescent="0.25"/>
  <cols>
    <col min="1" max="1" width="13.140625" style="1" customWidth="1"/>
    <col min="2" max="2" width="44.42578125" style="1" customWidth="1"/>
    <col min="3" max="3" width="7.140625" style="1" customWidth="1"/>
    <col min="4" max="4" width="6.7109375" style="1" customWidth="1"/>
    <col min="5" max="5" width="10.140625" style="1" customWidth="1"/>
    <col min="6" max="6" width="12.5703125" style="1" customWidth="1"/>
    <col min="7" max="7" width="12.28515625" style="1" customWidth="1"/>
    <col min="8" max="8" width="13.42578125" style="1" customWidth="1"/>
    <col min="9" max="9" width="11.85546875" style="1" customWidth="1"/>
    <col min="10" max="10" width="13.7109375" style="1" customWidth="1"/>
    <col min="11" max="11" width="11.28515625" style="1" customWidth="1"/>
    <col min="12" max="12" width="15.5703125" style="1" customWidth="1"/>
    <col min="13" max="13" width="12.28515625" style="1" customWidth="1"/>
    <col min="14" max="14" width="7.42578125" style="1" customWidth="1"/>
    <col min="15" max="15" width="13.28515625" style="1" customWidth="1"/>
    <col min="16" max="16" width="12" style="1" customWidth="1"/>
    <col min="17" max="17" width="9.5703125" style="1" customWidth="1"/>
    <col min="18" max="18" width="11.28515625" style="1" customWidth="1"/>
    <col min="19" max="19" width="16.140625" style="1" customWidth="1"/>
    <col min="20" max="20" width="12.140625" style="1" customWidth="1"/>
    <col min="21" max="22" width="10.140625" style="1" customWidth="1"/>
    <col min="23" max="23" width="18.7109375" style="1" customWidth="1"/>
    <col min="24" max="259" width="9.140625" style="1" customWidth="1"/>
    <col min="260" max="260" width="13.140625" style="1" customWidth="1"/>
    <col min="261" max="261" width="38.42578125" style="1" customWidth="1"/>
    <col min="262" max="262" width="7.140625" style="1" customWidth="1"/>
    <col min="263" max="263" width="6.7109375" style="1" customWidth="1"/>
    <col min="264" max="264" width="10.140625" style="1" customWidth="1"/>
    <col min="265" max="265" width="12.5703125" style="1" customWidth="1"/>
    <col min="266" max="266" width="12.28515625" style="1" customWidth="1"/>
    <col min="267" max="267" width="13.42578125" style="1" customWidth="1"/>
    <col min="268" max="268" width="12.140625" style="1" customWidth="1"/>
    <col min="269" max="269" width="13.7109375" style="1" customWidth="1"/>
    <col min="270" max="270" width="11.28515625" style="1" customWidth="1"/>
    <col min="271" max="271" width="15.5703125" style="1" customWidth="1"/>
    <col min="272" max="272" width="12.28515625" style="1" customWidth="1"/>
    <col min="273" max="273" width="7.42578125" style="1" customWidth="1"/>
    <col min="274" max="274" width="13.28515625" style="1" customWidth="1"/>
    <col min="275" max="275" width="14" style="1" customWidth="1"/>
    <col min="276" max="276" width="12.140625" style="1" customWidth="1"/>
    <col min="277" max="278" width="10.140625" style="1" customWidth="1"/>
    <col min="279" max="279" width="16.42578125" style="1" customWidth="1"/>
    <col min="280" max="515" width="9.140625" style="1" customWidth="1"/>
    <col min="516" max="516" width="13.140625" style="1" customWidth="1"/>
    <col min="517" max="517" width="38.42578125" style="1" customWidth="1"/>
    <col min="518" max="518" width="7.140625" style="1" customWidth="1"/>
    <col min="519" max="519" width="6.7109375" style="1" customWidth="1"/>
    <col min="520" max="520" width="10.140625" style="1" customWidth="1"/>
    <col min="521" max="521" width="12.5703125" style="1" customWidth="1"/>
    <col min="522" max="522" width="12.28515625" style="1" customWidth="1"/>
    <col min="523" max="523" width="13.42578125" style="1" customWidth="1"/>
    <col min="524" max="524" width="12.140625" style="1" customWidth="1"/>
    <col min="525" max="525" width="13.7109375" style="1" customWidth="1"/>
    <col min="526" max="526" width="11.28515625" style="1" customWidth="1"/>
    <col min="527" max="527" width="15.5703125" style="1" customWidth="1"/>
    <col min="528" max="528" width="12.28515625" style="1" customWidth="1"/>
    <col min="529" max="529" width="7.42578125" style="1" customWidth="1"/>
    <col min="530" max="530" width="13.28515625" style="1" customWidth="1"/>
    <col min="531" max="531" width="14" style="1" customWidth="1"/>
    <col min="532" max="532" width="12.140625" style="1" customWidth="1"/>
    <col min="533" max="534" width="10.140625" style="1" customWidth="1"/>
    <col min="535" max="535" width="16.42578125" style="1" customWidth="1"/>
    <col min="536" max="771" width="9.140625" style="1" customWidth="1"/>
    <col min="772" max="772" width="13.140625" style="1" customWidth="1"/>
    <col min="773" max="773" width="38.42578125" style="1" customWidth="1"/>
    <col min="774" max="774" width="7.140625" style="1" customWidth="1"/>
    <col min="775" max="775" width="6.7109375" style="1" customWidth="1"/>
    <col min="776" max="776" width="10.140625" style="1" customWidth="1"/>
    <col min="777" max="777" width="12.5703125" style="1" customWidth="1"/>
    <col min="778" max="778" width="12.28515625" style="1" customWidth="1"/>
    <col min="779" max="779" width="13.42578125" style="1" customWidth="1"/>
    <col min="780" max="780" width="12.140625" style="1" customWidth="1"/>
    <col min="781" max="781" width="13.7109375" style="1" customWidth="1"/>
    <col min="782" max="782" width="11.28515625" style="1" customWidth="1"/>
    <col min="783" max="783" width="15.5703125" style="1" customWidth="1"/>
    <col min="784" max="784" width="12.28515625" style="1" customWidth="1"/>
    <col min="785" max="785" width="7.42578125" style="1" customWidth="1"/>
    <col min="786" max="786" width="13.28515625" style="1" customWidth="1"/>
    <col min="787" max="787" width="14" style="1" customWidth="1"/>
    <col min="788" max="788" width="12.140625" style="1" customWidth="1"/>
    <col min="789" max="790" width="10.140625" style="1" customWidth="1"/>
    <col min="791" max="791" width="16.42578125" style="1" customWidth="1"/>
    <col min="792" max="1025" width="9.140625" style="1" customWidth="1"/>
  </cols>
  <sheetData>
    <row r="1" spans="1:23" x14ac:dyDescent="0.25">
      <c r="A1" s="4"/>
      <c r="B1" s="326" t="str">
        <f>INSTRUÇÕES!B1</f>
        <v>Tribunal Regional Federal da 6ª Região</v>
      </c>
      <c r="C1" s="206"/>
      <c r="D1" s="206"/>
      <c r="E1" s="206"/>
      <c r="F1" s="206"/>
      <c r="G1" s="206"/>
      <c r="H1" s="206"/>
      <c r="I1" s="206"/>
      <c r="J1" s="327"/>
      <c r="K1" s="327"/>
      <c r="L1" s="327"/>
      <c r="M1" s="327"/>
      <c r="N1" s="327"/>
      <c r="O1" s="327"/>
      <c r="P1" s="327"/>
      <c r="Q1" s="327"/>
      <c r="R1" s="327"/>
      <c r="S1" s="327"/>
      <c r="T1" s="327"/>
      <c r="U1" s="327"/>
      <c r="V1" s="327"/>
      <c r="W1" s="328"/>
    </row>
    <row r="2" spans="1:23" x14ac:dyDescent="0.25">
      <c r="A2" s="329"/>
      <c r="B2" s="116" t="str">
        <f>INSTRUÇÕES!B2</f>
        <v>Seção Judiciária de Minas Gerais</v>
      </c>
      <c r="C2" s="69"/>
      <c r="D2" s="69"/>
      <c r="E2" s="69"/>
      <c r="F2" s="69"/>
      <c r="G2" s="69"/>
      <c r="H2" s="69"/>
      <c r="I2" s="69"/>
      <c r="W2" s="330"/>
    </row>
    <row r="3" spans="1:23" x14ac:dyDescent="0.25">
      <c r="A3" s="329"/>
      <c r="B3" s="116" t="str">
        <f>INSTRUÇÕES!B3</f>
        <v>Subseção Judiciária de Uberaba</v>
      </c>
      <c r="C3" s="69"/>
      <c r="D3" s="69"/>
      <c r="E3" s="69"/>
      <c r="F3" s="69"/>
      <c r="G3" s="69"/>
      <c r="H3" s="69"/>
      <c r="I3" s="69"/>
      <c r="W3" s="330"/>
    </row>
    <row r="4" spans="1:23" s="331" customFormat="1" ht="18.75" customHeight="1" x14ac:dyDescent="0.25">
      <c r="A4" s="649" t="s">
        <v>524</v>
      </c>
      <c r="B4" s="649"/>
      <c r="C4" s="649"/>
      <c r="D4" s="649"/>
      <c r="E4" s="649"/>
      <c r="F4" s="649"/>
      <c r="G4" s="649"/>
      <c r="H4" s="649"/>
      <c r="I4" s="649"/>
      <c r="J4" s="649"/>
      <c r="K4" s="649"/>
      <c r="L4" s="649"/>
      <c r="M4" s="649"/>
      <c r="N4" s="649"/>
      <c r="O4" s="649"/>
      <c r="P4" s="649"/>
      <c r="Q4" s="649"/>
      <c r="R4" s="649"/>
      <c r="S4" s="649"/>
      <c r="T4" s="649"/>
      <c r="U4" s="649"/>
      <c r="V4" s="649"/>
      <c r="W4" s="649"/>
    </row>
    <row r="5" spans="1:23" s="119" customFormat="1" ht="21" customHeight="1" x14ac:dyDescent="0.25">
      <c r="A5" s="650" t="str">
        <f>"PREÇO MENSAL GLOBAL - "&amp;B3</f>
        <v>PREÇO MENSAL GLOBAL - Subseção Judiciária de Uberaba</v>
      </c>
      <c r="B5" s="650"/>
      <c r="C5" s="650"/>
      <c r="D5" s="650"/>
      <c r="E5" s="650"/>
      <c r="F5" s="650"/>
      <c r="G5" s="650"/>
      <c r="H5" s="650"/>
      <c r="I5" s="650"/>
      <c r="J5" s="650"/>
      <c r="K5" s="650"/>
      <c r="L5" s="650"/>
      <c r="M5" s="650"/>
      <c r="N5" s="650"/>
      <c r="O5" s="650"/>
      <c r="P5" s="650"/>
      <c r="Q5" s="650"/>
      <c r="R5" s="650"/>
      <c r="S5" s="650"/>
      <c r="T5" s="650"/>
      <c r="U5" s="650"/>
      <c r="V5" s="650"/>
      <c r="W5" s="650"/>
    </row>
    <row r="6" spans="1:23" s="3" customFormat="1" ht="23.25" customHeight="1" x14ac:dyDescent="0.25">
      <c r="A6" s="651" t="str">
        <f>Dados!A4</f>
        <v>Sindicato utilizado - SINTAPPI x SINSERHT. Vigência: 2024/2025. Sendo a data base da categoria 01° de Abril. Com número de registro no MTE MG002103/2024.</v>
      </c>
      <c r="B6" s="651"/>
      <c r="C6" s="651"/>
      <c r="D6" s="651"/>
      <c r="E6" s="651"/>
      <c r="F6" s="651"/>
      <c r="G6" s="651"/>
      <c r="H6" s="651"/>
      <c r="I6" s="651"/>
      <c r="J6" s="651"/>
      <c r="K6" s="651"/>
      <c r="L6" s="651"/>
      <c r="M6" s="651"/>
      <c r="N6" s="651"/>
      <c r="O6" s="651"/>
      <c r="P6" s="651"/>
      <c r="Q6" s="651"/>
      <c r="R6" s="651"/>
      <c r="S6" s="651"/>
      <c r="T6" s="651"/>
      <c r="U6" s="651"/>
      <c r="V6" s="651"/>
      <c r="W6" s="651"/>
    </row>
    <row r="7" spans="1:23" s="17" customFormat="1" ht="18.75" customHeight="1" x14ac:dyDescent="0.25">
      <c r="A7" s="332"/>
      <c r="B7" s="333"/>
      <c r="C7" s="333"/>
      <c r="D7" s="333"/>
      <c r="E7" s="334"/>
      <c r="F7" s="334"/>
      <c r="G7" s="334"/>
      <c r="H7" s="335" t="s">
        <v>412</v>
      </c>
      <c r="I7" s="336"/>
      <c r="J7" s="336"/>
      <c r="K7" s="334"/>
      <c r="L7" s="334"/>
      <c r="M7" s="334"/>
      <c r="N7" s="334"/>
      <c r="O7" s="334"/>
      <c r="P7" s="334"/>
      <c r="Q7" s="334"/>
      <c r="R7" s="334"/>
      <c r="S7" s="652" t="s">
        <v>413</v>
      </c>
      <c r="T7" s="652"/>
      <c r="U7" s="652"/>
      <c r="V7" s="652"/>
      <c r="W7" s="652"/>
    </row>
    <row r="8" spans="1:23" s="17" customFormat="1" ht="22.5" customHeight="1" x14ac:dyDescent="0.25">
      <c r="A8" s="653" t="s">
        <v>414</v>
      </c>
      <c r="B8" s="655" t="s">
        <v>415</v>
      </c>
      <c r="C8" s="655"/>
      <c r="D8" s="656" t="s">
        <v>44</v>
      </c>
      <c r="E8" s="656"/>
      <c r="F8" s="656"/>
      <c r="G8" s="656"/>
      <c r="H8" s="656"/>
      <c r="I8" s="656"/>
      <c r="J8" s="656"/>
      <c r="K8" s="656"/>
      <c r="L8" s="656"/>
      <c r="M8" s="656"/>
      <c r="N8" s="656"/>
      <c r="O8" s="656"/>
      <c r="P8" s="656"/>
      <c r="Q8" s="656"/>
      <c r="R8" s="656"/>
      <c r="S8" s="656"/>
      <c r="T8" s="656"/>
      <c r="U8" s="656"/>
      <c r="V8" s="656"/>
      <c r="W8" s="657" t="s">
        <v>416</v>
      </c>
    </row>
    <row r="9" spans="1:23" s="17" customFormat="1" ht="20.25" customHeight="1" x14ac:dyDescent="0.25">
      <c r="A9" s="653"/>
      <c r="B9" s="655"/>
      <c r="C9" s="655"/>
      <c r="D9" s="658" t="s">
        <v>417</v>
      </c>
      <c r="E9" s="658"/>
      <c r="F9" s="658"/>
      <c r="G9" s="658" t="s">
        <v>418</v>
      </c>
      <c r="H9" s="658"/>
      <c r="I9" s="658"/>
      <c r="J9" s="659" t="s">
        <v>419</v>
      </c>
      <c r="K9" s="659"/>
      <c r="L9" s="659"/>
      <c r="M9" s="659"/>
      <c r="N9" s="659"/>
      <c r="O9" s="659"/>
      <c r="P9" s="660" t="s">
        <v>420</v>
      </c>
      <c r="Q9" s="660"/>
      <c r="R9" s="660"/>
      <c r="S9" s="337" t="s">
        <v>421</v>
      </c>
      <c r="T9" s="661" t="s">
        <v>422</v>
      </c>
      <c r="U9" s="661"/>
      <c r="V9" s="661"/>
      <c r="W9" s="657"/>
    </row>
    <row r="10" spans="1:23" s="17" customFormat="1" ht="27.75" customHeight="1" thickBot="1" x14ac:dyDescent="0.3">
      <c r="A10" s="653"/>
      <c r="B10" s="655"/>
      <c r="C10" s="655"/>
      <c r="D10" s="662" t="s">
        <v>423</v>
      </c>
      <c r="E10" s="662"/>
      <c r="F10" s="662"/>
      <c r="G10" s="674" t="s">
        <v>424</v>
      </c>
      <c r="H10" s="664" t="s">
        <v>425</v>
      </c>
      <c r="I10" s="664"/>
      <c r="J10" s="676" t="s">
        <v>426</v>
      </c>
      <c r="K10" s="676"/>
      <c r="L10" s="676"/>
      <c r="M10" s="677" t="s">
        <v>427</v>
      </c>
      <c r="N10" s="677"/>
      <c r="O10" s="677"/>
      <c r="P10" s="673" t="s">
        <v>428</v>
      </c>
      <c r="Q10" s="673"/>
      <c r="R10" s="673"/>
      <c r="S10" s="663" t="s">
        <v>429</v>
      </c>
      <c r="T10" s="673" t="s">
        <v>430</v>
      </c>
      <c r="U10" s="673"/>
      <c r="V10" s="673"/>
      <c r="W10" s="657"/>
    </row>
    <row r="11" spans="1:23" s="17" customFormat="1" ht="64.5" thickBot="1" x14ac:dyDescent="0.3">
      <c r="A11" s="654"/>
      <c r="B11" s="338" t="s">
        <v>25</v>
      </c>
      <c r="C11" s="339" t="s">
        <v>26</v>
      </c>
      <c r="D11" s="340" t="s">
        <v>24</v>
      </c>
      <c r="E11" s="341" t="s">
        <v>431</v>
      </c>
      <c r="F11" s="342" t="s">
        <v>432</v>
      </c>
      <c r="G11" s="674"/>
      <c r="H11" s="343" t="s">
        <v>433</v>
      </c>
      <c r="I11" s="344" t="s">
        <v>434</v>
      </c>
      <c r="J11" s="345" t="s">
        <v>435</v>
      </c>
      <c r="K11" s="343" t="s">
        <v>33</v>
      </c>
      <c r="L11" s="346" t="s">
        <v>436</v>
      </c>
      <c r="M11" s="338" t="s">
        <v>437</v>
      </c>
      <c r="N11" s="341" t="s">
        <v>34</v>
      </c>
      <c r="O11" s="347" t="s">
        <v>438</v>
      </c>
      <c r="P11" s="338" t="s">
        <v>439</v>
      </c>
      <c r="Q11" s="341" t="s">
        <v>440</v>
      </c>
      <c r="R11" s="339" t="s">
        <v>441</v>
      </c>
      <c r="S11" s="663"/>
      <c r="T11" s="338" t="s">
        <v>442</v>
      </c>
      <c r="U11" s="341" t="s">
        <v>443</v>
      </c>
      <c r="V11" s="348" t="s">
        <v>444</v>
      </c>
      <c r="W11" s="657"/>
    </row>
    <row r="12" spans="1:23" s="17" customFormat="1" ht="15.75" customHeight="1" x14ac:dyDescent="0.25">
      <c r="A12" s="675" t="s">
        <v>445</v>
      </c>
      <c r="B12" s="349" t="str">
        <f>Dados!C7</f>
        <v>Servente de Limpeza (40% Insalubridade)</v>
      </c>
      <c r="C12" s="350">
        <f>Dados!D7</f>
        <v>200</v>
      </c>
      <c r="D12" s="351">
        <f>Dados!B7</f>
        <v>1</v>
      </c>
      <c r="E12" s="352">
        <f>'Servente Insalubridade'!$F$45</f>
        <v>6152.04</v>
      </c>
      <c r="F12" s="353">
        <f t="shared" ref="F12:F18" si="0">ROUND((D12*E12),2)</f>
        <v>6152.04</v>
      </c>
      <c r="G12" s="354">
        <f>'Servente Insalubridade'!$I$45</f>
        <v>157.58000000000001</v>
      </c>
      <c r="H12" s="355">
        <f>'Ocorrências Mensais - FAT'!F11+'Ocorrências Mensais - FAT'!H11</f>
        <v>0</v>
      </c>
      <c r="I12" s="356">
        <f>(ROUND((G12/Dados!$G$37*H12)-(G12/'Ocorrências Mensais - FAT'!$E$5*'Ocorrências Mensais - FAT'!G11),2))</f>
        <v>0</v>
      </c>
      <c r="J12" s="357">
        <f>'Servente Insalubridade'!$G$45</f>
        <v>5139.0200000000004</v>
      </c>
      <c r="K12" s="355">
        <f>'Ocorrências Mensais - FAT'!K11</f>
        <v>0</v>
      </c>
      <c r="L12" s="356">
        <f>J12/'Ocorrências Mensais - FAT'!$E$5*K12</f>
        <v>0</v>
      </c>
      <c r="M12" s="358">
        <f>'Custo Estimado Substituto'!$F$33</f>
        <v>4486.04</v>
      </c>
      <c r="N12" s="359">
        <f>'Ocorrências Mensais - FAT'!L11</f>
        <v>0</v>
      </c>
      <c r="O12" s="360">
        <f>M12/'Ocorrências Mensais - FAT'!$E$5*N12</f>
        <v>0</v>
      </c>
      <c r="P12" s="361">
        <f>'Servente Insalubridade'!$H$45</f>
        <v>595.66</v>
      </c>
      <c r="Q12" s="362">
        <f>'Ocorrências Mensais - FAT'!M11</f>
        <v>0</v>
      </c>
      <c r="R12" s="360">
        <f>ROUND((P12/Dados!$G$40*Q12),2)</f>
        <v>0</v>
      </c>
      <c r="S12" s="363">
        <f t="shared" ref="S12:S18" si="1">I12+L12+O12+R12</f>
        <v>0</v>
      </c>
      <c r="T12" s="364"/>
      <c r="U12" s="365"/>
      <c r="V12" s="366"/>
      <c r="W12" s="367">
        <f t="shared" ref="W12:W18" si="2">ROUND((F12-S12+V12),2)</f>
        <v>6152.04</v>
      </c>
    </row>
    <row r="13" spans="1:23" s="17" customFormat="1" ht="15.75" x14ac:dyDescent="0.25">
      <c r="A13" s="675"/>
      <c r="B13" s="349" t="str">
        <f>Dados!C8</f>
        <v xml:space="preserve">Servente de Limpeza  </v>
      </c>
      <c r="C13" s="350">
        <f>Dados!D8</f>
        <v>200</v>
      </c>
      <c r="D13" s="351">
        <f>Dados!B8</f>
        <v>4</v>
      </c>
      <c r="E13" s="352">
        <f>Servente!$F$45</f>
        <v>4903.18</v>
      </c>
      <c r="F13" s="353">
        <f t="shared" si="0"/>
        <v>19612.72</v>
      </c>
      <c r="G13" s="368">
        <f>Servente!$I$45</f>
        <v>157.58000000000001</v>
      </c>
      <c r="H13" s="369">
        <f>'Ocorrências Mensais - FAT'!F12+'Ocorrências Mensais - FAT'!H12</f>
        <v>0</v>
      </c>
      <c r="I13" s="370">
        <f>(ROUND((G13/Dados!$G$37*H13)-(G13/'Ocorrências Mensais - FAT'!$E$5*'Ocorrências Mensais - FAT'!G12),2))</f>
        <v>0</v>
      </c>
      <c r="J13" s="371">
        <f>Servente!$G$45</f>
        <v>3890.15</v>
      </c>
      <c r="K13" s="369">
        <f>'Ocorrências Mensais - FAT'!K12</f>
        <v>0</v>
      </c>
      <c r="L13" s="370">
        <f>J13/'Ocorrências Mensais - FAT'!$E$5*K13</f>
        <v>0</v>
      </c>
      <c r="M13" s="371">
        <f>'Custo Estimado Substituto'!G33</f>
        <v>3406.48</v>
      </c>
      <c r="N13" s="369">
        <f>'Ocorrências Mensais - FAT'!L12</f>
        <v>0</v>
      </c>
      <c r="O13" s="372">
        <f>M13/'Ocorrências Mensais - FAT'!$E$5*N13</f>
        <v>0</v>
      </c>
      <c r="P13" s="373">
        <f>Servente!$H$45</f>
        <v>595.66</v>
      </c>
      <c r="Q13" s="374">
        <f>'Ocorrências Mensais - FAT'!M12</f>
        <v>0</v>
      </c>
      <c r="R13" s="372">
        <f>ROUND((P13/Dados!$G$40*Q13),2)</f>
        <v>0</v>
      </c>
      <c r="S13" s="375">
        <f t="shared" si="1"/>
        <v>0</v>
      </c>
      <c r="T13" s="368">
        <f>'Servente Insalubridade'!$J$46</f>
        <v>41.63</v>
      </c>
      <c r="U13" s="374">
        <f>'Ocorrências Mensais - FAT'!N12</f>
        <v>0</v>
      </c>
      <c r="V13" s="376">
        <f>T13*U13</f>
        <v>0</v>
      </c>
      <c r="W13" s="367">
        <f t="shared" si="2"/>
        <v>19612.72</v>
      </c>
    </row>
    <row r="14" spans="1:23" s="17" customFormat="1" ht="15.75" x14ac:dyDescent="0.25">
      <c r="A14" s="675"/>
      <c r="B14" s="349" t="str">
        <f>Dados!C9</f>
        <v>Servente acúmulo função Copeira</v>
      </c>
      <c r="C14" s="350">
        <f>Dados!D9</f>
        <v>200</v>
      </c>
      <c r="D14" s="351">
        <f>Dados!B9</f>
        <v>1</v>
      </c>
      <c r="E14" s="352">
        <f>'Servente acúm. Copeira'!$F$45</f>
        <v>5669.34</v>
      </c>
      <c r="F14" s="353">
        <f t="shared" si="0"/>
        <v>5669.34</v>
      </c>
      <c r="G14" s="368">
        <f>'Servente acúm. Copeira'!$I$45</f>
        <v>157.58000000000001</v>
      </c>
      <c r="H14" s="369">
        <f>'Ocorrências Mensais - FAT'!F13+'Ocorrências Mensais - FAT'!H13</f>
        <v>0</v>
      </c>
      <c r="I14" s="370">
        <f>(ROUND((G14/Dados!$G$37*H14)-(G14/'Ocorrências Mensais - FAT'!$E$5*'Ocorrências Mensais - FAT'!G13),2))</f>
        <v>0</v>
      </c>
      <c r="J14" s="371">
        <f>'Servente acúm. Copeira'!$G$45</f>
        <v>4043.46</v>
      </c>
      <c r="K14" s="369">
        <f>'Ocorrências Mensais - FAT'!K13</f>
        <v>0</v>
      </c>
      <c r="L14" s="370">
        <f>J14/'Ocorrências Mensais - FAT'!$E$5*K14</f>
        <v>0</v>
      </c>
      <c r="M14" s="371">
        <f>'Custo Estimado Substituto'!H33</f>
        <v>3533.73</v>
      </c>
      <c r="N14" s="369">
        <f>'Ocorrências Mensais - FAT'!L13</f>
        <v>0</v>
      </c>
      <c r="O14" s="372">
        <f>M14/'Ocorrências Mensais - FAT'!$E$5*N14</f>
        <v>0</v>
      </c>
      <c r="P14" s="373">
        <f>'Servente acúm. Copeira'!$H$45</f>
        <v>595.66</v>
      </c>
      <c r="Q14" s="374">
        <f>'Ocorrências Mensais - FAT'!M13</f>
        <v>0</v>
      </c>
      <c r="R14" s="372">
        <f>ROUND((P14/Dados!$G$40*Q14),2)</f>
        <v>0</v>
      </c>
      <c r="S14" s="375">
        <f t="shared" si="1"/>
        <v>0</v>
      </c>
      <c r="T14" s="377"/>
      <c r="U14" s="378"/>
      <c r="V14" s="379"/>
      <c r="W14" s="367">
        <f t="shared" si="2"/>
        <v>5669.34</v>
      </c>
    </row>
    <row r="15" spans="1:23" s="17" customFormat="1" ht="15.75" x14ac:dyDescent="0.25">
      <c r="A15" s="675"/>
      <c r="B15" s="349" t="str">
        <f>Dados!C10</f>
        <v>Servente acúmulo função Jardineiro</v>
      </c>
      <c r="C15" s="350">
        <f>Dados!D10</f>
        <v>200</v>
      </c>
      <c r="D15" s="351">
        <f>Dados!B10</f>
        <v>1</v>
      </c>
      <c r="E15" s="352">
        <f>'Servente acúm. Jardineiro'!F45</f>
        <v>5006.6899999999996</v>
      </c>
      <c r="F15" s="353">
        <f t="shared" si="0"/>
        <v>5006.6899999999996</v>
      </c>
      <c r="G15" s="368">
        <f>'Servente acúm. Jardineiro'!I45</f>
        <v>157.58000000000001</v>
      </c>
      <c r="H15" s="369">
        <f>'Ocorrências Mensais - FAT'!F14+'Ocorrências Mensais - FAT'!H14</f>
        <v>0</v>
      </c>
      <c r="I15" s="370">
        <f>(ROUND((G15/Dados!$G$37*H15)-(G15/'Ocorrências Mensais - FAT'!$E$5*'Ocorrências Mensais - FAT'!G14),2))</f>
        <v>0</v>
      </c>
      <c r="J15" s="371">
        <f>'Servente acúm. Jardineiro'!G45</f>
        <v>3993.66</v>
      </c>
      <c r="K15" s="369">
        <f>'Ocorrências Mensais - FAT'!K14</f>
        <v>0</v>
      </c>
      <c r="L15" s="370">
        <f>J15/'Ocorrências Mensais - FAT'!$E$5*K15</f>
        <v>0</v>
      </c>
      <c r="M15" s="371">
        <f>'Custo Estimado Substituto'!I33</f>
        <v>3485.9</v>
      </c>
      <c r="N15" s="369">
        <f>'Ocorrências Mensais - FAT'!L14</f>
        <v>0</v>
      </c>
      <c r="O15" s="372">
        <f>M15/'Ocorrências Mensais - FAT'!$E$5*N15</f>
        <v>0</v>
      </c>
      <c r="P15" s="373">
        <f>'Servente acúm. Jardineiro'!H45</f>
        <v>595.66</v>
      </c>
      <c r="Q15" s="374">
        <f>'Ocorrências Mensais - FAT'!M14</f>
        <v>0</v>
      </c>
      <c r="R15" s="372">
        <f>ROUND((P15/Dados!$G$40*Q15),2)</f>
        <v>0</v>
      </c>
      <c r="S15" s="375">
        <f t="shared" si="1"/>
        <v>0</v>
      </c>
      <c r="T15" s="377"/>
      <c r="U15" s="378"/>
      <c r="V15" s="379"/>
      <c r="W15" s="367">
        <f t="shared" si="2"/>
        <v>5006.6899999999996</v>
      </c>
    </row>
    <row r="16" spans="1:23" s="17" customFormat="1" ht="15.75" x14ac:dyDescent="0.25">
      <c r="A16" s="675"/>
      <c r="B16" s="349" t="str">
        <f>Dados!C11</f>
        <v>Zelador acúmulo função Lavador de Carro</v>
      </c>
      <c r="C16" s="350">
        <f>Dados!D11</f>
        <v>200</v>
      </c>
      <c r="D16" s="351">
        <f>Dados!B11</f>
        <v>1</v>
      </c>
      <c r="E16" s="352">
        <f>'Zelador acúm. Lavador Carros'!$F$45</f>
        <v>5876.36</v>
      </c>
      <c r="F16" s="353">
        <f t="shared" si="0"/>
        <v>5876.36</v>
      </c>
      <c r="G16" s="368">
        <f>'Zelador acúm. Lavador Carros'!$I$45</f>
        <v>105.99</v>
      </c>
      <c r="H16" s="369">
        <f>'Ocorrências Mensais - FAT'!F15+'Ocorrências Mensais - FAT'!H15</f>
        <v>0</v>
      </c>
      <c r="I16" s="370">
        <f>(ROUND((G16/Dados!$G$37*H16)-(G16/'Ocorrências Mensais - FAT'!$E$5*'Ocorrências Mensais - FAT'!G15),2))</f>
        <v>0</v>
      </c>
      <c r="J16" s="371">
        <f>'Zelador acúm. Lavador Carros'!$G$45</f>
        <v>5523.47</v>
      </c>
      <c r="K16" s="369">
        <f>'Ocorrências Mensais - FAT'!K15</f>
        <v>0</v>
      </c>
      <c r="L16" s="370">
        <f>J16/'Ocorrências Mensais - FAT'!$E$5*K16</f>
        <v>0</v>
      </c>
      <c r="M16" s="371">
        <f>'Custo Estimado Substituto'!J33</f>
        <v>4784.920000000001</v>
      </c>
      <c r="N16" s="369">
        <f>'Ocorrências Mensais - FAT'!L15</f>
        <v>0</v>
      </c>
      <c r="O16" s="372">
        <f>M16/'Ocorrências Mensais - FAT'!$E$5*N16</f>
        <v>0</v>
      </c>
      <c r="P16" s="373">
        <f>'Zelador acúm. Lavador Carros'!$H$45</f>
        <v>595.66</v>
      </c>
      <c r="Q16" s="374">
        <f>'Ocorrências Mensais - FAT'!M15</f>
        <v>0</v>
      </c>
      <c r="R16" s="372">
        <f>ROUND((P16/Dados!$G$40*Q16),2)</f>
        <v>0</v>
      </c>
      <c r="S16" s="375">
        <f t="shared" si="1"/>
        <v>0</v>
      </c>
      <c r="T16" s="377"/>
      <c r="U16" s="378"/>
      <c r="V16" s="379"/>
      <c r="W16" s="367">
        <f t="shared" si="2"/>
        <v>5876.36</v>
      </c>
    </row>
    <row r="17" spans="1:25" s="17" customFormat="1" ht="15.75" x14ac:dyDescent="0.25">
      <c r="A17" s="671" t="s">
        <v>526</v>
      </c>
      <c r="B17" s="349" t="str">
        <f>Dados!C12</f>
        <v>Encarregado</v>
      </c>
      <c r="C17" s="350">
        <f>Dados!D12</f>
        <v>200</v>
      </c>
      <c r="D17" s="351">
        <f>Dados!B12</f>
        <v>1</v>
      </c>
      <c r="E17" s="136">
        <f>Encarregado!F45</f>
        <v>5354.2</v>
      </c>
      <c r="F17" s="353">
        <f>ROUND((D17*E17),2)</f>
        <v>5354.2</v>
      </c>
      <c r="G17" s="385">
        <f>Encarregado!I45</f>
        <v>106.14</v>
      </c>
      <c r="H17" s="369">
        <f>'Ocorrências Mensais - FAT'!F16+'Ocorrências Mensais - FAT'!H16</f>
        <v>0</v>
      </c>
      <c r="I17" s="370">
        <f>(ROUND((G17/Dados!$G$37*H17)-(G17/'Ocorrências Mensais - FAT'!$E$5*'Ocorrências Mensais - FAT'!G16),2))</f>
        <v>0</v>
      </c>
      <c r="J17" s="388">
        <f>Encarregado!G45</f>
        <v>5354.2</v>
      </c>
      <c r="K17" s="369">
        <f>'Ocorrências Mensais - FAT'!K16</f>
        <v>0</v>
      </c>
      <c r="L17" s="370">
        <f>J17/'Ocorrências Mensais - FAT'!$E$5*K17</f>
        <v>0</v>
      </c>
      <c r="M17" s="388">
        <f>'Custo Estimado Substituto'!K33</f>
        <v>4662.3200000000006</v>
      </c>
      <c r="N17" s="369">
        <f>'Ocorrências Mensais - FAT'!L16</f>
        <v>0</v>
      </c>
      <c r="O17" s="372">
        <f>M17/'Ocorrências Mensais - FAT'!$E$5*N17</f>
        <v>0</v>
      </c>
      <c r="P17" s="390">
        <f>Encarregado!H45</f>
        <v>595.66</v>
      </c>
      <c r="Q17" s="374">
        <f>'Ocorrências Mensais - FAT'!M16</f>
        <v>0</v>
      </c>
      <c r="R17" s="372">
        <f>ROUND((P17/Dados!$G$40*Q17),2)</f>
        <v>0</v>
      </c>
      <c r="S17" s="375">
        <f t="shared" si="1"/>
        <v>0</v>
      </c>
      <c r="T17" s="393"/>
      <c r="U17" s="394"/>
      <c r="V17" s="395"/>
      <c r="W17" s="367">
        <f>ROUND((F17-S17+V17),2)</f>
        <v>5354.2</v>
      </c>
    </row>
    <row r="18" spans="1:25" s="17" customFormat="1" ht="16.5" thickBot="1" x14ac:dyDescent="0.3">
      <c r="A18" s="672"/>
      <c r="B18" s="380" t="str">
        <f>Dados!C13</f>
        <v>Auxiliar Administrativo</v>
      </c>
      <c r="C18" s="381">
        <f>Dados!D13</f>
        <v>200</v>
      </c>
      <c r="D18" s="382">
        <v>13</v>
      </c>
      <c r="E18" s="383">
        <f>'Auxiliar Adm'!$F$45</f>
        <v>4645.07</v>
      </c>
      <c r="F18" s="384">
        <f t="shared" si="0"/>
        <v>60385.91</v>
      </c>
      <c r="G18" s="385">
        <f>'Auxiliar Adm'!$I$45</f>
        <v>131.12</v>
      </c>
      <c r="H18" s="386">
        <f>'Ocorrências Mensais - FAT'!F17+'Ocorrências Mensais - FAT'!H17</f>
        <v>0</v>
      </c>
      <c r="I18" s="387">
        <f>(ROUND((G18/Dados!$G$37*H18)-(G18/'Ocorrências Mensais - FAT'!$E$5*'Ocorrências Mensais - FAT'!G17),2))</f>
        <v>0</v>
      </c>
      <c r="J18" s="388">
        <f>'Auxiliar Adm'!$G$45</f>
        <v>4645.07</v>
      </c>
      <c r="K18" s="386">
        <f>'Ocorrências Mensais - FAT'!K17</f>
        <v>0</v>
      </c>
      <c r="L18" s="387">
        <f>J18/'Ocorrências Mensais - FAT'!$E$5*K18</f>
        <v>0</v>
      </c>
      <c r="M18" s="388">
        <f>'Custo Estimado Substituto'!L33</f>
        <v>4052.83</v>
      </c>
      <c r="N18" s="386">
        <f>'Ocorrências Mensais - FAT'!L17</f>
        <v>0</v>
      </c>
      <c r="O18" s="389">
        <f>M18/'Ocorrências Mensais - FAT'!$E$5*N18</f>
        <v>0</v>
      </c>
      <c r="P18" s="390">
        <f>'Auxiliar Adm'!$H$45</f>
        <v>595.66</v>
      </c>
      <c r="Q18" s="391">
        <f>'Ocorrências Mensais - FAT'!M17</f>
        <v>0</v>
      </c>
      <c r="R18" s="389">
        <f>ROUND((P18/Dados!$G$40*Q18),2)</f>
        <v>0</v>
      </c>
      <c r="S18" s="392">
        <f t="shared" si="1"/>
        <v>0</v>
      </c>
      <c r="T18" s="393"/>
      <c r="U18" s="394"/>
      <c r="V18" s="395"/>
      <c r="W18" s="396">
        <f t="shared" si="2"/>
        <v>60385.91</v>
      </c>
    </row>
    <row r="19" spans="1:25" s="64" customFormat="1" ht="21.75" customHeight="1" thickBot="1" x14ac:dyDescent="0.3">
      <c r="A19" s="657" t="s">
        <v>446</v>
      </c>
      <c r="B19" s="666"/>
      <c r="C19" s="666"/>
      <c r="D19" s="397">
        <f>SUM(D12:D18)</f>
        <v>22</v>
      </c>
      <c r="E19" s="398"/>
      <c r="F19" s="399">
        <f>SUM(F12:F18)</f>
        <v>108057.26000000001</v>
      </c>
      <c r="G19" s="400"/>
      <c r="H19" s="398">
        <f t="shared" ref="H19:O19" si="3">SUM(H12:H18)</f>
        <v>0</v>
      </c>
      <c r="I19" s="401">
        <f t="shared" si="3"/>
        <v>0</v>
      </c>
      <c r="J19" s="402">
        <f t="shared" si="3"/>
        <v>32589.030000000002</v>
      </c>
      <c r="K19" s="398">
        <f t="shared" si="3"/>
        <v>0</v>
      </c>
      <c r="L19" s="401">
        <f t="shared" si="3"/>
        <v>0</v>
      </c>
      <c r="M19" s="403">
        <f t="shared" si="3"/>
        <v>28412.22</v>
      </c>
      <c r="N19" s="398">
        <f t="shared" si="3"/>
        <v>0</v>
      </c>
      <c r="O19" s="399">
        <f t="shared" si="3"/>
        <v>0</v>
      </c>
      <c r="P19" s="400"/>
      <c r="Q19" s="398">
        <f>SUM(Q12:Q18)</f>
        <v>0</v>
      </c>
      <c r="R19" s="399">
        <f>SUM(R12:R18)</f>
        <v>0</v>
      </c>
      <c r="S19" s="404">
        <f>SUM(S12:S18)</f>
        <v>0</v>
      </c>
      <c r="T19" s="405"/>
      <c r="U19" s="398">
        <f>SUM(U12:U18)</f>
        <v>0</v>
      </c>
      <c r="V19" s="401">
        <f>SUM(V12:V18)</f>
        <v>0</v>
      </c>
      <c r="W19" s="406">
        <f>SUM(W12:W18)</f>
        <v>108057.26000000001</v>
      </c>
      <c r="X19" s="407" t="s">
        <v>447</v>
      </c>
      <c r="Y19" s="107"/>
    </row>
    <row r="20" spans="1:25" s="58" customFormat="1" ht="18" customHeight="1" thickBot="1" x14ac:dyDescent="0.3">
      <c r="A20" s="667" t="s">
        <v>448</v>
      </c>
      <c r="B20" s="667"/>
      <c r="C20" s="667"/>
      <c r="D20" s="667"/>
      <c r="E20" s="667"/>
      <c r="F20" s="667"/>
      <c r="G20" s="667"/>
      <c r="H20" s="667"/>
      <c r="I20" s="667"/>
      <c r="J20" s="667"/>
      <c r="K20" s="667"/>
      <c r="L20" s="667"/>
      <c r="M20" s="667"/>
      <c r="N20" s="667"/>
      <c r="O20" s="667"/>
      <c r="P20" s="667"/>
      <c r="Q20" s="667"/>
      <c r="R20" s="667"/>
      <c r="S20" s="667"/>
      <c r="T20" s="667"/>
      <c r="U20" s="667"/>
      <c r="V20" s="667"/>
      <c r="W20" s="408">
        <f>Materiais!K89+Materiais!K77+Materiais!K61</f>
        <v>6427.5849999999991</v>
      </c>
    </row>
    <row r="21" spans="1:25" s="58" customFormat="1" ht="20.25" customHeight="1" x14ac:dyDescent="0.25">
      <c r="A21" s="667" t="s">
        <v>449</v>
      </c>
      <c r="B21" s="667"/>
      <c r="C21" s="667"/>
      <c r="D21" s="667"/>
      <c r="E21" s="667"/>
      <c r="F21" s="667"/>
      <c r="G21" s="667"/>
      <c r="H21" s="667"/>
      <c r="I21" s="667"/>
      <c r="J21" s="667"/>
      <c r="K21" s="667"/>
      <c r="L21" s="667"/>
      <c r="M21" s="667"/>
      <c r="N21" s="667"/>
      <c r="O21" s="667"/>
      <c r="P21" s="667"/>
      <c r="Q21" s="667"/>
      <c r="R21" s="667"/>
      <c r="S21" s="667"/>
      <c r="T21" s="667"/>
      <c r="U21" s="667"/>
      <c r="V21" s="667"/>
      <c r="W21" s="409">
        <f>W19*12</f>
        <v>1296687.1200000001</v>
      </c>
    </row>
    <row r="22" spans="1:25" s="69" customFormat="1" ht="24" customHeight="1" x14ac:dyDescent="0.25">
      <c r="A22" s="668" t="s">
        <v>50</v>
      </c>
      <c r="B22" s="668"/>
      <c r="C22" s="668"/>
      <c r="D22" s="668"/>
      <c r="E22" s="668"/>
      <c r="F22" s="668"/>
      <c r="G22" s="668"/>
      <c r="H22" s="668"/>
      <c r="I22" s="668"/>
      <c r="J22" s="668"/>
      <c r="K22" s="668"/>
      <c r="L22" s="668"/>
      <c r="M22" s="668"/>
      <c r="N22" s="668"/>
      <c r="O22" s="668"/>
      <c r="P22" s="668"/>
      <c r="Q22" s="668"/>
      <c r="R22" s="668"/>
      <c r="S22" s="668"/>
      <c r="T22" s="668"/>
      <c r="U22" s="668"/>
      <c r="V22" s="668"/>
      <c r="W22" s="668"/>
    </row>
    <row r="23" spans="1:25" s="58" customFormat="1" ht="12.75" x14ac:dyDescent="0.25">
      <c r="A23" s="669" t="str">
        <f>CONCATENATE("1. Nas FÉRIAS SEM SUBSTITUIÇÃO DA SERVENTE INSALUBRE, quando o trabalho de limpeza de banheiros públicos ou de grande circulação for efetuado por outra servente do quadro, deverá ser acrescentado o valor de R$",T13," por dia em que este fato ocorrer.")</f>
        <v>1. Nas FÉRIAS SEM SUBSTITUIÇÃO DA SERVENTE INSALUBRE, quando o trabalho de limpeza de banheiros públicos ou de grande circulação for efetuado por outra servente do quadro, deverá ser acrescentado o valor de R$41,63 por dia em que este fato ocorrer.</v>
      </c>
      <c r="B23" s="669"/>
      <c r="C23" s="669"/>
      <c r="D23" s="669"/>
      <c r="E23" s="669"/>
      <c r="F23" s="669"/>
      <c r="G23" s="669"/>
      <c r="H23" s="669"/>
      <c r="I23" s="669"/>
      <c r="J23" s="669"/>
      <c r="K23" s="669"/>
      <c r="L23" s="669"/>
      <c r="M23" s="669"/>
      <c r="N23" s="669"/>
      <c r="O23" s="669"/>
      <c r="P23" s="669"/>
      <c r="Q23" s="669"/>
      <c r="R23" s="669"/>
      <c r="S23" s="669"/>
      <c r="T23" s="669"/>
      <c r="U23" s="669"/>
      <c r="V23" s="669"/>
      <c r="W23" s="669"/>
    </row>
    <row r="24" spans="1:25" s="410" customFormat="1" ht="18.75" customHeight="1" x14ac:dyDescent="0.25">
      <c r="A24" s="670" t="s">
        <v>450</v>
      </c>
      <c r="B24" s="670"/>
      <c r="C24" s="670"/>
      <c r="D24" s="670"/>
      <c r="E24" s="670"/>
      <c r="F24" s="670"/>
      <c r="G24" s="670"/>
      <c r="H24" s="670"/>
      <c r="I24" s="670"/>
      <c r="J24" s="670"/>
      <c r="K24" s="670"/>
      <c r="L24" s="670"/>
      <c r="M24" s="670"/>
      <c r="N24" s="670"/>
      <c r="O24" s="670"/>
      <c r="P24" s="670"/>
      <c r="Q24" s="670"/>
      <c r="R24" s="670"/>
      <c r="S24" s="670"/>
      <c r="T24" s="670"/>
      <c r="U24" s="670"/>
      <c r="V24" s="670"/>
      <c r="W24" s="670"/>
    </row>
    <row r="25" spans="1:25" x14ac:dyDescent="0.25">
      <c r="A25" s="665"/>
      <c r="B25" s="665"/>
      <c r="C25" s="665"/>
      <c r="D25" s="665"/>
      <c r="E25" s="665"/>
      <c r="F25" s="665"/>
      <c r="G25" s="665"/>
      <c r="H25" s="665"/>
      <c r="I25" s="665"/>
      <c r="J25" s="665"/>
      <c r="K25" s="665"/>
      <c r="L25" s="665"/>
      <c r="M25" s="665"/>
      <c r="N25" s="665"/>
      <c r="O25" s="665"/>
      <c r="P25" s="665"/>
      <c r="Q25" s="665"/>
      <c r="R25" s="665"/>
      <c r="S25" s="665"/>
      <c r="T25" s="665"/>
      <c r="U25" s="665"/>
      <c r="V25" s="665"/>
      <c r="W25" s="665"/>
    </row>
    <row r="26" spans="1:25" x14ac:dyDescent="0.25">
      <c r="A26" s="665"/>
      <c r="B26" s="665"/>
      <c r="C26" s="665"/>
      <c r="D26" s="665"/>
      <c r="E26" s="665"/>
      <c r="F26" s="665"/>
      <c r="G26" s="665"/>
      <c r="H26" s="665"/>
      <c r="I26" s="665"/>
      <c r="J26" s="665"/>
      <c r="K26" s="665"/>
      <c r="L26" s="665"/>
      <c r="M26" s="665"/>
      <c r="N26" s="665"/>
      <c r="O26" s="665"/>
      <c r="P26" s="665"/>
      <c r="Q26" s="665"/>
      <c r="R26" s="665"/>
      <c r="S26" s="665"/>
      <c r="T26" s="665"/>
      <c r="U26" s="665"/>
      <c r="V26" s="665"/>
      <c r="W26" s="665"/>
    </row>
  </sheetData>
  <sheetProtection algorithmName="SHA-512" hashValue="/n15wsdDlMm++Ra7wthW72ji3U2c5y9AwomapHgBHhqTKb5BCAvDFzlQNm45Hd1qirZv1EpkylQrcmINE7MmzQ==" saltValue="xWPItFYTV1rAeO4eRDrqYg==" spinCount="100000" sheet="1" objects="1" scenarios="1"/>
  <mergeCells count="31">
    <mergeCell ref="A17:A18"/>
    <mergeCell ref="T10:V10"/>
    <mergeCell ref="G10:G11"/>
    <mergeCell ref="A12:A16"/>
    <mergeCell ref="J10:L10"/>
    <mergeCell ref="M10:O10"/>
    <mergeCell ref="P10:R10"/>
    <mergeCell ref="A26:W26"/>
    <mergeCell ref="A19:C19"/>
    <mergeCell ref="A20:V20"/>
    <mergeCell ref="A21:V21"/>
    <mergeCell ref="A22:W22"/>
    <mergeCell ref="A23:W23"/>
    <mergeCell ref="A24:W24"/>
    <mergeCell ref="A25:W25"/>
    <mergeCell ref="A4:W4"/>
    <mergeCell ref="A5:W5"/>
    <mergeCell ref="A6:W6"/>
    <mergeCell ref="S7:W7"/>
    <mergeCell ref="A8:A11"/>
    <mergeCell ref="B8:C10"/>
    <mergeCell ref="D8:V8"/>
    <mergeCell ref="W8:W11"/>
    <mergeCell ref="D9:F9"/>
    <mergeCell ref="G9:I9"/>
    <mergeCell ref="J9:O9"/>
    <mergeCell ref="P9:R9"/>
    <mergeCell ref="T9:V9"/>
    <mergeCell ref="D10:F10"/>
    <mergeCell ref="S10:S11"/>
    <mergeCell ref="H10:I10"/>
  </mergeCells>
  <printOptions horizontalCentered="1" verticalCentered="1"/>
  <pageMargins left="0.51180555555555596" right="0.51180555555555596" top="0.78749999999999998" bottom="0.78749999999999998" header="0.511811023622047" footer="0.511811023622047"/>
  <pageSetup paperSize="9" scale="27" fitToHeight="2" orientation="portrait" horizontalDpi="300" verticalDpi="300" r:id="rId1"/>
  <colBreaks count="1" manualBreakCount="1">
    <brk id="2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89"/>
  <sheetViews>
    <sheetView showGridLines="0" zoomScaleNormal="100" zoomScaleSheetLayoutView="115" zoomScalePageLayoutView="140" workbookViewId="0">
      <selection activeCell="D97" sqref="D97"/>
    </sheetView>
  </sheetViews>
  <sheetFormatPr defaultColWidth="8.7109375" defaultRowHeight="15" x14ac:dyDescent="0.25"/>
  <cols>
    <col min="1" max="1" width="5" style="64" customWidth="1"/>
    <col min="2" max="2" width="59.140625" style="292" customWidth="1"/>
    <col min="3" max="3" width="10.42578125" style="69" customWidth="1"/>
    <col min="4" max="5" width="12.140625" style="69" customWidth="1"/>
    <col min="6" max="6" width="11.5703125" style="69" customWidth="1"/>
    <col min="7" max="7" width="11" style="69" bestFit="1" customWidth="1"/>
    <col min="8" max="8" width="18.7109375" style="69" customWidth="1"/>
    <col min="9" max="9" width="4.28515625" customWidth="1"/>
    <col min="10" max="10" width="11.42578125" customWidth="1"/>
    <col min="11" max="11" width="12.42578125" style="69" customWidth="1"/>
    <col min="12" max="12" width="8.5703125" hidden="1" customWidth="1"/>
    <col min="13" max="13" width="9" customWidth="1"/>
    <col min="14" max="14" width="26.140625" hidden="1" customWidth="1"/>
    <col min="15" max="19" width="11.5703125" hidden="1" customWidth="1"/>
    <col min="20" max="256" width="9" customWidth="1"/>
    <col min="257" max="257" width="8.28515625" customWidth="1"/>
    <col min="258" max="258" width="44.5703125" customWidth="1"/>
    <col min="259" max="259" width="7.42578125" customWidth="1"/>
    <col min="260" max="260" width="13" customWidth="1"/>
    <col min="261" max="261" width="11.7109375" customWidth="1"/>
    <col min="262" max="262" width="10.5703125" customWidth="1"/>
    <col min="263" max="263" width="14.42578125" customWidth="1"/>
    <col min="264" max="264" width="35.42578125" customWidth="1"/>
    <col min="265" max="265" width="14" customWidth="1"/>
    <col min="266" max="266" width="11.7109375" customWidth="1"/>
    <col min="267" max="267" width="13.5703125" customWidth="1"/>
    <col min="268" max="512" width="9" customWidth="1"/>
    <col min="513" max="513" width="8.28515625" customWidth="1"/>
    <col min="514" max="514" width="44.5703125" customWidth="1"/>
    <col min="515" max="515" width="7.42578125" customWidth="1"/>
    <col min="516" max="516" width="13" customWidth="1"/>
    <col min="517" max="517" width="11.7109375" customWidth="1"/>
    <col min="518" max="518" width="10.5703125" customWidth="1"/>
    <col min="519" max="519" width="14.42578125" customWidth="1"/>
    <col min="520" max="520" width="35.42578125" customWidth="1"/>
    <col min="521" max="521" width="14" customWidth="1"/>
    <col min="522" max="522" width="11.7109375" customWidth="1"/>
    <col min="523" max="523" width="13.5703125" customWidth="1"/>
    <col min="524" max="768" width="9" customWidth="1"/>
    <col min="769" max="769" width="8.28515625" customWidth="1"/>
    <col min="770" max="770" width="44.5703125" customWidth="1"/>
    <col min="771" max="771" width="7.42578125" customWidth="1"/>
    <col min="772" max="772" width="13" customWidth="1"/>
    <col min="773" max="773" width="11.7109375" customWidth="1"/>
    <col min="774" max="774" width="10.5703125" customWidth="1"/>
    <col min="775" max="775" width="14.42578125" customWidth="1"/>
    <col min="776" max="776" width="35.42578125" customWidth="1"/>
    <col min="777" max="777" width="14" customWidth="1"/>
    <col min="778" max="778" width="11.7109375" customWidth="1"/>
    <col min="779" max="779" width="13.5703125" customWidth="1"/>
    <col min="780" max="1025" width="9" customWidth="1"/>
  </cols>
  <sheetData>
    <row r="1" spans="1:22" s="69" customFormat="1" ht="15" customHeight="1" x14ac:dyDescent="0.2">
      <c r="A1" s="205"/>
      <c r="B1" s="448" t="str">
        <f>INSTRUÇÕES!B1</f>
        <v>Tribunal Regional Federal da 6ª Região</v>
      </c>
      <c r="C1" s="206"/>
      <c r="D1" s="206"/>
      <c r="E1" s="206"/>
      <c r="F1" s="206"/>
      <c r="G1" s="206"/>
      <c r="H1" s="206"/>
    </row>
    <row r="2" spans="1:22" s="69" customFormat="1" ht="17.25" customHeight="1" x14ac:dyDescent="0.2">
      <c r="A2" s="207"/>
      <c r="B2" s="449" t="str">
        <f>INSTRUÇÕES!B2</f>
        <v>Seção Judiciária de Minas Gerais</v>
      </c>
    </row>
    <row r="3" spans="1:22" s="69" customFormat="1" ht="16.5" customHeight="1" x14ac:dyDescent="0.25">
      <c r="A3" s="207"/>
      <c r="B3" s="449" t="str">
        <f>INSTRUÇÕES!B3</f>
        <v>Subseção Judiciária de Uberaba</v>
      </c>
      <c r="N3" s="1"/>
      <c r="O3" s="1"/>
      <c r="P3" s="1"/>
      <c r="Q3" s="1"/>
      <c r="R3" s="1"/>
      <c r="S3" s="1"/>
      <c r="T3" s="1"/>
    </row>
    <row r="4" spans="1:22" s="69" customFormat="1" ht="27.75" customHeight="1" x14ac:dyDescent="0.25">
      <c r="A4" s="678" t="s">
        <v>515</v>
      </c>
      <c r="B4" s="678"/>
      <c r="C4" s="678"/>
      <c r="D4" s="678"/>
      <c r="E4" s="678"/>
      <c r="F4" s="678"/>
      <c r="G4" s="678"/>
      <c r="H4" s="678"/>
      <c r="I4" s="208"/>
      <c r="J4" s="208"/>
      <c r="U4" s="1"/>
      <c r="V4" s="1"/>
    </row>
    <row r="5" spans="1:22" s="1" customFormat="1" ht="24" customHeight="1" x14ac:dyDescent="0.25">
      <c r="A5" s="679" t="s">
        <v>338</v>
      </c>
      <c r="B5" s="679"/>
      <c r="C5" s="679"/>
      <c r="D5" s="679"/>
      <c r="E5" s="679"/>
      <c r="F5" s="679"/>
      <c r="G5" s="679"/>
      <c r="H5" s="679"/>
      <c r="K5" s="209"/>
      <c r="N5" s="598" t="s">
        <v>339</v>
      </c>
      <c r="O5" s="598"/>
      <c r="P5" s="598"/>
      <c r="Q5" s="598"/>
      <c r="R5" s="598"/>
      <c r="S5" s="598"/>
      <c r="T5" s="69"/>
      <c r="U5" s="69"/>
      <c r="V5" s="69"/>
    </row>
    <row r="6" spans="1:22" s="69" customFormat="1" ht="15" customHeight="1" x14ac:dyDescent="0.2">
      <c r="A6" s="680" t="s">
        <v>59</v>
      </c>
      <c r="B6" s="681" t="s">
        <v>340</v>
      </c>
      <c r="C6" s="681"/>
      <c r="D6" s="681"/>
      <c r="E6" s="683" t="s">
        <v>344</v>
      </c>
      <c r="F6" s="683" t="s">
        <v>71</v>
      </c>
      <c r="G6" s="683" t="s">
        <v>343</v>
      </c>
      <c r="H6" s="686" t="s">
        <v>341</v>
      </c>
      <c r="I6" s="68"/>
      <c r="J6" s="68"/>
      <c r="N6" s="598"/>
      <c r="O6" s="598"/>
      <c r="P6" s="598"/>
      <c r="Q6" s="598"/>
      <c r="R6" s="598"/>
      <c r="S6" s="598"/>
    </row>
    <row r="7" spans="1:22" s="69" customFormat="1" ht="13.5" customHeight="1" x14ac:dyDescent="0.2">
      <c r="A7" s="680"/>
      <c r="B7" s="681"/>
      <c r="C7" s="681"/>
      <c r="D7" s="681"/>
      <c r="E7" s="684"/>
      <c r="F7" s="684"/>
      <c r="G7" s="684"/>
      <c r="H7" s="687"/>
      <c r="I7" s="68"/>
      <c r="J7" s="682" t="s">
        <v>342</v>
      </c>
      <c r="K7" s="682"/>
      <c r="L7" s="682"/>
      <c r="N7" s="598"/>
      <c r="O7" s="598"/>
      <c r="P7" s="598"/>
      <c r="Q7" s="598"/>
      <c r="R7" s="598"/>
      <c r="S7" s="598"/>
    </row>
    <row r="8" spans="1:22" s="69" customFormat="1" ht="38.25" x14ac:dyDescent="0.2">
      <c r="A8" s="680"/>
      <c r="B8" s="210" t="s">
        <v>64</v>
      </c>
      <c r="C8" s="212" t="s">
        <v>65</v>
      </c>
      <c r="D8" s="212" t="s">
        <v>66</v>
      </c>
      <c r="E8" s="685"/>
      <c r="F8" s="685"/>
      <c r="G8" s="685"/>
      <c r="H8" s="688"/>
      <c r="I8" s="68"/>
      <c r="J8" s="213" t="s">
        <v>69</v>
      </c>
      <c r="K8" s="213" t="s">
        <v>68</v>
      </c>
      <c r="L8" s="213" t="s">
        <v>345</v>
      </c>
      <c r="N8" s="214" t="s">
        <v>346</v>
      </c>
      <c r="O8" s="21" t="s">
        <v>248</v>
      </c>
      <c r="P8" s="21" t="s">
        <v>249</v>
      </c>
      <c r="Q8" s="21" t="s">
        <v>250</v>
      </c>
      <c r="R8" s="21" t="s">
        <v>251</v>
      </c>
      <c r="S8" s="23" t="s">
        <v>252</v>
      </c>
    </row>
    <row r="9" spans="1:22" s="69" customFormat="1" ht="38.25" x14ac:dyDescent="0.2">
      <c r="A9" s="74">
        <v>1</v>
      </c>
      <c r="B9" s="560" t="s">
        <v>580</v>
      </c>
      <c r="C9" s="556" t="s">
        <v>662</v>
      </c>
      <c r="D9" s="554" t="s">
        <v>668</v>
      </c>
      <c r="E9" s="557">
        <v>10</v>
      </c>
      <c r="F9" s="557" t="s">
        <v>642</v>
      </c>
      <c r="G9" s="215">
        <v>15.74</v>
      </c>
      <c r="H9" s="215"/>
      <c r="I9" s="68"/>
      <c r="J9" s="83">
        <f>'Ocorrências Mensais - FAT'!G29</f>
        <v>10</v>
      </c>
      <c r="K9" s="441">
        <f t="shared" ref="K9:K60" si="0">J9*G9</f>
        <v>157.4</v>
      </c>
      <c r="L9" s="39">
        <f t="shared" ref="L9:L48" si="1">IF(F9="MENSAL",1,IF(F9="BIMESTRAL",2,IF(F9="TRIMESTRAL",3,IF(F9="QUADRIMESTRAL",4,IF(F9="SEMESTRAL",6,IF(F9="ANUAL",12,IF(F9="BIENAL",24,"")))))))</f>
        <v>1</v>
      </c>
      <c r="N9" s="218">
        <v>1.99</v>
      </c>
      <c r="O9" s="39">
        <f>ROUND(IF(Dados!$J$59="SIM",N9*Dados!$N$59,N9),2)</f>
        <v>1.99</v>
      </c>
      <c r="P9" s="39">
        <f>ROUND(IF(Dados!$J$60="SIM",O9*Dados!$N$60,O9),2)</f>
        <v>1.99</v>
      </c>
      <c r="Q9" s="39">
        <f>ROUND(IF(Dados!$J$61="SIM",P9*Dados!$N$61,P9),2)</f>
        <v>1.99</v>
      </c>
      <c r="R9" s="39">
        <f>ROUND(IF(Dados!$J$62="SIM",Q9*Dados!$N$62,Q9),2)</f>
        <v>1.99</v>
      </c>
      <c r="S9" s="81">
        <f>ROUND(IF(Dados!$J$63="SIM",R9*Dados!$N$63,R9),2)</f>
        <v>1.99</v>
      </c>
    </row>
    <row r="10" spans="1:22" s="69" customFormat="1" ht="12.75" x14ac:dyDescent="0.2">
      <c r="A10" s="82">
        <v>2</v>
      </c>
      <c r="B10" s="560" t="s">
        <v>581</v>
      </c>
      <c r="C10" s="556" t="s">
        <v>65</v>
      </c>
      <c r="D10" s="554" t="s">
        <v>669</v>
      </c>
      <c r="E10" s="556">
        <v>9</v>
      </c>
      <c r="F10" s="557" t="s">
        <v>642</v>
      </c>
      <c r="G10" s="215">
        <v>10</v>
      </c>
      <c r="H10" s="215"/>
      <c r="I10" s="68"/>
      <c r="J10" s="83">
        <f>'Ocorrências Mensais - FAT'!G30</f>
        <v>9</v>
      </c>
      <c r="K10" s="441">
        <f t="shared" si="0"/>
        <v>90</v>
      </c>
      <c r="L10" s="39">
        <f t="shared" si="1"/>
        <v>1</v>
      </c>
      <c r="N10" s="218">
        <v>2</v>
      </c>
      <c r="O10" s="39">
        <f>ROUND(IF(Dados!$J$59="SIM",N10*Dados!$N$59,N10),2)</f>
        <v>2</v>
      </c>
      <c r="P10" s="39">
        <f>ROUND(IF(Dados!$J$60="SIM",O10*Dados!$N$60,O10),2)</f>
        <v>2</v>
      </c>
      <c r="Q10" s="39">
        <f>ROUND(IF(Dados!$J$61="SIM",P10*Dados!$N$61,P10),2)</f>
        <v>2</v>
      </c>
      <c r="R10" s="39">
        <f>ROUND(IF(Dados!$J$62="SIM",Q10*Dados!$N$62,Q10),2)</f>
        <v>2</v>
      </c>
      <c r="S10" s="81">
        <f>ROUND(IF(Dados!$J$63="SIM",R10*Dados!$N$63,R10),2)</f>
        <v>2</v>
      </c>
    </row>
    <row r="11" spans="1:22" s="69" customFormat="1" ht="38.25" x14ac:dyDescent="0.2">
      <c r="A11" s="82">
        <v>3</v>
      </c>
      <c r="B11" s="560" t="s">
        <v>582</v>
      </c>
      <c r="C11" s="556" t="s">
        <v>65</v>
      </c>
      <c r="D11" s="554" t="s">
        <v>670</v>
      </c>
      <c r="E11" s="556">
        <v>15</v>
      </c>
      <c r="F11" s="557" t="s">
        <v>642</v>
      </c>
      <c r="G11" s="215">
        <v>6.04</v>
      </c>
      <c r="H11" s="215"/>
      <c r="I11" s="68"/>
      <c r="J11" s="83">
        <f>'Ocorrências Mensais - FAT'!G31</f>
        <v>15</v>
      </c>
      <c r="K11" s="441">
        <f t="shared" si="0"/>
        <v>90.6</v>
      </c>
      <c r="L11" s="39">
        <f t="shared" si="1"/>
        <v>1</v>
      </c>
      <c r="N11" s="218">
        <v>6</v>
      </c>
      <c r="O11" s="39">
        <f>ROUND(IF(Dados!$J$59="SIM",N11*Dados!$N$59,N11),2)</f>
        <v>6</v>
      </c>
      <c r="P11" s="39">
        <f>ROUND(IF(Dados!$J$60="SIM",O11*Dados!$N$60,O11),2)</f>
        <v>6</v>
      </c>
      <c r="Q11" s="39">
        <f>ROUND(IF(Dados!$J$61="SIM",P11*Dados!$N$61,P11),2)</f>
        <v>6</v>
      </c>
      <c r="R11" s="39">
        <f>ROUND(IF(Dados!$J$62="SIM",Q11*Dados!$N$62,Q11),2)</f>
        <v>6</v>
      </c>
      <c r="S11" s="81">
        <f>ROUND(IF(Dados!$J$63="SIM",R11*Dados!$N$63,R11),2)</f>
        <v>6</v>
      </c>
    </row>
    <row r="12" spans="1:22" s="69" customFormat="1" ht="12.75" x14ac:dyDescent="0.2">
      <c r="A12" s="82">
        <v>4</v>
      </c>
      <c r="B12" s="560" t="s">
        <v>583</v>
      </c>
      <c r="C12" s="556" t="s">
        <v>65</v>
      </c>
      <c r="D12" s="554" t="s">
        <v>671</v>
      </c>
      <c r="E12" s="556">
        <v>10</v>
      </c>
      <c r="F12" s="557" t="s">
        <v>642</v>
      </c>
      <c r="G12" s="215">
        <v>7.43</v>
      </c>
      <c r="H12" s="215"/>
      <c r="I12" s="68"/>
      <c r="J12" s="83">
        <f>'Ocorrências Mensais - FAT'!G32</f>
        <v>10</v>
      </c>
      <c r="K12" s="441">
        <f t="shared" si="0"/>
        <v>74.3</v>
      </c>
      <c r="L12" s="39">
        <f t="shared" si="1"/>
        <v>1</v>
      </c>
      <c r="N12" s="218">
        <v>4.0999999999999996</v>
      </c>
      <c r="O12" s="39">
        <f>ROUND(IF(Dados!$J$59="SIM",N12*Dados!$N$59,N12),2)</f>
        <v>4.0999999999999996</v>
      </c>
      <c r="P12" s="39">
        <f>ROUND(IF(Dados!$J$60="SIM",O12*Dados!$N$60,O12),2)</f>
        <v>4.0999999999999996</v>
      </c>
      <c r="Q12" s="39">
        <f>ROUND(IF(Dados!$J$61="SIM",P12*Dados!$N$61,P12),2)</f>
        <v>4.0999999999999996</v>
      </c>
      <c r="R12" s="39">
        <f>ROUND(IF(Dados!$J$62="SIM",Q12*Dados!$N$62,Q12),2)</f>
        <v>4.0999999999999996</v>
      </c>
      <c r="S12" s="81">
        <f>ROUND(IF(Dados!$J$63="SIM",R12*Dados!$N$63,R12),2)</f>
        <v>4.0999999999999996</v>
      </c>
    </row>
    <row r="13" spans="1:22" s="69" customFormat="1" ht="51" x14ac:dyDescent="0.2">
      <c r="A13" s="82">
        <v>5</v>
      </c>
      <c r="B13" s="560" t="s">
        <v>584</v>
      </c>
      <c r="C13" s="556" t="s">
        <v>65</v>
      </c>
      <c r="D13" s="554" t="s">
        <v>672</v>
      </c>
      <c r="E13" s="558">
        <v>10</v>
      </c>
      <c r="F13" s="556" t="s">
        <v>661</v>
      </c>
      <c r="G13" s="215">
        <v>16.010000000000002</v>
      </c>
      <c r="H13" s="215"/>
      <c r="I13" s="68"/>
      <c r="J13" s="83">
        <f>'Ocorrências Mensais - FAT'!G33</f>
        <v>0.83333333333333337</v>
      </c>
      <c r="K13" s="441">
        <f t="shared" si="0"/>
        <v>13.341666666666669</v>
      </c>
      <c r="L13" s="39">
        <f t="shared" si="1"/>
        <v>12</v>
      </c>
      <c r="N13" s="218">
        <v>3</v>
      </c>
      <c r="O13" s="39">
        <f>ROUND(IF(Dados!$J$59="SIM",N13*Dados!$N$59,N13),2)</f>
        <v>3</v>
      </c>
      <c r="P13" s="39">
        <f>ROUND(IF(Dados!$J$60="SIM",O13*Dados!$N$60,O13),2)</f>
        <v>3</v>
      </c>
      <c r="Q13" s="39">
        <f>ROUND(IF(Dados!$J$61="SIM",P13*Dados!$N$61,P13),2)</f>
        <v>3</v>
      </c>
      <c r="R13" s="39">
        <f>ROUND(IF(Dados!$J$62="SIM",Q13*Dados!$N$62,Q13),2)</f>
        <v>3</v>
      </c>
      <c r="S13" s="81">
        <f>ROUND(IF(Dados!$J$63="SIM",R13*Dados!$N$63,R13),2)</f>
        <v>3</v>
      </c>
    </row>
    <row r="14" spans="1:22" s="69" customFormat="1" ht="51" x14ac:dyDescent="0.2">
      <c r="A14" s="82">
        <v>6</v>
      </c>
      <c r="B14" s="438" t="s">
        <v>585</v>
      </c>
      <c r="C14" s="556" t="s">
        <v>65</v>
      </c>
      <c r="D14" s="554"/>
      <c r="E14" s="557">
        <v>7</v>
      </c>
      <c r="F14" s="556" t="s">
        <v>661</v>
      </c>
      <c r="G14" s="215">
        <v>95.21</v>
      </c>
      <c r="H14" s="215"/>
      <c r="I14" s="68"/>
      <c r="J14" s="83">
        <f>'Ocorrências Mensais - FAT'!G34</f>
        <v>0.58333333333333337</v>
      </c>
      <c r="K14" s="441">
        <f t="shared" si="0"/>
        <v>55.539166666666667</v>
      </c>
      <c r="L14" s="39">
        <f t="shared" si="1"/>
        <v>12</v>
      </c>
      <c r="N14" s="218">
        <v>3.8</v>
      </c>
      <c r="O14" s="39">
        <f>ROUND(IF(Dados!$J$59="SIM",N14*Dados!$N$59,N14),2)</f>
        <v>3.8</v>
      </c>
      <c r="P14" s="39">
        <f>ROUND(IF(Dados!$J$60="SIM",O14*Dados!$N$60,O14),2)</f>
        <v>3.8</v>
      </c>
      <c r="Q14" s="39">
        <f>ROUND(IF(Dados!$J$61="SIM",P14*Dados!$N$61,P14),2)</f>
        <v>3.8</v>
      </c>
      <c r="R14" s="39">
        <f>ROUND(IF(Dados!$J$62="SIM",Q14*Dados!$N$62,Q14),2)</f>
        <v>3.8</v>
      </c>
      <c r="S14" s="81">
        <f>ROUND(IF(Dados!$J$63="SIM",R14*Dados!$N$63,R14),2)</f>
        <v>3.8</v>
      </c>
    </row>
    <row r="15" spans="1:22" s="69" customFormat="1" ht="38.25" x14ac:dyDescent="0.2">
      <c r="A15" s="82">
        <v>7</v>
      </c>
      <c r="B15" s="438" t="s">
        <v>586</v>
      </c>
      <c r="C15" s="556" t="s">
        <v>65</v>
      </c>
      <c r="D15" s="554"/>
      <c r="E15" s="557">
        <v>12</v>
      </c>
      <c r="F15" s="556" t="s">
        <v>661</v>
      </c>
      <c r="G15" s="215">
        <v>27.41</v>
      </c>
      <c r="H15" s="215"/>
      <c r="I15" s="68"/>
      <c r="J15" s="83">
        <f>'Ocorrências Mensais - FAT'!G35</f>
        <v>1</v>
      </c>
      <c r="K15" s="441">
        <f t="shared" si="0"/>
        <v>27.41</v>
      </c>
      <c r="L15" s="39">
        <f t="shared" si="1"/>
        <v>12</v>
      </c>
      <c r="N15" s="218">
        <v>4.1399999999999997</v>
      </c>
      <c r="O15" s="39">
        <f>ROUND(IF(Dados!$J$59="SIM",N15*Dados!$N$59,N15),2)</f>
        <v>4.1399999999999997</v>
      </c>
      <c r="P15" s="39">
        <f>ROUND(IF(Dados!$J$60="SIM",O15*Dados!$N$60,O15),2)</f>
        <v>4.1399999999999997</v>
      </c>
      <c r="Q15" s="39">
        <f>ROUND(IF(Dados!$J$61="SIM",P15*Dados!$N$61,P15),2)</f>
        <v>4.1399999999999997</v>
      </c>
      <c r="R15" s="39">
        <f>ROUND(IF(Dados!$J$62="SIM",Q15*Dados!$N$62,Q15),2)</f>
        <v>4.1399999999999997</v>
      </c>
      <c r="S15" s="81">
        <f>ROUND(IF(Dados!$J$63="SIM",R15*Dados!$N$63,R15),2)</f>
        <v>4.1399999999999997</v>
      </c>
    </row>
    <row r="16" spans="1:22" s="69" customFormat="1" ht="38.25" x14ac:dyDescent="0.2">
      <c r="A16" s="82">
        <v>8</v>
      </c>
      <c r="B16" s="438" t="s">
        <v>587</v>
      </c>
      <c r="C16" s="556" t="s">
        <v>65</v>
      </c>
      <c r="D16" s="554" t="s">
        <v>673</v>
      </c>
      <c r="E16" s="557">
        <v>3</v>
      </c>
      <c r="F16" s="556" t="s">
        <v>661</v>
      </c>
      <c r="G16" s="215">
        <v>14.67</v>
      </c>
      <c r="H16" s="215"/>
      <c r="I16" s="68"/>
      <c r="J16" s="83">
        <f>'Ocorrências Mensais - FAT'!G36</f>
        <v>0.25</v>
      </c>
      <c r="K16" s="441">
        <f t="shared" si="0"/>
        <v>3.6675</v>
      </c>
      <c r="L16" s="39">
        <f t="shared" si="1"/>
        <v>12</v>
      </c>
      <c r="N16" s="218"/>
      <c r="O16" s="39"/>
      <c r="P16" s="39"/>
      <c r="Q16" s="39"/>
      <c r="R16" s="39"/>
      <c r="S16" s="81"/>
    </row>
    <row r="17" spans="1:19" s="69" customFormat="1" ht="12.75" x14ac:dyDescent="0.2">
      <c r="A17" s="82">
        <v>9</v>
      </c>
      <c r="B17" s="438" t="s">
        <v>588</v>
      </c>
      <c r="C17" s="556" t="s">
        <v>65</v>
      </c>
      <c r="D17" s="554" t="s">
        <v>674</v>
      </c>
      <c r="E17" s="559">
        <v>12</v>
      </c>
      <c r="F17" s="557" t="s">
        <v>642</v>
      </c>
      <c r="G17" s="215">
        <v>16.66</v>
      </c>
      <c r="H17" s="215"/>
      <c r="I17" s="68"/>
      <c r="J17" s="83">
        <f>'Ocorrências Mensais - FAT'!G37</f>
        <v>12</v>
      </c>
      <c r="K17" s="441">
        <f t="shared" si="0"/>
        <v>199.92000000000002</v>
      </c>
      <c r="L17" s="39">
        <f t="shared" si="1"/>
        <v>1</v>
      </c>
      <c r="N17" s="218">
        <v>1.4</v>
      </c>
      <c r="O17" s="39">
        <f>ROUND(IF(Dados!$J$59="SIM",N17*Dados!$N$59,N17),2)</f>
        <v>1.4</v>
      </c>
      <c r="P17" s="39">
        <f>ROUND(IF(Dados!$J$60="SIM",O17*Dados!$N$60,O17),2)</f>
        <v>1.4</v>
      </c>
      <c r="Q17" s="39">
        <f>ROUND(IF(Dados!$J$61="SIM",P17*Dados!$N$61,P17),2)</f>
        <v>1.4</v>
      </c>
      <c r="R17" s="39">
        <f>ROUND(IF(Dados!$J$62="SIM",Q17*Dados!$N$62,Q17),2)</f>
        <v>1.4</v>
      </c>
      <c r="S17" s="81">
        <f>ROUND(IF(Dados!$J$63="SIM",R17*Dados!$N$63,R17),2)</f>
        <v>1.4</v>
      </c>
    </row>
    <row r="18" spans="1:19" s="69" customFormat="1" ht="25.5" x14ac:dyDescent="0.2">
      <c r="A18" s="82">
        <v>10</v>
      </c>
      <c r="B18" s="438" t="s">
        <v>589</v>
      </c>
      <c r="C18" s="556" t="s">
        <v>662</v>
      </c>
      <c r="D18" s="554" t="s">
        <v>675</v>
      </c>
      <c r="E18" s="557">
        <v>8</v>
      </c>
      <c r="F18" s="557" t="s">
        <v>642</v>
      </c>
      <c r="G18" s="215">
        <v>35.270000000000003</v>
      </c>
      <c r="H18" s="215"/>
      <c r="I18" s="68"/>
      <c r="J18" s="83">
        <f>'Ocorrências Mensais - FAT'!G38</f>
        <v>8</v>
      </c>
      <c r="K18" s="441">
        <f t="shared" si="0"/>
        <v>282.16000000000003</v>
      </c>
      <c r="L18" s="39">
        <f t="shared" si="1"/>
        <v>1</v>
      </c>
      <c r="N18" s="218">
        <v>3.2</v>
      </c>
      <c r="O18" s="39">
        <f>ROUND(IF(Dados!$J$59="SIM",N18*Dados!$N$59,N18),2)</f>
        <v>3.2</v>
      </c>
      <c r="P18" s="39">
        <f>ROUND(IF(Dados!$J$60="SIM",O18*Dados!$N$60,O18),2)</f>
        <v>3.2</v>
      </c>
      <c r="Q18" s="39">
        <f>ROUND(IF(Dados!$J$61="SIM",P18*Dados!$N$61,P18),2)</f>
        <v>3.2</v>
      </c>
      <c r="R18" s="39">
        <f>ROUND(IF(Dados!$J$62="SIM",Q18*Dados!$N$62,Q18),2)</f>
        <v>3.2</v>
      </c>
      <c r="S18" s="81">
        <f>ROUND(IF(Dados!$J$63="SIM",R18*Dados!$N$63,R18),2)</f>
        <v>3.2</v>
      </c>
    </row>
    <row r="19" spans="1:19" s="69" customFormat="1" ht="12.75" x14ac:dyDescent="0.2">
      <c r="A19" s="84">
        <v>11</v>
      </c>
      <c r="B19" s="438" t="s">
        <v>590</v>
      </c>
      <c r="C19" s="556" t="s">
        <v>662</v>
      </c>
      <c r="D19" s="554"/>
      <c r="E19" s="557">
        <v>6</v>
      </c>
      <c r="F19" s="557" t="s">
        <v>642</v>
      </c>
      <c r="G19" s="215">
        <v>51.65</v>
      </c>
      <c r="H19" s="215"/>
      <c r="I19" s="68"/>
      <c r="J19" s="83">
        <f>'Ocorrências Mensais - FAT'!G39</f>
        <v>6</v>
      </c>
      <c r="K19" s="441">
        <f t="shared" si="0"/>
        <v>309.89999999999998</v>
      </c>
      <c r="L19" s="39">
        <f t="shared" si="1"/>
        <v>1</v>
      </c>
      <c r="N19" s="218">
        <v>4</v>
      </c>
      <c r="O19" s="39">
        <f>ROUND(IF(Dados!$J$59="SIM",N19*Dados!$N$59,N19),2)</f>
        <v>4</v>
      </c>
      <c r="P19" s="39">
        <f>ROUND(IF(Dados!$J$60="SIM",O19*Dados!$N$60,O19),2)</f>
        <v>4</v>
      </c>
      <c r="Q19" s="39">
        <f>ROUND(IF(Dados!$J$61="SIM",P19*Dados!$N$61,P19),2)</f>
        <v>4</v>
      </c>
      <c r="R19" s="39">
        <f>ROUND(IF(Dados!$J$62="SIM",Q19*Dados!$N$62,Q19),2)</f>
        <v>4</v>
      </c>
      <c r="S19" s="81">
        <f>ROUND(IF(Dados!$J$63="SIM",R19*Dados!$N$63,R19),2)</f>
        <v>4</v>
      </c>
    </row>
    <row r="20" spans="1:19" s="69" customFormat="1" ht="38.25" x14ac:dyDescent="0.2">
      <c r="A20" s="82">
        <v>12</v>
      </c>
      <c r="B20" s="438" t="s">
        <v>591</v>
      </c>
      <c r="C20" s="556" t="s">
        <v>65</v>
      </c>
      <c r="D20" s="554" t="s">
        <v>676</v>
      </c>
      <c r="E20" s="557">
        <v>8</v>
      </c>
      <c r="F20" s="556" t="s">
        <v>661</v>
      </c>
      <c r="G20" s="215">
        <v>24.35</v>
      </c>
      <c r="H20" s="215"/>
      <c r="I20" s="68"/>
      <c r="J20" s="83">
        <f>'Ocorrências Mensais - FAT'!G40</f>
        <v>0.66666666666666663</v>
      </c>
      <c r="K20" s="441">
        <f t="shared" si="0"/>
        <v>16.233333333333334</v>
      </c>
      <c r="L20" s="39">
        <f t="shared" si="1"/>
        <v>12</v>
      </c>
      <c r="N20" s="218">
        <v>1.2</v>
      </c>
      <c r="O20" s="39">
        <f>ROUND(IF(Dados!$J$59="SIM",N20*Dados!$N$59,N20),2)</f>
        <v>1.2</v>
      </c>
      <c r="P20" s="39">
        <f>ROUND(IF(Dados!$J$60="SIM",O20*Dados!$N$60,O20),2)</f>
        <v>1.2</v>
      </c>
      <c r="Q20" s="39">
        <f>ROUND(IF(Dados!$J$61="SIM",P20*Dados!$N$61,P20),2)</f>
        <v>1.2</v>
      </c>
      <c r="R20" s="39">
        <f>ROUND(IF(Dados!$J$62="SIM",Q20*Dados!$N$62,Q20),2)</f>
        <v>1.2</v>
      </c>
      <c r="S20" s="81">
        <f>ROUND(IF(Dados!$J$63="SIM",R20*Dados!$N$63,R20),2)</f>
        <v>1.2</v>
      </c>
    </row>
    <row r="21" spans="1:19" s="69" customFormat="1" ht="25.5" x14ac:dyDescent="0.2">
      <c r="A21" s="82">
        <v>13</v>
      </c>
      <c r="B21" s="438" t="s">
        <v>592</v>
      </c>
      <c r="C21" s="556" t="s">
        <v>65</v>
      </c>
      <c r="D21" s="554" t="s">
        <v>677</v>
      </c>
      <c r="E21" s="557">
        <v>8</v>
      </c>
      <c r="F21" s="557" t="s">
        <v>642</v>
      </c>
      <c r="G21" s="215">
        <v>3.12</v>
      </c>
      <c r="H21" s="215"/>
      <c r="I21" s="68"/>
      <c r="J21" s="83">
        <f>'Ocorrências Mensais - FAT'!G41</f>
        <v>8</v>
      </c>
      <c r="K21" s="441">
        <f t="shared" si="0"/>
        <v>24.96</v>
      </c>
      <c r="L21" s="39">
        <f t="shared" si="1"/>
        <v>1</v>
      </c>
      <c r="N21" s="218">
        <v>1.3</v>
      </c>
      <c r="O21" s="39">
        <f>ROUND(IF(Dados!$J$59="SIM",N21*Dados!$N$59,N21),2)</f>
        <v>1.3</v>
      </c>
      <c r="P21" s="39">
        <f>ROUND(IF(Dados!$J$60="SIM",O21*Dados!$N$60,O21),2)</f>
        <v>1.3</v>
      </c>
      <c r="Q21" s="39">
        <f>ROUND(IF(Dados!$J$61="SIM",P21*Dados!$N$61,P21),2)</f>
        <v>1.3</v>
      </c>
      <c r="R21" s="39">
        <f>ROUND(IF(Dados!$J$62="SIM",Q21*Dados!$N$62,Q21),2)</f>
        <v>1.3</v>
      </c>
      <c r="S21" s="81">
        <f>ROUND(IF(Dados!$J$63="SIM",R21*Dados!$N$63,R21),2)</f>
        <v>1.3</v>
      </c>
    </row>
    <row r="22" spans="1:19" s="69" customFormat="1" ht="25.5" x14ac:dyDescent="0.2">
      <c r="A22" s="84">
        <v>14</v>
      </c>
      <c r="B22" s="438" t="s">
        <v>593</v>
      </c>
      <c r="C22" s="556" t="s">
        <v>65</v>
      </c>
      <c r="D22" s="554" t="s">
        <v>678</v>
      </c>
      <c r="E22" s="557">
        <v>10</v>
      </c>
      <c r="F22" s="556" t="s">
        <v>661</v>
      </c>
      <c r="G22" s="215">
        <v>11.75</v>
      </c>
      <c r="H22" s="215"/>
      <c r="I22" s="68"/>
      <c r="J22" s="83">
        <f>'Ocorrências Mensais - FAT'!G42</f>
        <v>0.83333333333333337</v>
      </c>
      <c r="K22" s="441">
        <f t="shared" si="0"/>
        <v>9.7916666666666679</v>
      </c>
      <c r="L22" s="39">
        <f t="shared" si="1"/>
        <v>12</v>
      </c>
      <c r="N22" s="218">
        <v>1.48</v>
      </c>
      <c r="O22" s="39">
        <f>ROUND(IF(Dados!$J$59="SIM",N22*Dados!$N$59,N22),2)</f>
        <v>1.48</v>
      </c>
      <c r="P22" s="39">
        <f>ROUND(IF(Dados!$J$60="SIM",O22*Dados!$N$60,O22),2)</f>
        <v>1.48</v>
      </c>
      <c r="Q22" s="39">
        <f>ROUND(IF(Dados!$J$61="SIM",P22*Dados!$N$61,P22),2)</f>
        <v>1.48</v>
      </c>
      <c r="R22" s="39">
        <f>ROUND(IF(Dados!$J$62="SIM",Q22*Dados!$N$62,Q22),2)</f>
        <v>1.48</v>
      </c>
      <c r="S22" s="81">
        <f>ROUND(IF(Dados!$J$63="SIM",R22*Dados!$N$63,R22),2)</f>
        <v>1.48</v>
      </c>
    </row>
    <row r="23" spans="1:19" s="69" customFormat="1" ht="25.5" x14ac:dyDescent="0.2">
      <c r="A23" s="82">
        <v>15</v>
      </c>
      <c r="B23" s="560" t="s">
        <v>594</v>
      </c>
      <c r="C23" s="556" t="s">
        <v>65</v>
      </c>
      <c r="D23" s="554" t="s">
        <v>679</v>
      </c>
      <c r="E23" s="557">
        <v>10</v>
      </c>
      <c r="F23" s="556" t="s">
        <v>661</v>
      </c>
      <c r="G23" s="215">
        <v>16.43</v>
      </c>
      <c r="H23" s="215"/>
      <c r="I23" s="68"/>
      <c r="J23" s="83">
        <f>'Ocorrências Mensais - FAT'!G43</f>
        <v>0.83333333333333337</v>
      </c>
      <c r="K23" s="441">
        <f t="shared" si="0"/>
        <v>13.691666666666666</v>
      </c>
      <c r="L23" s="39">
        <f t="shared" si="1"/>
        <v>12</v>
      </c>
      <c r="N23" s="218">
        <v>1</v>
      </c>
      <c r="O23" s="39">
        <f>ROUND(IF(Dados!$J$59="SIM",N23*Dados!$N$59,N23),2)</f>
        <v>1</v>
      </c>
      <c r="P23" s="39">
        <f>ROUND(IF(Dados!$J$60="SIM",O23*Dados!$N$60,O23),2)</f>
        <v>1</v>
      </c>
      <c r="Q23" s="39">
        <f>ROUND(IF(Dados!$J$61="SIM",P23*Dados!$N$61,P23),2)</f>
        <v>1</v>
      </c>
      <c r="R23" s="39">
        <f>ROUND(IF(Dados!$J$62="SIM",Q23*Dados!$N$62,Q23),2)</f>
        <v>1</v>
      </c>
      <c r="S23" s="81">
        <f>ROUND(IF(Dados!$J$63="SIM",R23*Dados!$N$63,R23),2)</f>
        <v>1</v>
      </c>
    </row>
    <row r="24" spans="1:19" s="69" customFormat="1" ht="12.75" x14ac:dyDescent="0.2">
      <c r="A24" s="82">
        <v>16</v>
      </c>
      <c r="B24" s="438" t="s">
        <v>595</v>
      </c>
      <c r="C24" s="557" t="s">
        <v>663</v>
      </c>
      <c r="D24" s="554" t="s">
        <v>680</v>
      </c>
      <c r="E24" s="557">
        <v>6</v>
      </c>
      <c r="F24" s="556" t="s">
        <v>661</v>
      </c>
      <c r="G24" s="215">
        <v>14.21</v>
      </c>
      <c r="H24" s="215"/>
      <c r="I24" s="68"/>
      <c r="J24" s="83">
        <f>'Ocorrências Mensais - FAT'!G44</f>
        <v>0.5</v>
      </c>
      <c r="K24" s="441">
        <f t="shared" si="0"/>
        <v>7.1050000000000004</v>
      </c>
      <c r="L24" s="39">
        <f t="shared" si="1"/>
        <v>12</v>
      </c>
      <c r="N24" s="218">
        <v>1.4</v>
      </c>
      <c r="O24" s="39">
        <f>ROUND(IF(Dados!$J$59="SIM",N24*Dados!$N$59,N24),2)</f>
        <v>1.4</v>
      </c>
      <c r="P24" s="39">
        <f>ROUND(IF(Dados!$J$60="SIM",O24*Dados!$N$60,O24),2)</f>
        <v>1.4</v>
      </c>
      <c r="Q24" s="39">
        <f>ROUND(IF(Dados!$J$61="SIM",P24*Dados!$N$61,P24),2)</f>
        <v>1.4</v>
      </c>
      <c r="R24" s="39">
        <f>ROUND(IF(Dados!$J$62="SIM",Q24*Dados!$N$62,Q24),2)</f>
        <v>1.4</v>
      </c>
      <c r="S24" s="81">
        <f>ROUND(IF(Dados!$J$63="SIM",R24*Dados!$N$63,R24),2)</f>
        <v>1.4</v>
      </c>
    </row>
    <row r="25" spans="1:19" s="69" customFormat="1" ht="38.25" x14ac:dyDescent="0.2">
      <c r="A25" s="82">
        <v>17</v>
      </c>
      <c r="B25" s="566" t="s">
        <v>596</v>
      </c>
      <c r="C25" s="556" t="s">
        <v>65</v>
      </c>
      <c r="D25" s="554" t="s">
        <v>681</v>
      </c>
      <c r="E25" s="557">
        <v>2</v>
      </c>
      <c r="F25" s="556" t="s">
        <v>661</v>
      </c>
      <c r="G25" s="215">
        <v>123.67</v>
      </c>
      <c r="H25" s="215"/>
      <c r="I25" s="68"/>
      <c r="J25" s="83">
        <f>'Ocorrências Mensais - FAT'!G45</f>
        <v>0.16666666666666666</v>
      </c>
      <c r="K25" s="441">
        <f t="shared" si="0"/>
        <v>20.611666666666665</v>
      </c>
      <c r="L25" s="39">
        <f t="shared" si="1"/>
        <v>12</v>
      </c>
      <c r="N25" s="218">
        <v>9.1</v>
      </c>
      <c r="O25" s="39">
        <f>ROUND(IF(Dados!$J$59="SIM",N25*Dados!$N$59,N25),2)</f>
        <v>9.1</v>
      </c>
      <c r="P25" s="39">
        <f>ROUND(IF(Dados!$J$60="SIM",O25*Dados!$N$60,O25),2)</f>
        <v>9.1</v>
      </c>
      <c r="Q25" s="39">
        <f>ROUND(IF(Dados!$J$61="SIM",P25*Dados!$N$61,P25),2)</f>
        <v>9.1</v>
      </c>
      <c r="R25" s="39">
        <f>ROUND(IF(Dados!$J$62="SIM",Q25*Dados!$N$62,Q25),2)</f>
        <v>9.1</v>
      </c>
      <c r="S25" s="81">
        <f>ROUND(IF(Dados!$J$63="SIM",R25*Dados!$N$63,R25),2)</f>
        <v>9.1</v>
      </c>
    </row>
    <row r="26" spans="1:19" s="69" customFormat="1" ht="114.75" x14ac:dyDescent="0.2">
      <c r="A26" s="82">
        <v>18</v>
      </c>
      <c r="B26" s="560" t="s">
        <v>597</v>
      </c>
      <c r="C26" s="556" t="s">
        <v>65</v>
      </c>
      <c r="D26" s="554" t="s">
        <v>682</v>
      </c>
      <c r="E26" s="557">
        <v>15</v>
      </c>
      <c r="F26" s="557" t="s">
        <v>642</v>
      </c>
      <c r="G26" s="215">
        <v>4.13</v>
      </c>
      <c r="H26" s="215"/>
      <c r="I26" s="68"/>
      <c r="J26" s="83">
        <f>'Ocorrências Mensais - FAT'!G46</f>
        <v>15</v>
      </c>
      <c r="K26" s="441">
        <f t="shared" si="0"/>
        <v>61.949999999999996</v>
      </c>
      <c r="L26" s="39">
        <f t="shared" si="1"/>
        <v>1</v>
      </c>
      <c r="N26" s="218">
        <v>1</v>
      </c>
      <c r="O26" s="39">
        <f>ROUND(IF(Dados!$J$59="SIM",N26*Dados!$N$59,N26),2)</f>
        <v>1</v>
      </c>
      <c r="P26" s="39">
        <f>ROUND(IF(Dados!$J$60="SIM",O26*Dados!$N$60,O26),2)</f>
        <v>1</v>
      </c>
      <c r="Q26" s="39">
        <f>ROUND(IF(Dados!$J$61="SIM",P26*Dados!$N$61,P26),2)</f>
        <v>1</v>
      </c>
      <c r="R26" s="39">
        <f>ROUND(IF(Dados!$J$62="SIM",Q26*Dados!$N$62,Q26),2)</f>
        <v>1</v>
      </c>
      <c r="S26" s="81">
        <f>ROUND(IF(Dados!$J$63="SIM",R26*Dados!$N$63,R26),2)</f>
        <v>1</v>
      </c>
    </row>
    <row r="27" spans="1:19" s="69" customFormat="1" ht="25.5" x14ac:dyDescent="0.2">
      <c r="A27" s="82">
        <v>19</v>
      </c>
      <c r="B27" s="560" t="s">
        <v>598</v>
      </c>
      <c r="C27" s="556" t="s">
        <v>65</v>
      </c>
      <c r="D27" s="554" t="s">
        <v>683</v>
      </c>
      <c r="E27" s="556">
        <v>4</v>
      </c>
      <c r="F27" s="556" t="s">
        <v>661</v>
      </c>
      <c r="G27" s="215">
        <v>9.02</v>
      </c>
      <c r="H27" s="215"/>
      <c r="I27" s="68"/>
      <c r="J27" s="83">
        <f>'Ocorrências Mensais - FAT'!G47</f>
        <v>0.33333333333333331</v>
      </c>
      <c r="K27" s="441">
        <f t="shared" si="0"/>
        <v>3.0066666666666664</v>
      </c>
      <c r="L27" s="39">
        <f t="shared" si="1"/>
        <v>12</v>
      </c>
      <c r="N27" s="218">
        <v>1.59</v>
      </c>
      <c r="O27" s="39">
        <f>ROUND(IF(Dados!$J$59="SIM",N27*Dados!$N$59,N27),2)</f>
        <v>1.59</v>
      </c>
      <c r="P27" s="39">
        <f>ROUND(IF(Dados!$J$60="SIM",O27*Dados!$N$60,O27),2)</f>
        <v>1.59</v>
      </c>
      <c r="Q27" s="39">
        <f>ROUND(IF(Dados!$J$61="SIM",P27*Dados!$N$61,P27),2)</f>
        <v>1.59</v>
      </c>
      <c r="R27" s="39">
        <f>ROUND(IF(Dados!$J$62="SIM",Q27*Dados!$N$62,Q27),2)</f>
        <v>1.59</v>
      </c>
      <c r="S27" s="81">
        <f>ROUND(IF(Dados!$J$63="SIM",R27*Dados!$N$63,R27),2)</f>
        <v>1.59</v>
      </c>
    </row>
    <row r="28" spans="1:19" s="69" customFormat="1" ht="25.5" x14ac:dyDescent="0.2">
      <c r="A28" s="82">
        <v>20</v>
      </c>
      <c r="B28" s="438" t="s">
        <v>599</v>
      </c>
      <c r="C28" s="557" t="s">
        <v>662</v>
      </c>
      <c r="D28" s="554" t="s">
        <v>684</v>
      </c>
      <c r="E28" s="557">
        <v>40</v>
      </c>
      <c r="F28" s="556" t="s">
        <v>661</v>
      </c>
      <c r="G28" s="215">
        <v>51.94</v>
      </c>
      <c r="H28" s="215"/>
      <c r="I28" s="68"/>
      <c r="J28" s="83">
        <f>'Ocorrências Mensais - FAT'!G48</f>
        <v>3.3333333333333335</v>
      </c>
      <c r="K28" s="441">
        <f t="shared" si="0"/>
        <v>173.13333333333333</v>
      </c>
      <c r="L28" s="39">
        <f t="shared" si="1"/>
        <v>12</v>
      </c>
      <c r="N28" s="218">
        <v>10.9</v>
      </c>
      <c r="O28" s="39">
        <f>ROUND(IF(Dados!$J$59="SIM",N28*Dados!$N$59,N28),2)</f>
        <v>10.9</v>
      </c>
      <c r="P28" s="39">
        <f>ROUND(IF(Dados!$J$60="SIM",O28*Dados!$N$60,O28),2)</f>
        <v>10.9</v>
      </c>
      <c r="Q28" s="39">
        <f>ROUND(IF(Dados!$J$61="SIM",P28*Dados!$N$61,P28),2)</f>
        <v>10.9</v>
      </c>
      <c r="R28" s="39">
        <f>ROUND(IF(Dados!$J$62="SIM",Q28*Dados!$N$62,Q28),2)</f>
        <v>10.9</v>
      </c>
      <c r="S28" s="81">
        <f>ROUND(IF(Dados!$J$63="SIM",R28*Dados!$N$63,R28),2)</f>
        <v>10.9</v>
      </c>
    </row>
    <row r="29" spans="1:19" s="69" customFormat="1" ht="38.25" x14ac:dyDescent="0.2">
      <c r="A29" s="82">
        <v>21</v>
      </c>
      <c r="B29" s="438" t="s">
        <v>600</v>
      </c>
      <c r="C29" s="557" t="s">
        <v>662</v>
      </c>
      <c r="D29" s="554" t="s">
        <v>685</v>
      </c>
      <c r="E29" s="558">
        <v>8</v>
      </c>
      <c r="F29" s="556" t="s">
        <v>661</v>
      </c>
      <c r="G29" s="215">
        <v>119.17</v>
      </c>
      <c r="H29" s="215"/>
      <c r="I29" s="68"/>
      <c r="J29" s="83">
        <f>'Ocorrências Mensais - FAT'!G49</f>
        <v>0.66666666666666663</v>
      </c>
      <c r="K29" s="441">
        <f t="shared" si="0"/>
        <v>79.446666666666658</v>
      </c>
      <c r="L29" s="39">
        <f t="shared" si="1"/>
        <v>12</v>
      </c>
      <c r="N29" s="218">
        <v>3</v>
      </c>
      <c r="O29" s="39">
        <f>ROUND(IF(Dados!$J$59="SIM",N29*Dados!$N$59,N29),2)</f>
        <v>3</v>
      </c>
      <c r="P29" s="39">
        <f>ROUND(IF(Dados!$J$60="SIM",O29*Dados!$N$60,O29),2)</f>
        <v>3</v>
      </c>
      <c r="Q29" s="39">
        <f>ROUND(IF(Dados!$J$61="SIM",P29*Dados!$N$61,P29),2)</f>
        <v>3</v>
      </c>
      <c r="R29" s="39">
        <f>ROUND(IF(Dados!$J$62="SIM",Q29*Dados!$N$62,Q29),2)</f>
        <v>3</v>
      </c>
      <c r="S29" s="81">
        <f>ROUND(IF(Dados!$J$63="SIM",R29*Dados!$N$63,R29),2)</f>
        <v>3</v>
      </c>
    </row>
    <row r="30" spans="1:19" s="69" customFormat="1" ht="25.5" x14ac:dyDescent="0.2">
      <c r="A30" s="82">
        <v>22</v>
      </c>
      <c r="B30" s="438" t="s">
        <v>601</v>
      </c>
      <c r="C30" s="557" t="s">
        <v>662</v>
      </c>
      <c r="D30" s="554" t="s">
        <v>684</v>
      </c>
      <c r="E30" s="558">
        <v>40</v>
      </c>
      <c r="F30" s="556" t="s">
        <v>661</v>
      </c>
      <c r="G30" s="215">
        <v>132.34</v>
      </c>
      <c r="H30" s="215"/>
      <c r="I30" s="68"/>
      <c r="J30" s="83">
        <f>'Ocorrências Mensais - FAT'!G50</f>
        <v>3.3333333333333335</v>
      </c>
      <c r="K30" s="441">
        <f t="shared" si="0"/>
        <v>441.13333333333338</v>
      </c>
      <c r="L30" s="39">
        <f t="shared" si="1"/>
        <v>12</v>
      </c>
      <c r="N30" s="218">
        <v>1</v>
      </c>
      <c r="O30" s="39">
        <f>ROUND(IF(Dados!$J$59="SIM",N30*Dados!$N$59,N30),2)</f>
        <v>1</v>
      </c>
      <c r="P30" s="39">
        <f>ROUND(IF(Dados!$J$60="SIM",O30*Dados!$N$60,O30),2)</f>
        <v>1</v>
      </c>
      <c r="Q30" s="39">
        <f>ROUND(IF(Dados!$J$61="SIM",P30*Dados!$N$61,P30),2)</f>
        <v>1</v>
      </c>
      <c r="R30" s="39">
        <f>ROUND(IF(Dados!$J$62="SIM",Q30*Dados!$N$62,Q30),2)</f>
        <v>1</v>
      </c>
      <c r="S30" s="81">
        <f>ROUND(IF(Dados!$J$63="SIM",R30*Dados!$N$63,R30),2)</f>
        <v>1</v>
      </c>
    </row>
    <row r="31" spans="1:19" s="69" customFormat="1" ht="51" x14ac:dyDescent="0.2">
      <c r="A31" s="82">
        <v>23</v>
      </c>
      <c r="B31" s="438" t="s">
        <v>602</v>
      </c>
      <c r="C31" s="556" t="s">
        <v>65</v>
      </c>
      <c r="D31" s="554" t="s">
        <v>686</v>
      </c>
      <c r="E31" s="557">
        <v>1</v>
      </c>
      <c r="F31" s="556" t="s">
        <v>661</v>
      </c>
      <c r="G31" s="215">
        <v>77.459999999999994</v>
      </c>
      <c r="H31" s="215"/>
      <c r="I31" s="68"/>
      <c r="J31" s="83">
        <f>'Ocorrências Mensais - FAT'!G51</f>
        <v>8.3333333333333329E-2</v>
      </c>
      <c r="K31" s="441">
        <f t="shared" si="0"/>
        <v>6.4549999999999992</v>
      </c>
      <c r="L31" s="39">
        <f t="shared" si="1"/>
        <v>12</v>
      </c>
      <c r="N31" s="218">
        <v>2</v>
      </c>
      <c r="O31" s="39">
        <f>ROUND(IF(Dados!$J$59="SIM",N31*Dados!$N$59,N31),2)</f>
        <v>2</v>
      </c>
      <c r="P31" s="39">
        <f>ROUND(IF(Dados!$J$60="SIM",O31*Dados!$N$60,O31),2)</f>
        <v>2</v>
      </c>
      <c r="Q31" s="39">
        <f>ROUND(IF(Dados!$J$61="SIM",P31*Dados!$N$61,P31),2)</f>
        <v>2</v>
      </c>
      <c r="R31" s="39">
        <f>ROUND(IF(Dados!$J$62="SIM",Q31*Dados!$N$62,Q31),2)</f>
        <v>2</v>
      </c>
      <c r="S31" s="81">
        <f>ROUND(IF(Dados!$J$63="SIM",R31*Dados!$N$63,R31),2)</f>
        <v>2</v>
      </c>
    </row>
    <row r="32" spans="1:19" s="69" customFormat="1" ht="12.75" x14ac:dyDescent="0.2">
      <c r="A32" s="82">
        <v>24</v>
      </c>
      <c r="B32" s="438" t="s">
        <v>603</v>
      </c>
      <c r="C32" s="556" t="s">
        <v>65</v>
      </c>
      <c r="D32" s="554" t="s">
        <v>687</v>
      </c>
      <c r="E32" s="557">
        <v>12</v>
      </c>
      <c r="F32" s="557" t="s">
        <v>642</v>
      </c>
      <c r="G32" s="215">
        <v>17.64</v>
      </c>
      <c r="H32" s="215"/>
      <c r="I32" s="68"/>
      <c r="J32" s="83">
        <f>'Ocorrências Mensais - FAT'!G52</f>
        <v>12</v>
      </c>
      <c r="K32" s="441">
        <f t="shared" si="0"/>
        <v>211.68</v>
      </c>
      <c r="L32" s="39">
        <f t="shared" si="1"/>
        <v>1</v>
      </c>
      <c r="N32" s="218">
        <v>20</v>
      </c>
      <c r="O32" s="39">
        <f>ROUND(IF(Dados!$J$59="SIM",N32*Dados!$N$59,N32),2)</f>
        <v>20</v>
      </c>
      <c r="P32" s="39">
        <f>ROUND(IF(Dados!$J$60="SIM",O32*Dados!$N$60,O32),2)</f>
        <v>20</v>
      </c>
      <c r="Q32" s="39">
        <f>ROUND(IF(Dados!$J$61="SIM",P32*Dados!$N$61,P32),2)</f>
        <v>20</v>
      </c>
      <c r="R32" s="39">
        <f>ROUND(IF(Dados!$J$62="SIM",Q32*Dados!$N$62,Q32),2)</f>
        <v>20</v>
      </c>
      <c r="S32" s="81">
        <f>ROUND(IF(Dados!$J$63="SIM",R32*Dados!$N$63,R32),2)</f>
        <v>20</v>
      </c>
    </row>
    <row r="33" spans="1:22" s="69" customFormat="1" ht="63.75" x14ac:dyDescent="0.2">
      <c r="A33" s="82">
        <v>25</v>
      </c>
      <c r="B33" s="438" t="s">
        <v>604</v>
      </c>
      <c r="C33" s="557" t="s">
        <v>662</v>
      </c>
      <c r="D33" s="554" t="s">
        <v>688</v>
      </c>
      <c r="E33" s="557">
        <v>5</v>
      </c>
      <c r="F33" s="557" t="s">
        <v>642</v>
      </c>
      <c r="G33" s="215">
        <v>35.15</v>
      </c>
      <c r="H33" s="215"/>
      <c r="I33" s="68"/>
      <c r="J33" s="83">
        <f>'Ocorrências Mensais - FAT'!G53</f>
        <v>5</v>
      </c>
      <c r="K33" s="441">
        <f t="shared" si="0"/>
        <v>175.75</v>
      </c>
      <c r="L33" s="39">
        <f t="shared" si="1"/>
        <v>1</v>
      </c>
      <c r="N33" s="218">
        <v>6.3</v>
      </c>
      <c r="O33" s="39">
        <f>ROUND(IF(Dados!$J$59="SIM",N33*Dados!$N$59,N33),2)</f>
        <v>6.3</v>
      </c>
      <c r="P33" s="39">
        <f>ROUND(IF(Dados!$J$60="SIM",O33*Dados!$N$60,O33),2)</f>
        <v>6.3</v>
      </c>
      <c r="Q33" s="39">
        <f>ROUND(IF(Dados!$J$61="SIM",P33*Dados!$N$61,P33),2)</f>
        <v>6.3</v>
      </c>
      <c r="R33" s="39">
        <f>ROUND(IF(Dados!$J$62="SIM",Q33*Dados!$N$62,Q33),2)</f>
        <v>6.3</v>
      </c>
      <c r="S33" s="81">
        <f>ROUND(IF(Dados!$J$63="SIM",R33*Dados!$N$63,R33),2)</f>
        <v>6.3</v>
      </c>
    </row>
    <row r="34" spans="1:22" s="69" customFormat="1" ht="63.75" x14ac:dyDescent="0.2">
      <c r="A34" s="82">
        <v>26</v>
      </c>
      <c r="B34" s="438" t="s">
        <v>605</v>
      </c>
      <c r="C34" s="556" t="s">
        <v>65</v>
      </c>
      <c r="D34" s="554" t="s">
        <v>689</v>
      </c>
      <c r="E34" s="557">
        <v>6</v>
      </c>
      <c r="F34" s="557" t="s">
        <v>642</v>
      </c>
      <c r="G34" s="215">
        <v>6.72</v>
      </c>
      <c r="H34" s="215"/>
      <c r="I34" s="68"/>
      <c r="J34" s="83">
        <f>'Ocorrências Mensais - FAT'!G54</f>
        <v>6</v>
      </c>
      <c r="K34" s="441">
        <f t="shared" si="0"/>
        <v>40.32</v>
      </c>
      <c r="L34" s="39">
        <f t="shared" si="1"/>
        <v>1</v>
      </c>
      <c r="N34" s="218">
        <v>8.99</v>
      </c>
      <c r="O34" s="39">
        <f>ROUND(IF(Dados!$J$59="SIM",N34*Dados!$N$59,N34),2)</f>
        <v>8.99</v>
      </c>
      <c r="P34" s="39">
        <f>ROUND(IF(Dados!$J$60="SIM",O34*Dados!$N$60,O34),2)</f>
        <v>8.99</v>
      </c>
      <c r="Q34" s="39">
        <f>ROUND(IF(Dados!$J$61="SIM",P34*Dados!$N$61,P34),2)</f>
        <v>8.99</v>
      </c>
      <c r="R34" s="39">
        <f>ROUND(IF(Dados!$J$62="SIM",Q34*Dados!$N$62,Q34),2)</f>
        <v>8.99</v>
      </c>
      <c r="S34" s="81">
        <f>ROUND(IF(Dados!$J$63="SIM",R34*Dados!$N$63,R34),2)</f>
        <v>8.99</v>
      </c>
    </row>
    <row r="35" spans="1:22" s="69" customFormat="1" ht="51" x14ac:dyDescent="0.2">
      <c r="A35" s="82">
        <v>27</v>
      </c>
      <c r="B35" s="438" t="s">
        <v>606</v>
      </c>
      <c r="C35" s="557" t="s">
        <v>664</v>
      </c>
      <c r="D35" s="554" t="s">
        <v>690</v>
      </c>
      <c r="E35" s="557">
        <v>10</v>
      </c>
      <c r="F35" s="557" t="s">
        <v>642</v>
      </c>
      <c r="G35" s="215">
        <v>14.16</v>
      </c>
      <c r="H35" s="215"/>
      <c r="I35" s="68"/>
      <c r="J35" s="83">
        <f>'Ocorrências Mensais - FAT'!G55</f>
        <v>10</v>
      </c>
      <c r="K35" s="441">
        <f t="shared" si="0"/>
        <v>141.6</v>
      </c>
      <c r="L35" s="39">
        <f t="shared" si="1"/>
        <v>1</v>
      </c>
      <c r="N35" s="218">
        <v>5</v>
      </c>
      <c r="O35" s="39">
        <f>ROUND(IF(Dados!$J$59="SIM",N35*Dados!$N$59,N35),2)</f>
        <v>5</v>
      </c>
      <c r="P35" s="39">
        <f>ROUND(IF(Dados!$J$60="SIM",O35*Dados!$N$60,O35),2)</f>
        <v>5</v>
      </c>
      <c r="Q35" s="39">
        <f>ROUND(IF(Dados!$J$61="SIM",P35*Dados!$N$61,P35),2)</f>
        <v>5</v>
      </c>
      <c r="R35" s="39">
        <f>ROUND(IF(Dados!$J$62="SIM",Q35*Dados!$N$62,Q35),2)</f>
        <v>5</v>
      </c>
      <c r="S35" s="81">
        <f>ROUND(IF(Dados!$J$63="SIM",R35*Dados!$N$63,R35),2)</f>
        <v>5</v>
      </c>
    </row>
    <row r="36" spans="1:22" s="69" customFormat="1" ht="25.5" x14ac:dyDescent="0.2">
      <c r="A36" s="82">
        <v>28</v>
      </c>
      <c r="B36" s="438" t="s">
        <v>607</v>
      </c>
      <c r="C36" s="556" t="s">
        <v>65</v>
      </c>
      <c r="D36" s="554" t="s">
        <v>691</v>
      </c>
      <c r="E36" s="557">
        <v>2</v>
      </c>
      <c r="F36" s="556" t="s">
        <v>661</v>
      </c>
      <c r="G36" s="215">
        <v>224.33</v>
      </c>
      <c r="H36" s="215"/>
      <c r="I36" s="68"/>
      <c r="J36" s="83">
        <f>'Ocorrências Mensais - FAT'!G56</f>
        <v>0.16666666666666666</v>
      </c>
      <c r="K36" s="441">
        <f t="shared" si="0"/>
        <v>37.388333333333335</v>
      </c>
      <c r="L36" s="39">
        <f t="shared" si="1"/>
        <v>12</v>
      </c>
      <c r="N36" s="218">
        <v>1.5</v>
      </c>
      <c r="O36" s="39">
        <f>ROUND(IF(Dados!$J$59="SIM",N36*Dados!$N$59,N36),2)</f>
        <v>1.5</v>
      </c>
      <c r="P36" s="39">
        <f>ROUND(IF(Dados!$J$60="SIM",O36*Dados!$N$60,O36),2)</f>
        <v>1.5</v>
      </c>
      <c r="Q36" s="39">
        <f>ROUND(IF(Dados!$J$61="SIM",P36*Dados!$N$61,P36),2)</f>
        <v>1.5</v>
      </c>
      <c r="R36" s="39">
        <f>ROUND(IF(Dados!$J$62="SIM",Q36*Dados!$N$62,Q36),2)</f>
        <v>1.5</v>
      </c>
      <c r="S36" s="81">
        <f>ROUND(IF(Dados!$J$63="SIM",R36*Dados!$N$63,R36),2)</f>
        <v>1.5</v>
      </c>
    </row>
    <row r="37" spans="1:22" s="69" customFormat="1" ht="12.75" x14ac:dyDescent="0.2">
      <c r="A37" s="82">
        <v>29</v>
      </c>
      <c r="B37" s="560" t="s">
        <v>608</v>
      </c>
      <c r="C37" s="556" t="s">
        <v>65</v>
      </c>
      <c r="D37" s="554"/>
      <c r="E37" s="556">
        <v>20</v>
      </c>
      <c r="F37" s="557" t="s">
        <v>642</v>
      </c>
      <c r="G37" s="215">
        <v>1.56</v>
      </c>
      <c r="H37" s="215"/>
      <c r="I37" s="68"/>
      <c r="J37" s="83">
        <f>'Ocorrências Mensais - FAT'!G57</f>
        <v>20</v>
      </c>
      <c r="K37" s="441">
        <f t="shared" si="0"/>
        <v>31.200000000000003</v>
      </c>
      <c r="L37" s="39">
        <f t="shared" si="1"/>
        <v>1</v>
      </c>
      <c r="N37" s="218">
        <v>3.2</v>
      </c>
      <c r="O37" s="39">
        <f>ROUND(IF(Dados!$J$59="SIM",N37*Dados!$N$59,N37),2)</f>
        <v>3.2</v>
      </c>
      <c r="P37" s="39">
        <f>ROUND(IF(Dados!$J$60="SIM",O37*Dados!$N$60,O37),2)</f>
        <v>3.2</v>
      </c>
      <c r="Q37" s="39">
        <f>ROUND(IF(Dados!$J$61="SIM",P37*Dados!$N$61,P37),2)</f>
        <v>3.2</v>
      </c>
      <c r="R37" s="39">
        <f>ROUND(IF(Dados!$J$62="SIM",Q37*Dados!$N$62,Q37),2)</f>
        <v>3.2</v>
      </c>
      <c r="S37" s="81">
        <f>ROUND(IF(Dados!$J$63="SIM",R37*Dados!$N$63,R37),2)</f>
        <v>3.2</v>
      </c>
    </row>
    <row r="38" spans="1:22" s="69" customFormat="1" ht="25.5" x14ac:dyDescent="0.2">
      <c r="A38" s="82">
        <v>30</v>
      </c>
      <c r="B38" s="438" t="s">
        <v>609</v>
      </c>
      <c r="C38" s="556" t="s">
        <v>65</v>
      </c>
      <c r="D38" s="554" t="s">
        <v>690</v>
      </c>
      <c r="E38" s="557">
        <v>10</v>
      </c>
      <c r="F38" s="556" t="s">
        <v>661</v>
      </c>
      <c r="G38" s="215">
        <v>11.67</v>
      </c>
      <c r="H38" s="215"/>
      <c r="I38" s="68"/>
      <c r="J38" s="83">
        <f>'Ocorrências Mensais - FAT'!G58</f>
        <v>0.83333333333333337</v>
      </c>
      <c r="K38" s="441">
        <f t="shared" si="0"/>
        <v>9.7249999999999996</v>
      </c>
      <c r="L38" s="39">
        <f t="shared" si="1"/>
        <v>12</v>
      </c>
      <c r="N38" s="218">
        <v>3.99</v>
      </c>
      <c r="O38" s="39">
        <f>ROUND(IF(Dados!$J$59="SIM",N38*Dados!$N$59,N38),2)</f>
        <v>3.99</v>
      </c>
      <c r="P38" s="39">
        <f>ROUND(IF(Dados!$J$60="SIM",O38*Dados!$N$60,O38),2)</f>
        <v>3.99</v>
      </c>
      <c r="Q38" s="39">
        <f>ROUND(IF(Dados!$J$61="SIM",P38*Dados!$N$61,P38),2)</f>
        <v>3.99</v>
      </c>
      <c r="R38" s="39">
        <f>ROUND(IF(Dados!$J$62="SIM",Q38*Dados!$N$62,Q38),2)</f>
        <v>3.99</v>
      </c>
      <c r="S38" s="81">
        <f>ROUND(IF(Dados!$J$63="SIM",R38*Dados!$N$63,R38),2)</f>
        <v>3.99</v>
      </c>
    </row>
    <row r="39" spans="1:22" s="69" customFormat="1" ht="51" x14ac:dyDescent="0.2">
      <c r="A39" s="82">
        <v>31</v>
      </c>
      <c r="B39" s="438" t="s">
        <v>610</v>
      </c>
      <c r="C39" s="554" t="s">
        <v>665</v>
      </c>
      <c r="D39" s="554" t="s">
        <v>692</v>
      </c>
      <c r="E39" s="557">
        <v>1</v>
      </c>
      <c r="F39" s="557" t="s">
        <v>642</v>
      </c>
      <c r="G39" s="215">
        <v>76.72</v>
      </c>
      <c r="H39" s="215"/>
      <c r="I39" s="68"/>
      <c r="J39" s="83">
        <f>'Ocorrências Mensais - FAT'!G59</f>
        <v>1</v>
      </c>
      <c r="K39" s="441">
        <f t="shared" si="0"/>
        <v>76.72</v>
      </c>
      <c r="L39" s="39">
        <f t="shared" si="1"/>
        <v>1</v>
      </c>
      <c r="N39" s="218">
        <v>1.4</v>
      </c>
      <c r="O39" s="39">
        <f>ROUND(IF(Dados!$J$59="SIM",N39*Dados!$N$59,N39),2)</f>
        <v>1.4</v>
      </c>
      <c r="P39" s="39">
        <f>ROUND(IF(Dados!$J$60="SIM",O39*Dados!$N$60,O39),2)</f>
        <v>1.4</v>
      </c>
      <c r="Q39" s="39">
        <f>ROUND(IF(Dados!$J$61="SIM",P39*Dados!$N$61,P39),2)</f>
        <v>1.4</v>
      </c>
      <c r="R39" s="39">
        <f>ROUND(IF(Dados!$J$62="SIM",Q39*Dados!$N$62,Q39),2)</f>
        <v>1.4</v>
      </c>
      <c r="S39" s="81">
        <f>ROUND(IF(Dados!$J$63="SIM",R39*Dados!$N$63,R39),2)</f>
        <v>1.4</v>
      </c>
    </row>
    <row r="40" spans="1:22" s="69" customFormat="1" ht="38.25" x14ac:dyDescent="0.2">
      <c r="A40" s="82">
        <v>32</v>
      </c>
      <c r="B40" s="438" t="s">
        <v>611</v>
      </c>
      <c r="C40" s="557" t="s">
        <v>666</v>
      </c>
      <c r="D40" s="554" t="s">
        <v>693</v>
      </c>
      <c r="E40" s="557">
        <v>2</v>
      </c>
      <c r="F40" s="557" t="s">
        <v>642</v>
      </c>
      <c r="G40" s="215">
        <v>89.8</v>
      </c>
      <c r="H40" s="215"/>
      <c r="I40" s="68"/>
      <c r="J40" s="83">
        <f>'Ocorrências Mensais - FAT'!G60</f>
        <v>2</v>
      </c>
      <c r="K40" s="441">
        <f t="shared" si="0"/>
        <v>179.6</v>
      </c>
      <c r="L40" s="39">
        <f t="shared" si="1"/>
        <v>1</v>
      </c>
      <c r="N40" s="218">
        <v>2.04</v>
      </c>
      <c r="O40" s="39">
        <f>ROUND(IF(Dados!$J$59="SIM",N40*Dados!$N$59,N40),2)</f>
        <v>2.04</v>
      </c>
      <c r="P40" s="39">
        <f>ROUND(IF(Dados!$J$60="SIM",O40*Dados!$N$60,O40),2)</f>
        <v>2.04</v>
      </c>
      <c r="Q40" s="39">
        <f>ROUND(IF(Dados!$J$61="SIM",P40*Dados!$N$61,P40),2)</f>
        <v>2.04</v>
      </c>
      <c r="R40" s="39">
        <f>ROUND(IF(Dados!$J$62="SIM",Q40*Dados!$N$62,Q40),2)</f>
        <v>2.04</v>
      </c>
      <c r="S40" s="81">
        <f>ROUND(IF(Dados!$J$63="SIM",R40*Dados!$N$63,R40),2)</f>
        <v>2.04</v>
      </c>
    </row>
    <row r="41" spans="1:22" s="69" customFormat="1" ht="51" x14ac:dyDescent="0.2">
      <c r="A41" s="82">
        <v>33</v>
      </c>
      <c r="B41" s="560" t="s">
        <v>612</v>
      </c>
      <c r="C41" s="556" t="s">
        <v>667</v>
      </c>
      <c r="D41" s="554" t="s">
        <v>694</v>
      </c>
      <c r="E41" s="556">
        <v>40</v>
      </c>
      <c r="F41" s="557" t="s">
        <v>642</v>
      </c>
      <c r="G41" s="215">
        <v>25.26</v>
      </c>
      <c r="H41" s="215"/>
      <c r="I41" s="68"/>
      <c r="J41" s="83">
        <f>'Ocorrências Mensais - FAT'!G61</f>
        <v>40</v>
      </c>
      <c r="K41" s="441">
        <f t="shared" si="0"/>
        <v>1010.4000000000001</v>
      </c>
      <c r="L41" s="39">
        <f t="shared" si="1"/>
        <v>1</v>
      </c>
      <c r="N41" s="218">
        <v>6.55</v>
      </c>
      <c r="O41" s="39">
        <f>ROUND(IF(Dados!$J$59="SIM",N41*Dados!$N$59,N41),2)</f>
        <v>6.55</v>
      </c>
      <c r="P41" s="39">
        <f>ROUND(IF(Dados!$J$60="SIM",O41*Dados!$N$60,O41),2)</f>
        <v>6.55</v>
      </c>
      <c r="Q41" s="39">
        <f>ROUND(IF(Dados!$J$61="SIM",P41*Dados!$N$61,P41),2)</f>
        <v>6.55</v>
      </c>
      <c r="R41" s="39">
        <f>ROUND(IF(Dados!$J$62="SIM",Q41*Dados!$N$62,Q41),2)</f>
        <v>6.55</v>
      </c>
      <c r="S41" s="81">
        <f>ROUND(IF(Dados!$J$63="SIM",R41*Dados!$N$63,R41),2)</f>
        <v>6.55</v>
      </c>
    </row>
    <row r="42" spans="1:22" s="69" customFormat="1" ht="25.5" x14ac:dyDescent="0.2">
      <c r="A42" s="82">
        <v>34</v>
      </c>
      <c r="B42" s="438" t="s">
        <v>613</v>
      </c>
      <c r="C42" s="556" t="s">
        <v>65</v>
      </c>
      <c r="D42" s="554" t="s">
        <v>695</v>
      </c>
      <c r="E42" s="557">
        <v>60</v>
      </c>
      <c r="F42" s="557" t="s">
        <v>642</v>
      </c>
      <c r="G42" s="215">
        <v>3.52</v>
      </c>
      <c r="H42" s="215"/>
      <c r="I42" s="68"/>
      <c r="J42" s="83">
        <f>'Ocorrências Mensais - FAT'!G62</f>
        <v>60</v>
      </c>
      <c r="K42" s="441">
        <f t="shared" si="0"/>
        <v>211.2</v>
      </c>
      <c r="L42" s="39">
        <f t="shared" si="1"/>
        <v>1</v>
      </c>
      <c r="N42" s="218">
        <v>2.8</v>
      </c>
      <c r="O42" s="39">
        <f>ROUND(IF(Dados!$J$59="SIM",N42*Dados!$N$59,N42),2)</f>
        <v>2.8</v>
      </c>
      <c r="P42" s="39">
        <f>ROUND(IF(Dados!$J$60="SIM",O42*Dados!$N$60,O42),2)</f>
        <v>2.8</v>
      </c>
      <c r="Q42" s="39">
        <f>ROUND(IF(Dados!$J$61="SIM",P42*Dados!$N$61,P42),2)</f>
        <v>2.8</v>
      </c>
      <c r="R42" s="39">
        <f>ROUND(IF(Dados!$J$62="SIM",Q42*Dados!$N$62,Q42),2)</f>
        <v>2.8</v>
      </c>
      <c r="S42" s="81">
        <f>ROUND(IF(Dados!$J$63="SIM",R42*Dados!$N$63,R42),2)</f>
        <v>2.8</v>
      </c>
    </row>
    <row r="43" spans="1:22" s="69" customFormat="1" ht="25.5" x14ac:dyDescent="0.2">
      <c r="A43" s="82">
        <v>35</v>
      </c>
      <c r="B43" s="560" t="s">
        <v>614</v>
      </c>
      <c r="C43" s="556" t="s">
        <v>65</v>
      </c>
      <c r="D43" s="554"/>
      <c r="E43" s="557">
        <v>12</v>
      </c>
      <c r="F43" s="556" t="s">
        <v>661</v>
      </c>
      <c r="G43" s="215">
        <v>6.19</v>
      </c>
      <c r="H43" s="215"/>
      <c r="I43" s="68"/>
      <c r="J43" s="83">
        <f>'Ocorrências Mensais - FAT'!G63</f>
        <v>1</v>
      </c>
      <c r="K43" s="441">
        <f t="shared" si="0"/>
        <v>6.19</v>
      </c>
      <c r="L43" s="39">
        <f t="shared" si="1"/>
        <v>12</v>
      </c>
      <c r="N43" s="218">
        <v>19.899999999999999</v>
      </c>
      <c r="O43" s="39">
        <f>ROUND(IF(Dados!$J$59="SIM",N43*Dados!$N$59,N43),2)</f>
        <v>19.899999999999999</v>
      </c>
      <c r="P43" s="39">
        <f>ROUND(IF(Dados!$J$60="SIM",O43*Dados!$N$60,O43),2)</f>
        <v>19.899999999999999</v>
      </c>
      <c r="Q43" s="39">
        <f>ROUND(IF(Dados!$J$61="SIM",P43*Dados!$N$61,P43),2)</f>
        <v>19.899999999999999</v>
      </c>
      <c r="R43" s="39">
        <f>ROUND(IF(Dados!$J$62="SIM",Q43*Dados!$N$62,Q43),2)</f>
        <v>19.899999999999999</v>
      </c>
      <c r="S43" s="81">
        <f>ROUND(IF(Dados!$J$63="SIM",R43*Dados!$N$63,R43),2)</f>
        <v>19.899999999999999</v>
      </c>
    </row>
    <row r="44" spans="1:22" s="69" customFormat="1" ht="38.25" x14ac:dyDescent="0.2">
      <c r="A44" s="82">
        <v>36</v>
      </c>
      <c r="B44" s="438" t="s">
        <v>615</v>
      </c>
      <c r="C44" s="556" t="s">
        <v>65</v>
      </c>
      <c r="D44" s="554" t="s">
        <v>696</v>
      </c>
      <c r="E44" s="557">
        <v>8</v>
      </c>
      <c r="F44" s="556" t="s">
        <v>661</v>
      </c>
      <c r="G44" s="215">
        <v>12.33</v>
      </c>
      <c r="H44" s="215"/>
      <c r="I44" s="68"/>
      <c r="J44" s="83">
        <f>'Ocorrências Mensais - FAT'!G64</f>
        <v>0.66666666666666663</v>
      </c>
      <c r="K44" s="441">
        <f t="shared" si="0"/>
        <v>8.2199999999999989</v>
      </c>
      <c r="L44" s="39">
        <f t="shared" si="1"/>
        <v>12</v>
      </c>
      <c r="N44" s="218">
        <v>5.8</v>
      </c>
      <c r="O44" s="39">
        <f>ROUND(IF(Dados!$J$59="SIM",N44*Dados!$N$59,N44),2)</f>
        <v>5.8</v>
      </c>
      <c r="P44" s="39">
        <f>ROUND(IF(Dados!$J$60="SIM",O44*Dados!$N$60,O44),2)</f>
        <v>5.8</v>
      </c>
      <c r="Q44" s="39">
        <f>ROUND(IF(Dados!$J$61="SIM",P44*Dados!$N$61,P44),2)</f>
        <v>5.8</v>
      </c>
      <c r="R44" s="39">
        <f>ROUND(IF(Dados!$J$62="SIM",Q44*Dados!$N$62,Q44),2)</f>
        <v>5.8</v>
      </c>
      <c r="S44" s="81">
        <f>ROUND(IF(Dados!$J$63="SIM",R44*Dados!$N$63,R44),2)</f>
        <v>5.8</v>
      </c>
    </row>
    <row r="45" spans="1:22" s="69" customFormat="1" ht="38.25" x14ac:dyDescent="0.2">
      <c r="A45" s="82">
        <v>37</v>
      </c>
      <c r="B45" s="438" t="s">
        <v>616</v>
      </c>
      <c r="C45" s="556" t="s">
        <v>65</v>
      </c>
      <c r="D45" s="554" t="s">
        <v>696</v>
      </c>
      <c r="E45" s="557">
        <v>8</v>
      </c>
      <c r="F45" s="556" t="s">
        <v>661</v>
      </c>
      <c r="G45" s="215">
        <v>14.95</v>
      </c>
      <c r="H45" s="215"/>
      <c r="I45" s="68"/>
      <c r="J45" s="83">
        <f>'Ocorrências Mensais - FAT'!G65</f>
        <v>0.66666666666666663</v>
      </c>
      <c r="K45" s="441">
        <f t="shared" si="0"/>
        <v>9.966666666666665</v>
      </c>
      <c r="L45" s="39">
        <f t="shared" si="1"/>
        <v>12</v>
      </c>
      <c r="N45" s="218">
        <v>6</v>
      </c>
      <c r="O45" s="39">
        <f>ROUND(IF(Dados!$J$59="SIM",N45*Dados!$N$59,N45),2)</f>
        <v>6</v>
      </c>
      <c r="P45" s="39">
        <f>ROUND(IF(Dados!$J$60="SIM",O45*Dados!$N$60,O45),2)</f>
        <v>6</v>
      </c>
      <c r="Q45" s="39">
        <f>ROUND(IF(Dados!$J$61="SIM",P45*Dados!$N$61,P45),2)</f>
        <v>6</v>
      </c>
      <c r="R45" s="39">
        <f>ROUND(IF(Dados!$J$62="SIM",Q45*Dados!$N$62,Q45),2)</f>
        <v>6</v>
      </c>
      <c r="S45" s="81">
        <f>ROUND(IF(Dados!$J$63="SIM",R45*Dados!$N$63,R45),2)</f>
        <v>6</v>
      </c>
    </row>
    <row r="46" spans="1:22" s="69" customFormat="1" ht="25.5" x14ac:dyDescent="0.2">
      <c r="A46" s="82">
        <v>38</v>
      </c>
      <c r="B46" s="438" t="s">
        <v>617</v>
      </c>
      <c r="C46" s="556" t="s">
        <v>667</v>
      </c>
      <c r="D46" s="554" t="s">
        <v>697</v>
      </c>
      <c r="E46" s="557">
        <v>4</v>
      </c>
      <c r="F46" s="557" t="s">
        <v>642</v>
      </c>
      <c r="G46" s="215">
        <v>10.25</v>
      </c>
      <c r="H46" s="215"/>
      <c r="I46" s="68"/>
      <c r="J46" s="83">
        <f>'Ocorrências Mensais - FAT'!G66</f>
        <v>4</v>
      </c>
      <c r="K46" s="441">
        <f t="shared" si="0"/>
        <v>41</v>
      </c>
      <c r="L46" s="39">
        <f t="shared" si="1"/>
        <v>1</v>
      </c>
      <c r="N46" s="218">
        <v>5.99</v>
      </c>
      <c r="O46" s="39">
        <f>ROUND(IF(Dados!$J$59="SIM",N46*Dados!$N$59,N46),2)</f>
        <v>5.99</v>
      </c>
      <c r="P46" s="39">
        <f>ROUND(IF(Dados!$J$60="SIM",O46*Dados!$N$60,O46),2)</f>
        <v>5.99</v>
      </c>
      <c r="Q46" s="39">
        <f>ROUND(IF(Dados!$J$61="SIM",P46*Dados!$N$61,P46),2)</f>
        <v>5.99</v>
      </c>
      <c r="R46" s="39">
        <f>ROUND(IF(Dados!$J$62="SIM",Q46*Dados!$N$62,Q46),2)</f>
        <v>5.99</v>
      </c>
      <c r="S46" s="81">
        <f>ROUND(IF(Dados!$J$63="SIM",R46*Dados!$N$63,R46),2)</f>
        <v>5.99</v>
      </c>
    </row>
    <row r="47" spans="1:22" s="69" customFormat="1" ht="25.5" x14ac:dyDescent="0.25">
      <c r="A47" s="82">
        <v>39</v>
      </c>
      <c r="B47" s="438" t="s">
        <v>618</v>
      </c>
      <c r="C47" s="557" t="s">
        <v>666</v>
      </c>
      <c r="D47" s="554" t="s">
        <v>698</v>
      </c>
      <c r="E47" s="557">
        <v>6</v>
      </c>
      <c r="F47" s="557" t="s">
        <v>642</v>
      </c>
      <c r="G47" s="215">
        <v>16.27</v>
      </c>
      <c r="H47" s="215"/>
      <c r="I47" s="68"/>
      <c r="J47" s="83">
        <f>'Ocorrências Mensais - FAT'!G67</f>
        <v>6</v>
      </c>
      <c r="K47" s="441">
        <f t="shared" si="0"/>
        <v>97.62</v>
      </c>
      <c r="L47" s="39">
        <f t="shared" si="1"/>
        <v>1</v>
      </c>
      <c r="N47" s="218">
        <v>5.5</v>
      </c>
      <c r="O47" s="39">
        <f>ROUND(IF(Dados!$J$59="SIM",N47*Dados!$N$59,N47),2)</f>
        <v>5.5</v>
      </c>
      <c r="P47" s="39">
        <f>ROUND(IF(Dados!$J$60="SIM",O47*Dados!$N$60,O47),2)</f>
        <v>5.5</v>
      </c>
      <c r="Q47" s="39">
        <f>ROUND(IF(Dados!$J$61="SIM",P47*Dados!$N$61,P47),2)</f>
        <v>5.5</v>
      </c>
      <c r="R47" s="39">
        <f>ROUND(IF(Dados!$J$62="SIM",Q47*Dados!$N$62,Q47),2)</f>
        <v>5.5</v>
      </c>
      <c r="S47" s="81">
        <f>ROUND(IF(Dados!$J$63="SIM",R47*Dados!$N$63,R47),2)</f>
        <v>5.5</v>
      </c>
      <c r="T47"/>
    </row>
    <row r="48" spans="1:22" s="69" customFormat="1" ht="15.75" thickBot="1" x14ac:dyDescent="0.3">
      <c r="A48" s="82">
        <v>40</v>
      </c>
      <c r="B48" s="438" t="s">
        <v>619</v>
      </c>
      <c r="C48" s="557" t="s">
        <v>662</v>
      </c>
      <c r="D48" s="554"/>
      <c r="E48" s="557">
        <v>5</v>
      </c>
      <c r="F48" s="557" t="s">
        <v>642</v>
      </c>
      <c r="G48" s="215">
        <v>23.54</v>
      </c>
      <c r="H48" s="215"/>
      <c r="I48" s="68"/>
      <c r="J48" s="83">
        <f>'Ocorrências Mensais - FAT'!G68</f>
        <v>5</v>
      </c>
      <c r="K48" s="441">
        <f t="shared" si="0"/>
        <v>117.69999999999999</v>
      </c>
      <c r="L48" s="39">
        <f t="shared" si="1"/>
        <v>1</v>
      </c>
      <c r="N48" s="219">
        <v>9.89</v>
      </c>
      <c r="O48" s="220">
        <f>ROUND(IF(Dados!$J$59="SIM",N48*Dados!$N$59,N48),2)</f>
        <v>9.89</v>
      </c>
      <c r="P48" s="220">
        <f>ROUND(IF(Dados!$J$60="SIM",O48*Dados!$N$60,O48),2)</f>
        <v>9.89</v>
      </c>
      <c r="Q48" s="220">
        <f>ROUND(IF(Dados!$J$61="SIM",P48*Dados!$N$61,P48),2)</f>
        <v>9.89</v>
      </c>
      <c r="R48" s="220">
        <f>ROUND(IF(Dados!$J$62="SIM",Q48*Dados!$N$62,Q48),2)</f>
        <v>9.89</v>
      </c>
      <c r="S48" s="85">
        <f>ROUND(IF(Dados!$J$63="SIM",R48*Dados!$N$63,R48),2)</f>
        <v>9.89</v>
      </c>
      <c r="T48"/>
      <c r="U48"/>
      <c r="V48"/>
    </row>
    <row r="49" spans="1:22" s="69" customFormat="1" x14ac:dyDescent="0.25">
      <c r="A49" s="552">
        <v>41</v>
      </c>
      <c r="B49" s="438" t="s">
        <v>620</v>
      </c>
      <c r="C49" s="556" t="s">
        <v>65</v>
      </c>
      <c r="D49" s="555" t="s">
        <v>699</v>
      </c>
      <c r="E49" s="559">
        <v>48</v>
      </c>
      <c r="F49" s="557" t="s">
        <v>642</v>
      </c>
      <c r="G49" s="215">
        <v>6.02</v>
      </c>
      <c r="H49" s="553"/>
      <c r="I49" s="68"/>
      <c r="J49" s="83">
        <f>'Ocorrências Mensais - FAT'!G69</f>
        <v>48</v>
      </c>
      <c r="K49" s="441">
        <f t="shared" si="0"/>
        <v>288.95999999999998</v>
      </c>
      <c r="L49" s="64"/>
      <c r="N49" s="221"/>
      <c r="O49" s="64"/>
      <c r="P49" s="64"/>
      <c r="Q49" s="64"/>
      <c r="R49" s="64"/>
      <c r="S49" s="64"/>
      <c r="T49"/>
      <c r="U49"/>
      <c r="V49"/>
    </row>
    <row r="50" spans="1:22" s="69" customFormat="1" ht="25.5" x14ac:dyDescent="0.25">
      <c r="A50" s="552">
        <v>42</v>
      </c>
      <c r="B50" s="438" t="s">
        <v>621</v>
      </c>
      <c r="C50" s="557" t="s">
        <v>662</v>
      </c>
      <c r="D50" s="555" t="s">
        <v>700</v>
      </c>
      <c r="E50" s="557">
        <v>5</v>
      </c>
      <c r="F50" s="557" t="s">
        <v>642</v>
      </c>
      <c r="G50" s="215">
        <v>20.52</v>
      </c>
      <c r="H50" s="553"/>
      <c r="I50" s="68"/>
      <c r="J50" s="83">
        <f>'Ocorrências Mensais - FAT'!G70</f>
        <v>5</v>
      </c>
      <c r="K50" s="441">
        <f t="shared" si="0"/>
        <v>102.6</v>
      </c>
      <c r="L50" s="64"/>
      <c r="N50" s="221"/>
      <c r="O50" s="64"/>
      <c r="P50" s="64"/>
      <c r="Q50" s="64"/>
      <c r="R50" s="64"/>
      <c r="S50" s="64"/>
      <c r="T50"/>
      <c r="U50"/>
      <c r="V50"/>
    </row>
    <row r="51" spans="1:22" s="69" customFormat="1" ht="25.5" x14ac:dyDescent="0.25">
      <c r="A51" s="552">
        <v>43</v>
      </c>
      <c r="B51" s="438" t="s">
        <v>622</v>
      </c>
      <c r="C51" s="556" t="s">
        <v>65</v>
      </c>
      <c r="D51" s="555" t="s">
        <v>701</v>
      </c>
      <c r="E51" s="557">
        <v>20</v>
      </c>
      <c r="F51" s="557" t="s">
        <v>642</v>
      </c>
      <c r="G51" s="215">
        <v>10.85</v>
      </c>
      <c r="H51" s="553"/>
      <c r="I51" s="68"/>
      <c r="J51" s="83">
        <f>'Ocorrências Mensais - FAT'!G71</f>
        <v>20</v>
      </c>
      <c r="K51" s="441">
        <f t="shared" si="0"/>
        <v>217</v>
      </c>
      <c r="L51" s="64"/>
      <c r="N51" s="221"/>
      <c r="O51" s="64"/>
      <c r="P51" s="64"/>
      <c r="Q51" s="64"/>
      <c r="R51" s="64"/>
      <c r="S51" s="64"/>
      <c r="T51"/>
      <c r="U51"/>
      <c r="V51"/>
    </row>
    <row r="52" spans="1:22" s="69" customFormat="1" ht="51" x14ac:dyDescent="0.25">
      <c r="A52" s="552">
        <v>44</v>
      </c>
      <c r="B52" s="438" t="s">
        <v>623</v>
      </c>
      <c r="C52" s="556" t="s">
        <v>667</v>
      </c>
      <c r="D52" s="555" t="s">
        <v>702</v>
      </c>
      <c r="E52" s="557">
        <v>6</v>
      </c>
      <c r="F52" s="557" t="s">
        <v>642</v>
      </c>
      <c r="G52" s="215">
        <v>59.17</v>
      </c>
      <c r="H52" s="553"/>
      <c r="I52" s="68"/>
      <c r="J52" s="83">
        <f>'Ocorrências Mensais - FAT'!G72</f>
        <v>6</v>
      </c>
      <c r="K52" s="441">
        <f t="shared" si="0"/>
        <v>355.02</v>
      </c>
      <c r="L52" s="64"/>
      <c r="N52" s="221"/>
      <c r="O52" s="64"/>
      <c r="P52" s="64"/>
      <c r="Q52" s="64"/>
      <c r="R52" s="64"/>
      <c r="S52" s="64"/>
      <c r="T52"/>
      <c r="U52"/>
      <c r="V52"/>
    </row>
    <row r="53" spans="1:22" s="69" customFormat="1" ht="51" x14ac:dyDescent="0.25">
      <c r="A53" s="552">
        <v>45</v>
      </c>
      <c r="B53" s="438" t="s">
        <v>624</v>
      </c>
      <c r="C53" s="556" t="s">
        <v>667</v>
      </c>
      <c r="D53" s="555" t="s">
        <v>703</v>
      </c>
      <c r="E53" s="557">
        <v>6</v>
      </c>
      <c r="F53" s="557" t="s">
        <v>642</v>
      </c>
      <c r="G53" s="215">
        <v>16.100000000000001</v>
      </c>
      <c r="H53" s="553"/>
      <c r="I53" s="68"/>
      <c r="J53" s="83">
        <f>'Ocorrências Mensais - FAT'!G73</f>
        <v>6</v>
      </c>
      <c r="K53" s="441">
        <f t="shared" si="0"/>
        <v>96.600000000000009</v>
      </c>
      <c r="L53" s="64"/>
      <c r="N53" s="221"/>
      <c r="O53" s="64"/>
      <c r="P53" s="64"/>
      <c r="Q53" s="64"/>
      <c r="R53" s="64"/>
      <c r="S53" s="64"/>
      <c r="T53"/>
      <c r="U53"/>
      <c r="V53"/>
    </row>
    <row r="54" spans="1:22" s="69" customFormat="1" ht="25.5" x14ac:dyDescent="0.25">
      <c r="A54" s="552">
        <v>46</v>
      </c>
      <c r="B54" s="438" t="s">
        <v>625</v>
      </c>
      <c r="C54" s="556" t="s">
        <v>65</v>
      </c>
      <c r="D54" s="555" t="s">
        <v>704</v>
      </c>
      <c r="E54" s="557">
        <v>2</v>
      </c>
      <c r="F54" s="556" t="s">
        <v>661</v>
      </c>
      <c r="G54" s="215">
        <v>21.58</v>
      </c>
      <c r="H54" s="553"/>
      <c r="I54" s="68"/>
      <c r="J54" s="83">
        <f>'Ocorrências Mensais - FAT'!G74</f>
        <v>0.16666666666666666</v>
      </c>
      <c r="K54" s="441">
        <f t="shared" si="0"/>
        <v>3.5966666666666662</v>
      </c>
      <c r="L54" s="64"/>
      <c r="N54" s="221"/>
      <c r="O54" s="64"/>
      <c r="P54" s="64"/>
      <c r="Q54" s="64"/>
      <c r="R54" s="64"/>
      <c r="S54" s="64"/>
      <c r="T54"/>
      <c r="U54"/>
      <c r="V54"/>
    </row>
    <row r="55" spans="1:22" s="69" customFormat="1" ht="25.5" x14ac:dyDescent="0.25">
      <c r="A55" s="552">
        <v>47</v>
      </c>
      <c r="B55" s="438" t="s">
        <v>626</v>
      </c>
      <c r="C55" s="556" t="s">
        <v>65</v>
      </c>
      <c r="D55" s="555" t="s">
        <v>696</v>
      </c>
      <c r="E55" s="557">
        <v>8</v>
      </c>
      <c r="F55" s="556" t="s">
        <v>661</v>
      </c>
      <c r="G55" s="215">
        <v>15.98</v>
      </c>
      <c r="H55" s="553"/>
      <c r="I55" s="68"/>
      <c r="J55" s="83">
        <f>'Ocorrências Mensais - FAT'!G75</f>
        <v>0.66666666666666663</v>
      </c>
      <c r="K55" s="441">
        <f t="shared" si="0"/>
        <v>10.653333333333332</v>
      </c>
      <c r="L55" s="64"/>
      <c r="N55" s="221"/>
      <c r="O55" s="64"/>
      <c r="P55" s="64"/>
      <c r="Q55" s="64"/>
      <c r="R55" s="64"/>
      <c r="S55" s="64"/>
      <c r="T55"/>
      <c r="U55"/>
      <c r="V55"/>
    </row>
    <row r="56" spans="1:22" s="69" customFormat="1" ht="38.25" x14ac:dyDescent="0.25">
      <c r="A56" s="552">
        <v>48</v>
      </c>
      <c r="B56" s="438" t="s">
        <v>627</v>
      </c>
      <c r="C56" s="556" t="s">
        <v>65</v>
      </c>
      <c r="D56" s="555" t="s">
        <v>705</v>
      </c>
      <c r="E56" s="557">
        <v>10</v>
      </c>
      <c r="F56" s="556" t="s">
        <v>661</v>
      </c>
      <c r="G56" s="215">
        <v>17.61</v>
      </c>
      <c r="H56" s="553"/>
      <c r="I56" s="68"/>
      <c r="J56" s="83">
        <f>'Ocorrências Mensais - FAT'!G76</f>
        <v>0.83333333333333337</v>
      </c>
      <c r="K56" s="441">
        <f t="shared" si="0"/>
        <v>14.675000000000001</v>
      </c>
      <c r="L56" s="64"/>
      <c r="N56" s="221"/>
      <c r="O56" s="64"/>
      <c r="P56" s="64"/>
      <c r="Q56" s="64"/>
      <c r="R56" s="64"/>
      <c r="S56" s="64"/>
      <c r="T56"/>
      <c r="U56"/>
      <c r="V56"/>
    </row>
    <row r="57" spans="1:22" s="69" customFormat="1" ht="15" hidden="1" customHeight="1" x14ac:dyDescent="0.25">
      <c r="A57" s="552">
        <v>49</v>
      </c>
      <c r="B57" s="438"/>
      <c r="C57" s="557"/>
      <c r="D57" s="555"/>
      <c r="E57" s="557">
        <v>0</v>
      </c>
      <c r="F57" s="557" t="s">
        <v>642</v>
      </c>
      <c r="G57" s="215">
        <v>0</v>
      </c>
      <c r="H57" s="553"/>
      <c r="I57" s="68"/>
      <c r="J57" s="83">
        <f>'Ocorrências Mensais - FAT'!G77</f>
        <v>0</v>
      </c>
      <c r="K57" s="441">
        <f t="shared" si="0"/>
        <v>0</v>
      </c>
      <c r="L57" s="64"/>
      <c r="N57" s="221"/>
      <c r="O57" s="64"/>
      <c r="P57" s="64"/>
      <c r="Q57" s="64"/>
      <c r="R57" s="64"/>
      <c r="S57" s="64"/>
      <c r="T57"/>
      <c r="U57"/>
      <c r="V57"/>
    </row>
    <row r="58" spans="1:22" s="69" customFormat="1" hidden="1" x14ac:dyDescent="0.25">
      <c r="A58" s="552">
        <v>50</v>
      </c>
      <c r="B58" s="438"/>
      <c r="C58" s="557"/>
      <c r="D58" s="555"/>
      <c r="E58" s="557">
        <v>0</v>
      </c>
      <c r="F58" s="557" t="s">
        <v>642</v>
      </c>
      <c r="G58" s="215">
        <v>0</v>
      </c>
      <c r="H58" s="553"/>
      <c r="I58" s="68"/>
      <c r="J58" s="83">
        <f>'Ocorrências Mensais - FAT'!G78</f>
        <v>0</v>
      </c>
      <c r="K58" s="441">
        <f t="shared" si="0"/>
        <v>0</v>
      </c>
      <c r="L58" s="64"/>
      <c r="N58" s="221"/>
      <c r="O58" s="64"/>
      <c r="P58" s="64"/>
      <c r="Q58" s="64"/>
      <c r="R58" s="64"/>
      <c r="S58" s="64"/>
      <c r="T58"/>
      <c r="U58"/>
      <c r="V58"/>
    </row>
    <row r="59" spans="1:22" s="69" customFormat="1" hidden="1" x14ac:dyDescent="0.25">
      <c r="A59" s="552">
        <v>51</v>
      </c>
      <c r="B59" s="560"/>
      <c r="C59" s="556"/>
      <c r="D59" s="555"/>
      <c r="E59" s="556">
        <v>0</v>
      </c>
      <c r="F59" s="557" t="s">
        <v>642</v>
      </c>
      <c r="G59" s="215">
        <v>0</v>
      </c>
      <c r="H59" s="553"/>
      <c r="I59" s="68"/>
      <c r="J59" s="83">
        <f>'Ocorrências Mensais - FAT'!G79</f>
        <v>0</v>
      </c>
      <c r="K59" s="441">
        <f t="shared" si="0"/>
        <v>0</v>
      </c>
      <c r="L59" s="64"/>
      <c r="N59" s="221"/>
      <c r="O59" s="64"/>
      <c r="P59" s="64"/>
      <c r="Q59" s="64"/>
      <c r="R59" s="64"/>
      <c r="S59" s="64"/>
      <c r="T59"/>
      <c r="U59"/>
      <c r="V59"/>
    </row>
    <row r="60" spans="1:22" s="69" customFormat="1" hidden="1" x14ac:dyDescent="0.25">
      <c r="A60" s="552">
        <v>52</v>
      </c>
      <c r="B60" s="438"/>
      <c r="C60" s="557"/>
      <c r="D60" s="555"/>
      <c r="E60" s="557">
        <v>0</v>
      </c>
      <c r="F60" s="557" t="s">
        <v>642</v>
      </c>
      <c r="G60" s="215">
        <v>0</v>
      </c>
      <c r="H60" s="553"/>
      <c r="I60" s="68"/>
      <c r="J60" s="83">
        <f>'Ocorrências Mensais - FAT'!G80</f>
        <v>0</v>
      </c>
      <c r="K60" s="441">
        <f t="shared" si="0"/>
        <v>0</v>
      </c>
      <c r="L60" s="64"/>
      <c r="N60" s="221"/>
      <c r="O60" s="64"/>
      <c r="P60" s="64"/>
      <c r="Q60" s="64"/>
      <c r="R60" s="64"/>
      <c r="S60" s="64"/>
      <c r="T60"/>
      <c r="U60"/>
      <c r="V60"/>
    </row>
    <row r="61" spans="1:22" ht="16.5" thickBot="1" x14ac:dyDescent="0.3">
      <c r="A61" s="689"/>
      <c r="B61" s="689"/>
      <c r="C61" s="689"/>
      <c r="D61" s="689"/>
      <c r="E61" s="689"/>
      <c r="F61" s="689"/>
      <c r="G61" s="689"/>
      <c r="H61" s="689"/>
      <c r="I61" s="58"/>
      <c r="J61" s="442" t="s">
        <v>168</v>
      </c>
      <c r="K61" s="443">
        <f>SUM(K9:K60)</f>
        <v>5657.1416666666655</v>
      </c>
      <c r="N61" s="221"/>
      <c r="O61" s="64"/>
      <c r="P61" s="64"/>
      <c r="Q61" s="64"/>
      <c r="R61" s="64"/>
      <c r="S61" s="64"/>
    </row>
    <row r="62" spans="1:22" x14ac:dyDescent="0.25">
      <c r="A62" s="222"/>
      <c r="N62" s="221"/>
      <c r="O62" s="64"/>
      <c r="P62" s="64"/>
      <c r="Q62" s="64"/>
      <c r="R62" s="64"/>
      <c r="S62" s="64"/>
    </row>
    <row r="63" spans="1:22" ht="18.75" customHeight="1" x14ac:dyDescent="0.25">
      <c r="A63" s="678" t="s">
        <v>516</v>
      </c>
      <c r="B63" s="678"/>
      <c r="C63" s="678"/>
      <c r="D63" s="678"/>
      <c r="E63" s="678"/>
      <c r="F63" s="678"/>
      <c r="G63" s="678"/>
      <c r="H63" s="678"/>
      <c r="I63" s="69"/>
      <c r="J63" s="69"/>
      <c r="L63" s="69"/>
      <c r="N63" s="598" t="s">
        <v>339</v>
      </c>
      <c r="O63" s="598"/>
      <c r="P63" s="598"/>
      <c r="Q63" s="598"/>
      <c r="R63" s="598"/>
      <c r="S63" s="598"/>
    </row>
    <row r="64" spans="1:22" ht="15" customHeight="1" x14ac:dyDescent="0.25">
      <c r="A64" s="223"/>
      <c r="B64" s="68"/>
      <c r="C64" s="103"/>
      <c r="D64" s="103"/>
      <c r="E64" s="103"/>
      <c r="F64" s="103"/>
      <c r="G64" s="103"/>
      <c r="H64" s="103"/>
      <c r="I64" s="69"/>
      <c r="J64" s="69"/>
      <c r="L64" s="69"/>
      <c r="N64" s="598"/>
      <c r="O64" s="598"/>
      <c r="P64" s="598"/>
      <c r="Q64" s="598"/>
      <c r="R64" s="598"/>
      <c r="S64" s="598"/>
    </row>
    <row r="65" spans="1:19" ht="15" customHeight="1" x14ac:dyDescent="0.25">
      <c r="A65" s="680" t="s">
        <v>59</v>
      </c>
      <c r="B65" s="681" t="s">
        <v>340</v>
      </c>
      <c r="C65" s="681"/>
      <c r="D65" s="681"/>
      <c r="E65" s="210"/>
      <c r="F65" s="210"/>
      <c r="G65" s="210"/>
      <c r="H65" s="210"/>
      <c r="I65" s="69"/>
      <c r="J65" s="682" t="s">
        <v>342</v>
      </c>
      <c r="K65" s="682"/>
      <c r="L65" s="682"/>
      <c r="N65" s="598"/>
      <c r="O65" s="598"/>
      <c r="P65" s="598"/>
      <c r="Q65" s="598"/>
      <c r="R65" s="598"/>
      <c r="S65" s="598"/>
    </row>
    <row r="66" spans="1:19" ht="38.25" x14ac:dyDescent="0.25">
      <c r="A66" s="680"/>
      <c r="B66" s="210" t="s">
        <v>64</v>
      </c>
      <c r="C66" s="212" t="s">
        <v>65</v>
      </c>
      <c r="D66" s="212" t="s">
        <v>347</v>
      </c>
      <c r="E66" s="212" t="s">
        <v>344</v>
      </c>
      <c r="F66" s="212" t="s">
        <v>71</v>
      </c>
      <c r="G66" s="212" t="s">
        <v>343</v>
      </c>
      <c r="H66" s="212" t="s">
        <v>341</v>
      </c>
      <c r="I66" s="69"/>
      <c r="J66" s="213" t="s">
        <v>69</v>
      </c>
      <c r="K66" s="213" t="s">
        <v>68</v>
      </c>
      <c r="L66" s="213" t="s">
        <v>345</v>
      </c>
      <c r="N66" s="214" t="s">
        <v>346</v>
      </c>
      <c r="O66" s="21" t="s">
        <v>248</v>
      </c>
      <c r="P66" s="21" t="s">
        <v>249</v>
      </c>
      <c r="Q66" s="21" t="s">
        <v>250</v>
      </c>
      <c r="R66" s="21" t="s">
        <v>251</v>
      </c>
      <c r="S66" s="23" t="s">
        <v>252</v>
      </c>
    </row>
    <row r="67" spans="1:19" ht="51" x14ac:dyDescent="0.25">
      <c r="A67" s="90">
        <v>1</v>
      </c>
      <c r="B67" s="560" t="s">
        <v>628</v>
      </c>
      <c r="C67" s="556" t="s">
        <v>65</v>
      </c>
      <c r="D67" s="554" t="s">
        <v>706</v>
      </c>
      <c r="E67" s="558">
        <v>8</v>
      </c>
      <c r="F67" s="556" t="s">
        <v>661</v>
      </c>
      <c r="G67" s="215">
        <v>10.73</v>
      </c>
      <c r="H67" s="217"/>
      <c r="I67" s="69"/>
      <c r="J67" s="83">
        <f>'Ocorrências Mensais - FAT'!G89</f>
        <v>0.66666666666666663</v>
      </c>
      <c r="K67" s="441">
        <f t="shared" ref="K67:K75" si="2">J67*G67</f>
        <v>7.1533333333333333</v>
      </c>
      <c r="L67" s="39">
        <f t="shared" ref="L67:L76" si="3">IF(F67="MENSAL",1,IF(F67="BIMESTRAL",2,IF(F67="TRIMESTRAL",3,IF(F67="QUADRIMESTRAL",4,IF(F67="SEMESTRAL",6,IF(F67="ANUAL",12,IF(F67="BIENAL",24,"")))))))</f>
        <v>12</v>
      </c>
      <c r="N67" s="224">
        <v>3.1</v>
      </c>
      <c r="O67" s="39">
        <f>ROUND(IF(Dados!$J$59="SIM",N67*Dados!$N$59,N67),2)</f>
        <v>3.1</v>
      </c>
      <c r="P67" s="39">
        <f>ROUND(IF(Dados!$J$60="SIM",O67*Dados!$N$60,O67),2)</f>
        <v>3.1</v>
      </c>
      <c r="Q67" s="39">
        <f>ROUND(IF(Dados!$J$61="SIM",P67*Dados!$N$61,P67),2)</f>
        <v>3.1</v>
      </c>
      <c r="R67" s="39">
        <f>ROUND(IF(Dados!$J$62="SIM",Q67*Dados!$N$62,Q67),2)</f>
        <v>3.1</v>
      </c>
      <c r="S67" s="81">
        <f>ROUND(IF(Dados!$J$63="SIM",R67*Dados!$N$63,R67),2)</f>
        <v>3.1</v>
      </c>
    </row>
    <row r="68" spans="1:19" ht="25.5" x14ac:dyDescent="0.25">
      <c r="A68" s="90">
        <v>2</v>
      </c>
      <c r="B68" s="560" t="s">
        <v>629</v>
      </c>
      <c r="C68" s="556" t="s">
        <v>65</v>
      </c>
      <c r="D68" s="554" t="s">
        <v>704</v>
      </c>
      <c r="E68" s="558">
        <v>2</v>
      </c>
      <c r="F68" s="556" t="s">
        <v>661</v>
      </c>
      <c r="G68" s="215">
        <v>9.7200000000000006</v>
      </c>
      <c r="H68" s="217"/>
      <c r="I68" s="69"/>
      <c r="J68" s="83">
        <f>'Ocorrências Mensais - FAT'!G90</f>
        <v>0.16666666666666666</v>
      </c>
      <c r="K68" s="441">
        <f t="shared" si="2"/>
        <v>1.62</v>
      </c>
      <c r="L68" s="39">
        <f t="shared" si="3"/>
        <v>12</v>
      </c>
      <c r="N68" s="224">
        <v>4.04</v>
      </c>
      <c r="O68" s="39">
        <f>ROUND(IF(Dados!$J$59="SIM",N68*Dados!$N$59,N68),2)</f>
        <v>4.04</v>
      </c>
      <c r="P68" s="39">
        <f>ROUND(IF(Dados!$J$60="SIM",O68*Dados!$N$60,O68),2)</f>
        <v>4.04</v>
      </c>
      <c r="Q68" s="39">
        <f>ROUND(IF(Dados!$J$61="SIM",P68*Dados!$N$61,P68),2)</f>
        <v>4.04</v>
      </c>
      <c r="R68" s="39">
        <f>ROUND(IF(Dados!$J$62="SIM",Q68*Dados!$N$62,Q68),2)</f>
        <v>4.04</v>
      </c>
      <c r="S68" s="81">
        <f>ROUND(IF(Dados!$J$63="SIM",R68*Dados!$N$63,R68),2)</f>
        <v>4.04</v>
      </c>
    </row>
    <row r="69" spans="1:19" ht="51" x14ac:dyDescent="0.25">
      <c r="A69" s="90">
        <v>3</v>
      </c>
      <c r="B69" s="560" t="s">
        <v>630</v>
      </c>
      <c r="C69" s="556" t="s">
        <v>65</v>
      </c>
      <c r="D69" s="554" t="s">
        <v>707</v>
      </c>
      <c r="E69" s="558">
        <v>25</v>
      </c>
      <c r="F69" s="557" t="s">
        <v>642</v>
      </c>
      <c r="G69" s="215">
        <v>4.62</v>
      </c>
      <c r="H69" s="217"/>
      <c r="I69" s="69"/>
      <c r="J69" s="83">
        <f>'Ocorrências Mensais - FAT'!G91</f>
        <v>25</v>
      </c>
      <c r="K69" s="441">
        <f>J69*G69</f>
        <v>115.5</v>
      </c>
      <c r="L69" s="39">
        <f t="shared" si="3"/>
        <v>1</v>
      </c>
      <c r="N69" s="224">
        <v>1.5</v>
      </c>
      <c r="O69" s="39">
        <f>ROUND(IF(Dados!$J$59="SIM",N69*Dados!$N$59,N69),2)</f>
        <v>1.5</v>
      </c>
      <c r="P69" s="39">
        <f>ROUND(IF(Dados!$J$60="SIM",O69*Dados!$N$60,O69),2)</f>
        <v>1.5</v>
      </c>
      <c r="Q69" s="39">
        <f>ROUND(IF(Dados!$J$61="SIM",P69*Dados!$N$61,P69),2)</f>
        <v>1.5</v>
      </c>
      <c r="R69" s="39">
        <f>ROUND(IF(Dados!$J$62="SIM",Q69*Dados!$N$62,Q69),2)</f>
        <v>1.5</v>
      </c>
      <c r="S69" s="81">
        <f>ROUND(IF(Dados!$J$63="SIM",R69*Dados!$N$63,R69),2)</f>
        <v>1.5</v>
      </c>
    </row>
    <row r="70" spans="1:19" ht="63.75" x14ac:dyDescent="0.25">
      <c r="A70" s="90">
        <v>4</v>
      </c>
      <c r="B70" s="438" t="s">
        <v>631</v>
      </c>
      <c r="C70" s="556" t="s">
        <v>65</v>
      </c>
      <c r="D70" s="554" t="s">
        <v>708</v>
      </c>
      <c r="E70" s="559">
        <v>13</v>
      </c>
      <c r="F70" s="557" t="s">
        <v>642</v>
      </c>
      <c r="G70" s="215">
        <v>4.6399999999999997</v>
      </c>
      <c r="H70" s="217"/>
      <c r="I70" s="69"/>
      <c r="J70" s="83">
        <f>'Ocorrências Mensais - FAT'!G92</f>
        <v>13</v>
      </c>
      <c r="K70" s="441">
        <f t="shared" si="2"/>
        <v>60.319999999999993</v>
      </c>
      <c r="L70" s="39">
        <f t="shared" si="3"/>
        <v>1</v>
      </c>
      <c r="N70" s="224">
        <v>1.2</v>
      </c>
      <c r="O70" s="39">
        <f>ROUND(IF(Dados!$J$59="SIM",N70*Dados!$N$59,N70),2)</f>
        <v>1.2</v>
      </c>
      <c r="P70" s="39">
        <f>ROUND(IF(Dados!$J$60="SIM",O70*Dados!$N$60,O70),2)</f>
        <v>1.2</v>
      </c>
      <c r="Q70" s="39">
        <f>ROUND(IF(Dados!$J$61="SIM",P70*Dados!$N$61,P70),2)</f>
        <v>1.2</v>
      </c>
      <c r="R70" s="39">
        <f>ROUND(IF(Dados!$J$62="SIM",Q70*Dados!$N$62,Q70),2)</f>
        <v>1.2</v>
      </c>
      <c r="S70" s="81">
        <f>ROUND(IF(Dados!$J$63="SIM",R70*Dados!$N$63,R70),2)</f>
        <v>1.2</v>
      </c>
    </row>
    <row r="71" spans="1:19" ht="38.25" x14ac:dyDescent="0.25">
      <c r="A71" s="90">
        <v>5</v>
      </c>
      <c r="B71" s="438" t="s">
        <v>632</v>
      </c>
      <c r="C71" s="556" t="s">
        <v>667</v>
      </c>
      <c r="D71" s="554" t="s">
        <v>699</v>
      </c>
      <c r="E71" s="559">
        <v>10</v>
      </c>
      <c r="F71" s="557" t="s">
        <v>642</v>
      </c>
      <c r="G71" s="215">
        <v>2.67</v>
      </c>
      <c r="H71" s="217"/>
      <c r="I71" s="69"/>
      <c r="J71" s="83">
        <f>'Ocorrências Mensais - FAT'!G93</f>
        <v>10</v>
      </c>
      <c r="K71" s="441">
        <f t="shared" si="2"/>
        <v>26.7</v>
      </c>
      <c r="L71" s="39">
        <f t="shared" si="3"/>
        <v>1</v>
      </c>
      <c r="N71" s="224">
        <v>1.5</v>
      </c>
      <c r="O71" s="39">
        <f>ROUND(IF(Dados!$J$59="SIM",N71*Dados!$N$59,N71),2)</f>
        <v>1.5</v>
      </c>
      <c r="P71" s="39">
        <f>ROUND(IF(Dados!$J$60="SIM",O71*Dados!$N$60,O71),2)</f>
        <v>1.5</v>
      </c>
      <c r="Q71" s="39">
        <f>ROUND(IF(Dados!$J$61="SIM",P71*Dados!$N$61,P71),2)</f>
        <v>1.5</v>
      </c>
      <c r="R71" s="39">
        <f>ROUND(IF(Dados!$J$62="SIM",Q71*Dados!$N$62,Q71),2)</f>
        <v>1.5</v>
      </c>
      <c r="S71" s="81">
        <f>ROUND(IF(Dados!$J$63="SIM",R71*Dados!$N$63,R71),2)</f>
        <v>1.5</v>
      </c>
    </row>
    <row r="72" spans="1:19" ht="76.5" x14ac:dyDescent="0.25">
      <c r="A72" s="90">
        <v>6</v>
      </c>
      <c r="B72" s="438" t="s">
        <v>633</v>
      </c>
      <c r="C72" s="556" t="s">
        <v>667</v>
      </c>
      <c r="D72" s="554" t="s">
        <v>709</v>
      </c>
      <c r="E72" s="559">
        <v>2</v>
      </c>
      <c r="F72" s="557" t="s">
        <v>642</v>
      </c>
      <c r="G72" s="215">
        <v>4.01</v>
      </c>
      <c r="H72" s="217"/>
      <c r="I72" s="69"/>
      <c r="J72" s="83">
        <f>'Ocorrências Mensais - FAT'!G94</f>
        <v>2</v>
      </c>
      <c r="K72" s="441">
        <f t="shared" si="2"/>
        <v>8.02</v>
      </c>
      <c r="L72" s="39"/>
      <c r="N72" s="224"/>
      <c r="O72" s="39"/>
      <c r="P72" s="39"/>
      <c r="Q72" s="39"/>
      <c r="R72" s="39"/>
      <c r="S72" s="81"/>
    </row>
    <row r="73" spans="1:19" ht="76.5" x14ac:dyDescent="0.25">
      <c r="A73" s="90">
        <v>7</v>
      </c>
      <c r="B73" s="438" t="s">
        <v>634</v>
      </c>
      <c r="C73" s="556" t="s">
        <v>667</v>
      </c>
      <c r="D73" s="554" t="s">
        <v>709</v>
      </c>
      <c r="E73" s="559">
        <v>1</v>
      </c>
      <c r="F73" s="557" t="s">
        <v>642</v>
      </c>
      <c r="G73" s="215">
        <v>5.23</v>
      </c>
      <c r="H73" s="217"/>
      <c r="I73" s="69"/>
      <c r="J73" s="83">
        <f>'Ocorrências Mensais - FAT'!G95</f>
        <v>1</v>
      </c>
      <c r="K73" s="441">
        <f t="shared" si="2"/>
        <v>5.23</v>
      </c>
      <c r="L73" s="39"/>
      <c r="N73" s="224"/>
      <c r="O73" s="39"/>
      <c r="P73" s="39"/>
      <c r="Q73" s="39"/>
      <c r="R73" s="39"/>
      <c r="S73" s="81"/>
    </row>
    <row r="74" spans="1:19" ht="102" x14ac:dyDescent="0.25">
      <c r="A74" s="90">
        <v>8</v>
      </c>
      <c r="B74" s="438" t="s">
        <v>635</v>
      </c>
      <c r="C74" s="556" t="s">
        <v>65</v>
      </c>
      <c r="D74" s="554" t="s">
        <v>710</v>
      </c>
      <c r="E74" s="559">
        <v>2</v>
      </c>
      <c r="F74" s="557" t="s">
        <v>642</v>
      </c>
      <c r="G74" s="215">
        <v>4.91</v>
      </c>
      <c r="H74" s="217"/>
      <c r="I74" s="69"/>
      <c r="J74" s="83">
        <f>'Ocorrências Mensais - FAT'!G96</f>
        <v>2</v>
      </c>
      <c r="K74" s="441">
        <f t="shared" si="2"/>
        <v>9.82</v>
      </c>
      <c r="L74" s="39">
        <f t="shared" si="3"/>
        <v>1</v>
      </c>
      <c r="N74" s="224">
        <v>1.6</v>
      </c>
      <c r="O74" s="39">
        <f>ROUND(IF(Dados!$J$59="SIM",N74*Dados!$N$59,N74),2)</f>
        <v>1.6</v>
      </c>
      <c r="P74" s="39">
        <f>ROUND(IF(Dados!$J$60="SIM",O74*Dados!$N$60,O74),2)</f>
        <v>1.6</v>
      </c>
      <c r="Q74" s="39">
        <f>ROUND(IF(Dados!$J$61="SIM",P74*Dados!$N$61,P74),2)</f>
        <v>1.6</v>
      </c>
      <c r="R74" s="39">
        <f>ROUND(IF(Dados!$J$62="SIM",Q74*Dados!$N$62,Q74),2)</f>
        <v>1.6</v>
      </c>
      <c r="S74" s="81">
        <f>ROUND(IF(Dados!$J$63="SIM",R74*Dados!$N$63,R74),2)</f>
        <v>1.6</v>
      </c>
    </row>
    <row r="75" spans="1:19" ht="63.75" x14ac:dyDescent="0.25">
      <c r="A75" s="90">
        <v>9</v>
      </c>
      <c r="B75" s="438" t="s">
        <v>636</v>
      </c>
      <c r="C75" s="556" t="s">
        <v>65</v>
      </c>
      <c r="D75" s="554" t="s">
        <v>711</v>
      </c>
      <c r="E75" s="559">
        <v>24</v>
      </c>
      <c r="F75" s="557" t="s">
        <v>642</v>
      </c>
      <c r="G75" s="215">
        <v>6.3</v>
      </c>
      <c r="H75" s="217"/>
      <c r="I75" s="69"/>
      <c r="J75" s="83">
        <f>'Ocorrências Mensais - FAT'!G97</f>
        <v>24</v>
      </c>
      <c r="K75" s="441">
        <f t="shared" si="2"/>
        <v>151.19999999999999</v>
      </c>
      <c r="L75" s="39"/>
      <c r="N75" s="224"/>
      <c r="O75" s="39"/>
      <c r="P75" s="39"/>
      <c r="Q75" s="39"/>
      <c r="R75" s="39"/>
      <c r="S75" s="81"/>
    </row>
    <row r="76" spans="1:19" x14ac:dyDescent="0.25">
      <c r="A76" s="90">
        <v>10</v>
      </c>
      <c r="B76" s="438" t="s">
        <v>637</v>
      </c>
      <c r="C76" s="556" t="s">
        <v>65</v>
      </c>
      <c r="D76" s="554" t="s">
        <v>712</v>
      </c>
      <c r="E76" s="559">
        <v>15</v>
      </c>
      <c r="F76" s="557" t="s">
        <v>642</v>
      </c>
      <c r="G76" s="215">
        <v>6.89</v>
      </c>
      <c r="H76" s="217"/>
      <c r="I76" s="69"/>
      <c r="J76" s="83">
        <f>'Ocorrências Mensais - FAT'!G98</f>
        <v>15</v>
      </c>
      <c r="K76" s="441">
        <f>J76*G76</f>
        <v>103.35</v>
      </c>
      <c r="L76" s="39">
        <f t="shared" si="3"/>
        <v>1</v>
      </c>
      <c r="N76" s="224">
        <v>1.3</v>
      </c>
      <c r="O76" s="39">
        <f>ROUND(IF(Dados!$J$59="SIM",N76*Dados!$N$59,N76),2)</f>
        <v>1.3</v>
      </c>
      <c r="P76" s="39">
        <f>ROUND(IF(Dados!$J$60="SIM",O76*Dados!$N$60,O76),2)</f>
        <v>1.3</v>
      </c>
      <c r="Q76" s="39">
        <f>ROUND(IF(Dados!$J$61="SIM",P76*Dados!$N$61,P76),2)</f>
        <v>1.3</v>
      </c>
      <c r="R76" s="39">
        <f>ROUND(IF(Dados!$J$62="SIM",Q76*Dados!$N$62,Q76),2)</f>
        <v>1.3</v>
      </c>
      <c r="S76" s="81">
        <f>ROUND(IF(Dados!$J$63="SIM",R76*Dados!$N$63,R76),2)</f>
        <v>1.3</v>
      </c>
    </row>
    <row r="77" spans="1:19" ht="16.5" thickBot="1" x14ac:dyDescent="0.3">
      <c r="A77" s="689"/>
      <c r="B77" s="689"/>
      <c r="C77" s="689"/>
      <c r="D77" s="689"/>
      <c r="E77" s="689"/>
      <c r="F77" s="689"/>
      <c r="G77" s="689"/>
      <c r="H77" s="689"/>
      <c r="I77" s="69"/>
      <c r="J77" s="444" t="s">
        <v>168</v>
      </c>
      <c r="K77" s="445">
        <f>SUM(K67:K76)</f>
        <v>488.9133333333333</v>
      </c>
      <c r="L77" s="69"/>
      <c r="N77" s="3"/>
      <c r="O77" s="3"/>
      <c r="P77" s="3"/>
      <c r="Q77" s="3"/>
      <c r="R77" s="3"/>
      <c r="S77" s="3"/>
    </row>
    <row r="78" spans="1:19" x14ac:dyDescent="0.25">
      <c r="A78" s="222"/>
      <c r="N78" s="3"/>
      <c r="O78" s="3"/>
      <c r="P78" s="3"/>
      <c r="Q78" s="3"/>
      <c r="R78" s="3"/>
      <c r="S78" s="3"/>
    </row>
    <row r="79" spans="1:19" ht="18.75" x14ac:dyDescent="0.25">
      <c r="A79" s="678" t="s">
        <v>517</v>
      </c>
      <c r="B79" s="678"/>
      <c r="C79" s="678"/>
      <c r="D79" s="678"/>
      <c r="E79" s="678"/>
      <c r="F79" s="678"/>
      <c r="G79" s="678"/>
      <c r="H79" s="678"/>
      <c r="K79"/>
      <c r="N79" s="3"/>
      <c r="O79" s="3"/>
      <c r="P79" s="3"/>
      <c r="Q79" s="3"/>
      <c r="R79" s="3"/>
      <c r="S79" s="3"/>
    </row>
    <row r="80" spans="1:19" x14ac:dyDescent="0.25">
      <c r="A80" s="223"/>
      <c r="B80" s="68"/>
      <c r="C80" s="103"/>
      <c r="D80" s="103"/>
      <c r="E80" s="103"/>
      <c r="F80" s="103"/>
      <c r="G80" s="103"/>
      <c r="H80" s="103"/>
      <c r="K80"/>
      <c r="M80" s="3"/>
      <c r="N80" s="3"/>
      <c r="O80" s="3"/>
      <c r="P80" s="3"/>
      <c r="Q80" s="3"/>
      <c r="R80" s="3"/>
    </row>
    <row r="81" spans="1:19" ht="45.75" customHeight="1" x14ac:dyDescent="0.25">
      <c r="A81" s="680" t="s">
        <v>59</v>
      </c>
      <c r="B81" s="681" t="s">
        <v>340</v>
      </c>
      <c r="C81" s="681"/>
      <c r="D81" s="681"/>
      <c r="E81" s="210"/>
      <c r="F81" s="210"/>
      <c r="G81" s="210"/>
      <c r="H81" s="210"/>
      <c r="J81" s="682" t="s">
        <v>342</v>
      </c>
      <c r="K81" s="682"/>
      <c r="L81" s="682"/>
      <c r="N81" s="607" t="s">
        <v>339</v>
      </c>
      <c r="O81" s="607"/>
      <c r="P81" s="607"/>
      <c r="Q81" s="607"/>
      <c r="R81" s="607"/>
      <c r="S81" s="607"/>
    </row>
    <row r="82" spans="1:19" ht="38.25" x14ac:dyDescent="0.25">
      <c r="A82" s="680"/>
      <c r="B82" s="210" t="s">
        <v>64</v>
      </c>
      <c r="C82" s="212" t="s">
        <v>65</v>
      </c>
      <c r="D82" s="212" t="s">
        <v>347</v>
      </c>
      <c r="E82" s="212" t="s">
        <v>344</v>
      </c>
      <c r="F82" s="212" t="s">
        <v>71</v>
      </c>
      <c r="G82" s="212" t="s">
        <v>343</v>
      </c>
      <c r="H82" s="212" t="s">
        <v>341</v>
      </c>
      <c r="J82" s="213" t="s">
        <v>69</v>
      </c>
      <c r="K82" s="213" t="s">
        <v>68</v>
      </c>
      <c r="L82" s="213" t="s">
        <v>345</v>
      </c>
      <c r="N82" s="225" t="s">
        <v>346</v>
      </c>
      <c r="O82" s="63" t="s">
        <v>248</v>
      </c>
      <c r="P82" s="63" t="s">
        <v>249</v>
      </c>
      <c r="Q82" s="63" t="s">
        <v>250</v>
      </c>
      <c r="R82" s="63" t="s">
        <v>251</v>
      </c>
      <c r="S82" s="73" t="s">
        <v>252</v>
      </c>
    </row>
    <row r="83" spans="1:19" ht="38.25" x14ac:dyDescent="0.25">
      <c r="A83" s="90">
        <v>1</v>
      </c>
      <c r="B83" s="438" t="s">
        <v>638</v>
      </c>
      <c r="C83" s="556" t="s">
        <v>65</v>
      </c>
      <c r="D83" s="554" t="s">
        <v>713</v>
      </c>
      <c r="E83" s="557">
        <v>6</v>
      </c>
      <c r="F83" s="557" t="s">
        <v>642</v>
      </c>
      <c r="G83" s="215">
        <v>19.52</v>
      </c>
      <c r="H83" s="217"/>
      <c r="J83" s="83">
        <f>'Ocorrências Mensais - FAT'!G107</f>
        <v>6</v>
      </c>
      <c r="K83" s="216">
        <f t="shared" ref="K83:K88" si="4">G83*J83</f>
        <v>117.12</v>
      </c>
      <c r="L83" s="39">
        <f t="shared" ref="L83:L88" si="5">IF(F83="MENSAL",1,IF(F83="BIMESTRAL",2,IF(F83="TRIMESTRAL",3,IF(F83="QUADRIMESTRAL",4,IF(F83="SEMESTRAL",6,IF(F83="ANUAL",12,IF(F83="BIENAL",24,"")))))))</f>
        <v>1</v>
      </c>
      <c r="N83" s="224">
        <v>2.5</v>
      </c>
      <c r="O83" s="39">
        <f>ROUND(IF(Dados!$J$59="SIM",N83*Dados!$N$59,N83),2)</f>
        <v>2.5</v>
      </c>
      <c r="P83" s="39">
        <f>ROUND(IF(Dados!$J$60="SIM",O83*Dados!$N$60,O83),2)</f>
        <v>2.5</v>
      </c>
      <c r="Q83" s="39">
        <f>ROUND(IF(Dados!$J$61="SIM",P83*Dados!$N$61,P83),2)</f>
        <v>2.5</v>
      </c>
      <c r="R83" s="39">
        <f>ROUND(IF(Dados!$J$62="SIM",Q83*Dados!$N$62,Q83),2)</f>
        <v>2.5</v>
      </c>
      <c r="S83" s="81">
        <f>ROUND(IF(Dados!$J$63="SIM",R83*Dados!$N$63,R83),2)</f>
        <v>2.5</v>
      </c>
    </row>
    <row r="84" spans="1:19" ht="38.25" x14ac:dyDescent="0.25">
      <c r="A84" s="90">
        <v>2</v>
      </c>
      <c r="B84" s="438" t="s">
        <v>639</v>
      </c>
      <c r="C84" s="556" t="s">
        <v>65</v>
      </c>
      <c r="D84" s="554" t="s">
        <v>714</v>
      </c>
      <c r="E84" s="557">
        <v>2</v>
      </c>
      <c r="F84" s="557" t="s">
        <v>642</v>
      </c>
      <c r="G84" s="215">
        <v>10.53</v>
      </c>
      <c r="H84" s="217"/>
      <c r="J84" s="83">
        <f>'Ocorrências Mensais - FAT'!G108</f>
        <v>2</v>
      </c>
      <c r="K84" s="216">
        <f t="shared" si="4"/>
        <v>21.06</v>
      </c>
      <c r="L84" s="39">
        <f t="shared" si="5"/>
        <v>1</v>
      </c>
      <c r="N84" s="224">
        <v>7</v>
      </c>
      <c r="O84" s="39">
        <f>ROUND(IF(Dados!$J$59="SIM",N84*Dados!$N$59,N84),2)</f>
        <v>7</v>
      </c>
      <c r="P84" s="39">
        <f>ROUND(IF(Dados!$J$60="SIM",O84*Dados!$N$60,O84),2)</f>
        <v>7</v>
      </c>
      <c r="Q84" s="39">
        <f>ROUND(IF(Dados!$J$61="SIM",P84*Dados!$N$61,P84),2)</f>
        <v>7</v>
      </c>
      <c r="R84" s="39">
        <f>ROUND(IF(Dados!$J$62="SIM",Q84*Dados!$N$62,Q84),2)</f>
        <v>7</v>
      </c>
      <c r="S84" s="81">
        <f>ROUND(IF(Dados!$J$63="SIM",R84*Dados!$N$63,R84),2)</f>
        <v>7</v>
      </c>
    </row>
    <row r="85" spans="1:19" ht="63.75" x14ac:dyDescent="0.25">
      <c r="A85" s="90">
        <v>3</v>
      </c>
      <c r="B85" s="438" t="s">
        <v>640</v>
      </c>
      <c r="C85" s="556" t="s">
        <v>65</v>
      </c>
      <c r="D85" s="554" t="s">
        <v>715</v>
      </c>
      <c r="E85" s="557">
        <v>1</v>
      </c>
      <c r="F85" s="557" t="s">
        <v>642</v>
      </c>
      <c r="G85" s="215">
        <v>52.13</v>
      </c>
      <c r="H85" s="217"/>
      <c r="J85" s="83">
        <f>'Ocorrências Mensais - FAT'!G109</f>
        <v>1</v>
      </c>
      <c r="K85" s="216">
        <f t="shared" si="4"/>
        <v>52.13</v>
      </c>
      <c r="L85" s="39">
        <f t="shared" si="5"/>
        <v>1</v>
      </c>
      <c r="N85" s="224">
        <v>3.1</v>
      </c>
      <c r="O85" s="39">
        <f>ROUND(IF(Dados!$J$59="SIM",N85*Dados!$N$59,N85),2)</f>
        <v>3.1</v>
      </c>
      <c r="P85" s="39">
        <f>ROUND(IF(Dados!$J$60="SIM",O85*Dados!$N$60,O85),2)</f>
        <v>3.1</v>
      </c>
      <c r="Q85" s="39">
        <f>ROUND(IF(Dados!$J$61="SIM",P85*Dados!$N$61,P85),2)</f>
        <v>3.1</v>
      </c>
      <c r="R85" s="39">
        <f>ROUND(IF(Dados!$J$62="SIM",Q85*Dados!$N$62,Q85),2)</f>
        <v>3.1</v>
      </c>
      <c r="S85" s="81">
        <f>ROUND(IF(Dados!$J$63="SIM",R85*Dados!$N$63,R85),2)</f>
        <v>3.1</v>
      </c>
    </row>
    <row r="86" spans="1:19" ht="51" x14ac:dyDescent="0.25">
      <c r="A86" s="90">
        <v>4</v>
      </c>
      <c r="B86" s="438" t="s">
        <v>641</v>
      </c>
      <c r="C86" s="556" t="s">
        <v>65</v>
      </c>
      <c r="D86" s="554" t="s">
        <v>716</v>
      </c>
      <c r="E86" s="557">
        <v>2</v>
      </c>
      <c r="F86" s="557" t="s">
        <v>642</v>
      </c>
      <c r="G86" s="215">
        <v>45.61</v>
      </c>
      <c r="H86" s="217"/>
      <c r="J86" s="83">
        <f>'Ocorrências Mensais - FAT'!G110</f>
        <v>2</v>
      </c>
      <c r="K86" s="216">
        <f t="shared" si="4"/>
        <v>91.22</v>
      </c>
      <c r="L86" s="39"/>
      <c r="N86" s="224"/>
      <c r="O86" s="39"/>
      <c r="P86" s="39"/>
      <c r="Q86" s="39"/>
      <c r="R86" s="39"/>
      <c r="S86" s="81"/>
    </row>
    <row r="87" spans="1:19" hidden="1" x14ac:dyDescent="0.25">
      <c r="A87" s="90">
        <v>5</v>
      </c>
      <c r="B87" s="438"/>
      <c r="C87" s="557"/>
      <c r="D87" s="554"/>
      <c r="E87" s="557">
        <v>0</v>
      </c>
      <c r="F87" s="557" t="s">
        <v>642</v>
      </c>
      <c r="G87" s="215">
        <v>0</v>
      </c>
      <c r="H87" s="217"/>
      <c r="J87" s="83">
        <f>'Ocorrências Mensais - FAT'!G111</f>
        <v>0</v>
      </c>
      <c r="K87" s="216">
        <f t="shared" si="4"/>
        <v>0</v>
      </c>
      <c r="L87" s="39"/>
      <c r="N87" s="224"/>
      <c r="O87" s="39"/>
      <c r="P87" s="39"/>
      <c r="Q87" s="39"/>
      <c r="R87" s="39"/>
      <c r="S87" s="81"/>
    </row>
    <row r="88" spans="1:19" hidden="1" x14ac:dyDescent="0.25">
      <c r="A88" s="90">
        <v>6</v>
      </c>
      <c r="B88" s="438"/>
      <c r="C88" s="557"/>
      <c r="D88" s="554"/>
      <c r="E88" s="557">
        <v>0</v>
      </c>
      <c r="F88" s="557" t="s">
        <v>642</v>
      </c>
      <c r="G88" s="215">
        <v>0</v>
      </c>
      <c r="H88" s="217"/>
      <c r="J88" s="83">
        <f>'Ocorrências Mensais - FAT'!G112</f>
        <v>0</v>
      </c>
      <c r="K88" s="216">
        <f t="shared" si="4"/>
        <v>0</v>
      </c>
      <c r="L88" s="39">
        <f t="shared" si="5"/>
        <v>1</v>
      </c>
      <c r="N88" s="224">
        <v>1.89</v>
      </c>
      <c r="O88" s="39">
        <f>ROUND(IF(Dados!$J$59="SIM",N88*Dados!$N$59,N88),2)</f>
        <v>1.89</v>
      </c>
      <c r="P88" s="39">
        <f>ROUND(IF(Dados!$J$60="SIM",O88*Dados!$N$60,O88),2)</f>
        <v>1.89</v>
      </c>
      <c r="Q88" s="39">
        <f>ROUND(IF(Dados!$J$61="SIM",P88*Dados!$N$61,P88),2)</f>
        <v>1.89</v>
      </c>
      <c r="R88" s="39">
        <f>ROUND(IF(Dados!$J$62="SIM",Q88*Dados!$N$62,Q88),2)</f>
        <v>1.89</v>
      </c>
      <c r="S88" s="81">
        <f>ROUND(IF(Dados!$J$63="SIM",R88*Dados!$N$63,R88),2)</f>
        <v>1.89</v>
      </c>
    </row>
    <row r="89" spans="1:19" ht="15.75" thickBot="1" x14ac:dyDescent="0.3">
      <c r="A89" s="690"/>
      <c r="B89" s="691"/>
      <c r="C89" s="691"/>
      <c r="D89" s="691"/>
      <c r="E89" s="691"/>
      <c r="F89" s="691"/>
      <c r="G89" s="691"/>
      <c r="H89" s="692"/>
      <c r="J89" s="446" t="s">
        <v>168</v>
      </c>
      <c r="K89" s="447">
        <f>SUM(K83:K88)</f>
        <v>281.52999999999997</v>
      </c>
    </row>
  </sheetData>
  <sheetProtection algorithmName="SHA-512" hashValue="7dwMEqNXPrB/slBR3m/+xSBL6QWwWzUDgvnFfCZ+zrZ2W81syB/Eul5F/c1plhNIk00ylGyt5EWdjGe1VOEeEw==" saltValue="Whnpaw1Lty/+89O5n4KW9Q==" spinCount="100000" sheet="1" objects="1" scenarios="1"/>
  <mergeCells count="23">
    <mergeCell ref="J81:L81"/>
    <mergeCell ref="N81:S81"/>
    <mergeCell ref="A89:H89"/>
    <mergeCell ref="A77:H77"/>
    <mergeCell ref="A79:H79"/>
    <mergeCell ref="A81:A82"/>
    <mergeCell ref="B81:D81"/>
    <mergeCell ref="A61:H61"/>
    <mergeCell ref="A63:H63"/>
    <mergeCell ref="N63:S65"/>
    <mergeCell ref="A65:A66"/>
    <mergeCell ref="B65:D65"/>
    <mergeCell ref="J65:L65"/>
    <mergeCell ref="A4:H4"/>
    <mergeCell ref="A5:H5"/>
    <mergeCell ref="N5:S7"/>
    <mergeCell ref="A6:A8"/>
    <mergeCell ref="B6:D7"/>
    <mergeCell ref="J7:L7"/>
    <mergeCell ref="E6:E8"/>
    <mergeCell ref="F6:F8"/>
    <mergeCell ref="G6:G8"/>
    <mergeCell ref="H6:H8"/>
  </mergeCells>
  <dataValidations count="1">
    <dataValidation type="list" allowBlank="1" showInputMessage="1" showErrorMessage="1" sqref="F67:F76 F9:F60 F83:F88" xr:uid="{00000000-0002-0000-0500-000000000000}">
      <formula1>"Mensal,Bimestral,Trimestral,Quadrimestral,Semestral,Anual,Bienal"</formula1>
      <formula2>0</formula2>
    </dataValidation>
  </dataValidations>
  <printOptions horizontalCentered="1" verticalCentered="1"/>
  <pageMargins left="0.51180555555555596" right="0.51180555555555596" top="0.78749999999999998" bottom="0.78749999999999998" header="0.511811023622047" footer="0.511811023622047"/>
  <pageSetup paperSize="9" scale="47" fitToHeight="2"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3"/>
  <sheetViews>
    <sheetView showGridLines="0" zoomScaleNormal="100" zoomScaleSheetLayoutView="100" zoomScalePageLayoutView="140" workbookViewId="0">
      <selection activeCell="A10" sqref="A10:E10"/>
    </sheetView>
  </sheetViews>
  <sheetFormatPr defaultColWidth="8.7109375" defaultRowHeight="15" x14ac:dyDescent="0.25"/>
  <cols>
    <col min="1" max="1" width="5.5703125" style="69" customWidth="1"/>
    <col min="2" max="2" width="64.7109375" style="69" customWidth="1"/>
    <col min="3" max="3" width="7.85546875" style="69" customWidth="1"/>
    <col min="4" max="5" width="13.7109375" style="69" customWidth="1"/>
    <col min="6" max="6" width="18" style="69" customWidth="1"/>
    <col min="7" max="255" width="9" customWidth="1"/>
    <col min="256" max="256" width="5.5703125" customWidth="1"/>
    <col min="257" max="257" width="45.140625" customWidth="1"/>
    <col min="258" max="258" width="6.28515625" customWidth="1"/>
    <col min="259" max="262" width="13.7109375" customWidth="1"/>
    <col min="263" max="511" width="9" customWidth="1"/>
    <col min="512" max="512" width="5.5703125" customWidth="1"/>
    <col min="513" max="513" width="45.140625" customWidth="1"/>
    <col min="514" max="514" width="6.28515625" customWidth="1"/>
    <col min="515" max="518" width="13.7109375" customWidth="1"/>
    <col min="519" max="767" width="9" customWidth="1"/>
    <col min="768" max="768" width="5.5703125" customWidth="1"/>
    <col min="769" max="769" width="45.140625" customWidth="1"/>
    <col min="770" max="770" width="6.28515625" customWidth="1"/>
    <col min="771" max="774" width="13.7109375" customWidth="1"/>
    <col min="775" max="1024" width="9" customWidth="1"/>
  </cols>
  <sheetData>
    <row r="1" spans="1:6" s="69" customFormat="1" ht="11.25" customHeight="1" x14ac:dyDescent="0.25">
      <c r="A1" s="162"/>
      <c r="B1" s="100" t="str">
        <f>INSTRUÇÕES!B1</f>
        <v>Tribunal Regional Federal da 6ª Região</v>
      </c>
      <c r="C1" s="226"/>
      <c r="D1" s="227"/>
      <c r="E1" s="227"/>
      <c r="F1" s="228"/>
    </row>
    <row r="2" spans="1:6" s="69" customFormat="1" ht="11.25" customHeight="1" x14ac:dyDescent="0.25">
      <c r="A2" s="164"/>
      <c r="B2" s="102" t="str">
        <f>INSTRUÇÕES!B2</f>
        <v>Seção Judiciária de Minas Gerais</v>
      </c>
      <c r="C2" s="229"/>
      <c r="D2" s="230"/>
      <c r="E2" s="230"/>
      <c r="F2" s="231"/>
    </row>
    <row r="3" spans="1:6" s="69" customFormat="1" ht="10.5" customHeight="1" x14ac:dyDescent="0.25">
      <c r="A3" s="166"/>
      <c r="B3" s="102" t="str">
        <f>INSTRUÇÕES!B3</f>
        <v>Subseção Judiciária de Uberaba</v>
      </c>
      <c r="C3" s="229"/>
      <c r="D3" s="230"/>
      <c r="E3" s="230"/>
      <c r="F3" s="231"/>
    </row>
    <row r="4" spans="1:6" s="69" customFormat="1" ht="21.75" customHeight="1" x14ac:dyDescent="0.2">
      <c r="A4" s="693" t="s">
        <v>521</v>
      </c>
      <c r="B4" s="693"/>
      <c r="C4" s="693"/>
      <c r="D4" s="693"/>
      <c r="E4" s="693"/>
      <c r="F4" s="693"/>
    </row>
    <row r="5" spans="1:6" s="69" customFormat="1" ht="26.25" customHeight="1" x14ac:dyDescent="0.2">
      <c r="A5" s="694" t="s">
        <v>338</v>
      </c>
      <c r="B5" s="694"/>
      <c r="C5" s="694"/>
      <c r="D5" s="694"/>
      <c r="E5" s="694"/>
      <c r="F5" s="694"/>
    </row>
    <row r="6" spans="1:6" s="69" customFormat="1" ht="15.75" x14ac:dyDescent="0.2">
      <c r="A6" s="232"/>
      <c r="B6" s="233"/>
      <c r="C6" s="233"/>
      <c r="D6" s="233" t="s">
        <v>349</v>
      </c>
      <c r="E6" s="233"/>
      <c r="F6" s="234"/>
    </row>
    <row r="7" spans="1:6" s="69" customFormat="1" ht="12.75" x14ac:dyDescent="0.2">
      <c r="A7" s="235" t="s">
        <v>350</v>
      </c>
      <c r="B7" s="210" t="s">
        <v>351</v>
      </c>
      <c r="C7" s="210" t="s">
        <v>352</v>
      </c>
      <c r="D7" s="236" t="s">
        <v>353</v>
      </c>
      <c r="E7" s="236" t="s">
        <v>354</v>
      </c>
      <c r="F7" s="237" t="s">
        <v>355</v>
      </c>
    </row>
    <row r="8" spans="1:6" s="69" customFormat="1" ht="12.75" x14ac:dyDescent="0.2">
      <c r="A8" s="695" t="s">
        <v>509</v>
      </c>
      <c r="B8" s="695"/>
      <c r="C8" s="695"/>
      <c r="D8" s="695"/>
      <c r="E8" s="695"/>
      <c r="F8" s="695"/>
    </row>
    <row r="9" spans="1:6" s="69" customFormat="1" ht="38.25" x14ac:dyDescent="0.2">
      <c r="A9" s="238">
        <v>1</v>
      </c>
      <c r="B9" s="433" t="s">
        <v>510</v>
      </c>
      <c r="C9" s="239">
        <v>7</v>
      </c>
      <c r="D9" s="240">
        <v>50.05</v>
      </c>
      <c r="E9" s="241">
        <f>ROUND((D9*C9),2)</f>
        <v>350.35</v>
      </c>
      <c r="F9" s="242">
        <f>ROUND(E9/12,2)</f>
        <v>29.2</v>
      </c>
    </row>
    <row r="10" spans="1:6" s="69" customFormat="1" ht="15.75" thickBot="1" x14ac:dyDescent="0.25">
      <c r="A10" s="696" t="s">
        <v>513</v>
      </c>
      <c r="B10" s="696"/>
      <c r="C10" s="696"/>
      <c r="D10" s="696"/>
      <c r="E10" s="696"/>
      <c r="F10" s="246">
        <f>SUM(F9:F9)</f>
        <v>29.2</v>
      </c>
    </row>
    <row r="11" spans="1:6" s="69" customFormat="1" ht="12.75" x14ac:dyDescent="0.2">
      <c r="A11" s="695" t="s">
        <v>511</v>
      </c>
      <c r="B11" s="695"/>
      <c r="C11" s="695"/>
      <c r="D11" s="695"/>
      <c r="E11" s="695"/>
      <c r="F11" s="695"/>
    </row>
    <row r="12" spans="1:6" s="69" customFormat="1" ht="38.25" x14ac:dyDescent="0.2">
      <c r="A12" s="238">
        <v>1</v>
      </c>
      <c r="B12" s="433" t="s">
        <v>510</v>
      </c>
      <c r="C12" s="239">
        <v>1</v>
      </c>
      <c r="D12" s="243">
        <v>50.05</v>
      </c>
      <c r="E12" s="241">
        <f>ROUND((D12*C12),2)</f>
        <v>50.05</v>
      </c>
      <c r="F12" s="242">
        <f t="shared" ref="F12" si="0">ROUND(E12/12,2)</f>
        <v>4.17</v>
      </c>
    </row>
    <row r="13" spans="1:6" s="69" customFormat="1" ht="15.75" customHeight="1" thickBot="1" x14ac:dyDescent="0.25">
      <c r="A13" s="696" t="s">
        <v>512</v>
      </c>
      <c r="B13" s="696"/>
      <c r="C13" s="696"/>
      <c r="D13" s="696"/>
      <c r="E13" s="696"/>
      <c r="F13" s="246">
        <f>SUM(F12:F12)</f>
        <v>4.17</v>
      </c>
    </row>
  </sheetData>
  <sheetProtection algorithmName="SHA-512" hashValue="KsfB9yTpatmEOX7lazVHhtMFH+o8lFUafvP+jhwtHblWQ1PfzmQB6rbZLBW96QBjFB+xps/niL4GN1YEkpritg==" saltValue="z3U0nmCfXTBYzyWYUEdQuw==" spinCount="100000" sheet="1" objects="1" scenarios="1"/>
  <mergeCells count="6">
    <mergeCell ref="A4:F4"/>
    <mergeCell ref="A5:F5"/>
    <mergeCell ref="A8:F8"/>
    <mergeCell ref="A13:E13"/>
    <mergeCell ref="A11:F11"/>
    <mergeCell ref="A10:E10"/>
  </mergeCells>
  <printOptions horizontalCentered="1" verticalCentered="1"/>
  <pageMargins left="0.51180555555555596" right="0.51180555555555596" top="0.78749999999999998" bottom="0.78749999999999998" header="0.511811023622047" footer="0.511811023622047"/>
  <pageSetup paperSize="9" scale="74" fitToHeight="2"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9"/>
  <sheetViews>
    <sheetView showGridLines="0" topLeftCell="A20" zoomScaleNormal="100" zoomScaleSheetLayoutView="100" zoomScalePageLayoutView="140" workbookViewId="0">
      <selection activeCell="G39" sqref="G39"/>
    </sheetView>
  </sheetViews>
  <sheetFormatPr defaultColWidth="8.7109375" defaultRowHeight="15" x14ac:dyDescent="0.25"/>
  <cols>
    <col min="1" max="1" width="5.5703125" style="69" customWidth="1"/>
    <col min="2" max="2" width="64.7109375" style="69" customWidth="1"/>
    <col min="3" max="3" width="7.85546875" style="69" customWidth="1"/>
    <col min="4" max="7" width="13.7109375" style="69" customWidth="1"/>
    <col min="8" max="256" width="9" customWidth="1"/>
    <col min="257" max="257" width="5.5703125" customWidth="1"/>
    <col min="258" max="258" width="45.140625" customWidth="1"/>
    <col min="259" max="259" width="6.28515625" customWidth="1"/>
    <col min="260" max="263" width="13.7109375" customWidth="1"/>
    <col min="264" max="512" width="9" customWidth="1"/>
    <col min="513" max="513" width="5.5703125" customWidth="1"/>
    <col min="514" max="514" width="45.140625" customWidth="1"/>
    <col min="515" max="515" width="6.28515625" customWidth="1"/>
    <col min="516" max="519" width="13.7109375" customWidth="1"/>
    <col min="520" max="768" width="9" customWidth="1"/>
    <col min="769" max="769" width="5.5703125" customWidth="1"/>
    <col min="770" max="770" width="45.140625" customWidth="1"/>
    <col min="771" max="771" width="6.28515625" customWidth="1"/>
    <col min="772" max="775" width="13.7109375" customWidth="1"/>
    <col min="776" max="1025" width="9" customWidth="1"/>
  </cols>
  <sheetData>
    <row r="1" spans="1:7" s="69" customFormat="1" ht="11.25" customHeight="1" x14ac:dyDescent="0.25">
      <c r="A1" s="162"/>
      <c r="B1" s="100" t="str">
        <f>INSTRUÇÕES!B1</f>
        <v>Tribunal Regional Federal da 6ª Região</v>
      </c>
      <c r="C1" s="226"/>
      <c r="D1" s="227"/>
      <c r="E1" s="227"/>
      <c r="F1" s="227"/>
      <c r="G1" s="228"/>
    </row>
    <row r="2" spans="1:7" s="69" customFormat="1" ht="11.25" customHeight="1" x14ac:dyDescent="0.25">
      <c r="A2" s="164"/>
      <c r="B2" s="102" t="str">
        <f>INSTRUÇÕES!B2</f>
        <v>Seção Judiciária de Minas Gerais</v>
      </c>
      <c r="C2" s="229"/>
      <c r="D2" s="230"/>
      <c r="E2" s="230"/>
      <c r="F2" s="230"/>
      <c r="G2" s="231"/>
    </row>
    <row r="3" spans="1:7" s="69" customFormat="1" ht="10.5" customHeight="1" x14ac:dyDescent="0.25">
      <c r="A3" s="166"/>
      <c r="B3" s="102" t="str">
        <f>INSTRUÇÕES!B3</f>
        <v>Subseção Judiciária de Uberaba</v>
      </c>
      <c r="C3" s="229"/>
      <c r="D3" s="230"/>
      <c r="E3" s="230"/>
      <c r="F3" s="230"/>
      <c r="G3" s="231"/>
    </row>
    <row r="4" spans="1:7" s="69" customFormat="1" ht="21.75" customHeight="1" x14ac:dyDescent="0.2">
      <c r="A4" s="693" t="s">
        <v>522</v>
      </c>
      <c r="B4" s="693"/>
      <c r="C4" s="693"/>
      <c r="D4" s="693"/>
      <c r="E4" s="693"/>
      <c r="F4" s="693"/>
      <c r="G4" s="693"/>
    </row>
    <row r="5" spans="1:7" s="69" customFormat="1" ht="26.25" customHeight="1" x14ac:dyDescent="0.2">
      <c r="A5" s="694" t="s">
        <v>338</v>
      </c>
      <c r="B5" s="694"/>
      <c r="C5" s="694"/>
      <c r="D5" s="694"/>
      <c r="E5" s="694"/>
      <c r="F5" s="694"/>
      <c r="G5" s="694"/>
    </row>
    <row r="6" spans="1:7" s="69" customFormat="1" ht="15.75" x14ac:dyDescent="0.2">
      <c r="A6" s="232"/>
      <c r="B6" s="233"/>
      <c r="C6" s="233"/>
      <c r="D6" s="233" t="s">
        <v>349</v>
      </c>
      <c r="E6" s="233"/>
      <c r="G6" s="234">
        <v>0.1</v>
      </c>
    </row>
    <row r="7" spans="1:7" s="69" customFormat="1" ht="25.5" x14ac:dyDescent="0.2">
      <c r="A7" s="235" t="s">
        <v>350</v>
      </c>
      <c r="B7" s="210" t="s">
        <v>351</v>
      </c>
      <c r="C7" s="210" t="s">
        <v>352</v>
      </c>
      <c r="D7" s="236" t="s">
        <v>353</v>
      </c>
      <c r="E7" s="236" t="s">
        <v>354</v>
      </c>
      <c r="F7" s="236" t="s">
        <v>508</v>
      </c>
      <c r="G7" s="237" t="s">
        <v>355</v>
      </c>
    </row>
    <row r="8" spans="1:7" s="69" customFormat="1" ht="38.25" customHeight="1" x14ac:dyDescent="0.2">
      <c r="A8" s="695" t="s">
        <v>736</v>
      </c>
      <c r="B8" s="695"/>
      <c r="C8" s="695"/>
      <c r="D8" s="695"/>
      <c r="E8" s="695"/>
      <c r="F8" s="695"/>
      <c r="G8" s="695"/>
    </row>
    <row r="9" spans="1:7" s="69" customFormat="1" ht="12.75" x14ac:dyDescent="0.2">
      <c r="A9" s="238">
        <v>1</v>
      </c>
      <c r="B9" s="433" t="s">
        <v>643</v>
      </c>
      <c r="C9" s="239">
        <v>1</v>
      </c>
      <c r="D9" s="240">
        <v>81.83</v>
      </c>
      <c r="E9" s="241">
        <f>ROUND((D9*C9),2)</f>
        <v>81.83</v>
      </c>
      <c r="F9" s="241">
        <f>ROUND(E9*$G$6,2)</f>
        <v>8.18</v>
      </c>
      <c r="G9" s="242">
        <f>ROUND(F9/12,2)</f>
        <v>0.68</v>
      </c>
    </row>
    <row r="10" spans="1:7" s="69" customFormat="1" ht="25.5" x14ac:dyDescent="0.2">
      <c r="A10" s="238">
        <v>3</v>
      </c>
      <c r="B10" s="433" t="s">
        <v>651</v>
      </c>
      <c r="C10" s="239">
        <v>1</v>
      </c>
      <c r="D10" s="550">
        <v>34.71</v>
      </c>
      <c r="E10" s="241">
        <f t="shared" ref="E10:E15" si="0">ROUND((D10*C10),2)</f>
        <v>34.71</v>
      </c>
      <c r="F10" s="241">
        <f t="shared" ref="F10:F15" si="1">ROUND(E10*$G$6,2)</f>
        <v>3.47</v>
      </c>
      <c r="G10" s="242">
        <f t="shared" ref="G10:G15" si="2">ROUND(F10/12,2)</f>
        <v>0.28999999999999998</v>
      </c>
    </row>
    <row r="11" spans="1:7" s="69" customFormat="1" ht="38.25" x14ac:dyDescent="0.2">
      <c r="A11" s="238">
        <v>4</v>
      </c>
      <c r="B11" s="433" t="s">
        <v>652</v>
      </c>
      <c r="C11" s="239">
        <v>2</v>
      </c>
      <c r="D11" s="550">
        <v>16.45</v>
      </c>
      <c r="E11" s="241">
        <f t="shared" si="0"/>
        <v>32.9</v>
      </c>
      <c r="F11" s="241">
        <f t="shared" si="1"/>
        <v>3.29</v>
      </c>
      <c r="G11" s="242">
        <f t="shared" si="2"/>
        <v>0.27</v>
      </c>
    </row>
    <row r="12" spans="1:7" s="69" customFormat="1" ht="12.75" x14ac:dyDescent="0.2">
      <c r="A12" s="238">
        <v>5</v>
      </c>
      <c r="B12" s="433" t="s">
        <v>653</v>
      </c>
      <c r="C12" s="239">
        <v>1</v>
      </c>
      <c r="D12" s="550">
        <v>542.34</v>
      </c>
      <c r="E12" s="241">
        <f t="shared" si="0"/>
        <v>542.34</v>
      </c>
      <c r="F12" s="241">
        <f t="shared" si="1"/>
        <v>54.23</v>
      </c>
      <c r="G12" s="242">
        <f t="shared" si="2"/>
        <v>4.5199999999999996</v>
      </c>
    </row>
    <row r="13" spans="1:7" s="69" customFormat="1" ht="25.5" x14ac:dyDescent="0.2">
      <c r="A13" s="238">
        <v>6</v>
      </c>
      <c r="B13" s="433" t="s">
        <v>654</v>
      </c>
      <c r="C13" s="239">
        <v>1</v>
      </c>
      <c r="D13" s="550">
        <v>70.8</v>
      </c>
      <c r="E13" s="241">
        <f t="shared" si="0"/>
        <v>70.8</v>
      </c>
      <c r="F13" s="241">
        <f t="shared" si="1"/>
        <v>7.08</v>
      </c>
      <c r="G13" s="242">
        <f t="shared" si="2"/>
        <v>0.59</v>
      </c>
    </row>
    <row r="14" spans="1:7" s="69" customFormat="1" ht="38.25" x14ac:dyDescent="0.2">
      <c r="A14" s="238">
        <v>7</v>
      </c>
      <c r="B14" s="547" t="s">
        <v>655</v>
      </c>
      <c r="C14" s="239">
        <v>2</v>
      </c>
      <c r="D14" s="245">
        <v>17</v>
      </c>
      <c r="E14" s="241">
        <f t="shared" si="0"/>
        <v>34</v>
      </c>
      <c r="F14" s="241">
        <f t="shared" si="1"/>
        <v>3.4</v>
      </c>
      <c r="G14" s="242">
        <f t="shared" si="2"/>
        <v>0.28000000000000003</v>
      </c>
    </row>
    <row r="15" spans="1:7" s="69" customFormat="1" ht="12.75" x14ac:dyDescent="0.2">
      <c r="A15" s="238">
        <v>8</v>
      </c>
      <c r="B15" s="433" t="s">
        <v>656</v>
      </c>
      <c r="C15" s="239">
        <v>2</v>
      </c>
      <c r="D15" s="245">
        <v>20.8</v>
      </c>
      <c r="E15" s="241">
        <f t="shared" si="0"/>
        <v>41.6</v>
      </c>
      <c r="F15" s="241">
        <f t="shared" si="1"/>
        <v>4.16</v>
      </c>
      <c r="G15" s="242">
        <f t="shared" si="2"/>
        <v>0.35</v>
      </c>
    </row>
    <row r="16" spans="1:7" s="69" customFormat="1" ht="15.75" customHeight="1" thickBot="1" x14ac:dyDescent="0.25">
      <c r="A16" s="696" t="s">
        <v>737</v>
      </c>
      <c r="B16" s="696"/>
      <c r="C16" s="696"/>
      <c r="D16" s="696"/>
      <c r="E16" s="696"/>
      <c r="F16" s="696"/>
      <c r="G16" s="246">
        <f>SUM(G9:G15)</f>
        <v>6.9799999999999995</v>
      </c>
    </row>
    <row r="17" spans="1:7" s="69" customFormat="1" ht="34.5" customHeight="1" x14ac:dyDescent="0.2">
      <c r="A17" s="695" t="s">
        <v>740</v>
      </c>
      <c r="B17" s="695"/>
      <c r="C17" s="695"/>
      <c r="D17" s="695"/>
      <c r="E17" s="695"/>
      <c r="F17" s="695"/>
      <c r="G17" s="695"/>
    </row>
    <row r="18" spans="1:7" ht="25.5" x14ac:dyDescent="0.25">
      <c r="A18" s="235" t="s">
        <v>350</v>
      </c>
      <c r="B18" s="210" t="s">
        <v>351</v>
      </c>
      <c r="C18" s="210" t="s">
        <v>352</v>
      </c>
      <c r="D18" s="236" t="s">
        <v>353</v>
      </c>
      <c r="E18" s="236" t="s">
        <v>354</v>
      </c>
      <c r="F18" s="236" t="s">
        <v>508</v>
      </c>
      <c r="G18" s="237" t="s">
        <v>355</v>
      </c>
    </row>
    <row r="19" spans="1:7" ht="39" x14ac:dyDescent="0.25">
      <c r="A19" s="238">
        <v>1</v>
      </c>
      <c r="B19" s="433" t="s">
        <v>644</v>
      </c>
      <c r="C19" s="239">
        <v>1</v>
      </c>
      <c r="D19" s="240">
        <v>730.39</v>
      </c>
      <c r="E19" s="241">
        <f>ROUND((D19*C19),2)</f>
        <v>730.39</v>
      </c>
      <c r="F19" s="241">
        <f>ROUND(E19*$G$6,2)</f>
        <v>73.040000000000006</v>
      </c>
      <c r="G19" s="242">
        <f>ROUND(F19/12,2)</f>
        <v>6.09</v>
      </c>
    </row>
    <row r="20" spans="1:7" x14ac:dyDescent="0.25">
      <c r="A20" s="244">
        <v>2</v>
      </c>
      <c r="B20" s="548" t="s">
        <v>645</v>
      </c>
      <c r="C20" s="549">
        <v>1</v>
      </c>
      <c r="D20" s="550">
        <v>680</v>
      </c>
      <c r="E20" s="241">
        <f t="shared" ref="E20:E21" si="3">ROUND((D20*C20),2)</f>
        <v>680</v>
      </c>
      <c r="F20" s="241">
        <f t="shared" ref="F20:F21" si="4">ROUND(E20*$G$6,2)</f>
        <v>68</v>
      </c>
      <c r="G20" s="242">
        <f t="shared" ref="G20:G21" si="5">ROUND(F20/12,2)</f>
        <v>5.67</v>
      </c>
    </row>
    <row r="21" spans="1:7" ht="51.75" x14ac:dyDescent="0.25">
      <c r="A21" s="244">
        <v>3</v>
      </c>
      <c r="B21" s="548" t="s">
        <v>646</v>
      </c>
      <c r="C21" s="549">
        <v>1</v>
      </c>
      <c r="D21" s="550">
        <v>433</v>
      </c>
      <c r="E21" s="241">
        <f t="shared" si="3"/>
        <v>433</v>
      </c>
      <c r="F21" s="241">
        <f t="shared" si="4"/>
        <v>43.3</v>
      </c>
      <c r="G21" s="242">
        <f t="shared" si="5"/>
        <v>3.61</v>
      </c>
    </row>
    <row r="22" spans="1:7" x14ac:dyDescent="0.25">
      <c r="A22" s="238">
        <v>4</v>
      </c>
      <c r="B22" s="548" t="s">
        <v>647</v>
      </c>
      <c r="C22" s="549">
        <v>1</v>
      </c>
      <c r="D22" s="550">
        <v>62.59</v>
      </c>
      <c r="E22" s="241">
        <f t="shared" ref="E22:E24" si="6">ROUND((D22*C22),2)</f>
        <v>62.59</v>
      </c>
      <c r="F22" s="241">
        <f t="shared" ref="F22:F24" si="7">ROUND(E22*$G$6,2)</f>
        <v>6.26</v>
      </c>
      <c r="G22" s="242">
        <f t="shared" ref="G22:G24" si="8">ROUND(F22/12,2)</f>
        <v>0.52</v>
      </c>
    </row>
    <row r="23" spans="1:7" x14ac:dyDescent="0.25">
      <c r="A23" s="244">
        <v>5</v>
      </c>
      <c r="B23" s="548" t="s">
        <v>648</v>
      </c>
      <c r="C23" s="549">
        <v>1</v>
      </c>
      <c r="D23" s="550">
        <v>46.71</v>
      </c>
      <c r="E23" s="241">
        <f t="shared" si="6"/>
        <v>46.71</v>
      </c>
      <c r="F23" s="241">
        <f t="shared" si="7"/>
        <v>4.67</v>
      </c>
      <c r="G23" s="242">
        <f t="shared" si="8"/>
        <v>0.39</v>
      </c>
    </row>
    <row r="24" spans="1:7" x14ac:dyDescent="0.25">
      <c r="A24" s="244">
        <v>6</v>
      </c>
      <c r="B24" s="548" t="s">
        <v>649</v>
      </c>
      <c r="C24" s="549">
        <v>1</v>
      </c>
      <c r="D24" s="550">
        <v>392.14</v>
      </c>
      <c r="E24" s="241">
        <f t="shared" si="6"/>
        <v>392.14</v>
      </c>
      <c r="F24" s="241">
        <f t="shared" si="7"/>
        <v>39.21</v>
      </c>
      <c r="G24" s="242">
        <f t="shared" si="8"/>
        <v>3.27</v>
      </c>
    </row>
    <row r="25" spans="1:7" ht="15.75" thickBot="1" x14ac:dyDescent="0.3">
      <c r="A25" s="696" t="s">
        <v>735</v>
      </c>
      <c r="B25" s="696"/>
      <c r="C25" s="696"/>
      <c r="D25" s="696"/>
      <c r="E25" s="696"/>
      <c r="F25" s="696"/>
      <c r="G25" s="246">
        <f>SUM(G19:G24)</f>
        <v>19.549999999999997</v>
      </c>
    </row>
    <row r="28" spans="1:7" x14ac:dyDescent="0.25">
      <c r="A28" s="695" t="s">
        <v>738</v>
      </c>
      <c r="B28" s="695"/>
      <c r="C28" s="695"/>
      <c r="D28" s="695"/>
      <c r="E28" s="695"/>
      <c r="F28" s="695"/>
      <c r="G28" s="695"/>
    </row>
    <row r="29" spans="1:7" ht="25.5" x14ac:dyDescent="0.25">
      <c r="A29" s="235" t="s">
        <v>350</v>
      </c>
      <c r="B29" s="210" t="s">
        <v>351</v>
      </c>
      <c r="C29" s="210" t="s">
        <v>352</v>
      </c>
      <c r="D29" s="236" t="s">
        <v>353</v>
      </c>
      <c r="E29" s="236" t="s">
        <v>354</v>
      </c>
      <c r="F29" s="236" t="s">
        <v>508</v>
      </c>
      <c r="G29" s="237" t="s">
        <v>355</v>
      </c>
    </row>
    <row r="30" spans="1:7" ht="51.75" x14ac:dyDescent="0.25">
      <c r="A30" s="238">
        <v>2</v>
      </c>
      <c r="B30" s="433" t="s">
        <v>650</v>
      </c>
      <c r="C30" s="239">
        <v>2</v>
      </c>
      <c r="D30" s="240">
        <v>1890.94</v>
      </c>
      <c r="E30" s="241">
        <f t="shared" ref="E30" si="9">ROUND((D30*C30),2)</f>
        <v>3781.88</v>
      </c>
      <c r="F30" s="241">
        <f t="shared" ref="F30" si="10">ROUND(E30*$G$6,2)</f>
        <v>378.19</v>
      </c>
      <c r="G30" s="242">
        <f t="shared" ref="G30" si="11">ROUND(F30/12,2)</f>
        <v>31.52</v>
      </c>
    </row>
    <row r="31" spans="1:7" ht="15.75" thickBot="1" x14ac:dyDescent="0.3">
      <c r="A31" s="696" t="s">
        <v>528</v>
      </c>
      <c r="B31" s="696"/>
      <c r="C31" s="696"/>
      <c r="D31" s="696"/>
      <c r="E31" s="696"/>
      <c r="F31" s="696"/>
      <c r="G31" s="246">
        <f>SUM(G26:G30)</f>
        <v>31.52</v>
      </c>
    </row>
    <row r="32" spans="1:7" x14ac:dyDescent="0.25">
      <c r="A32" s="568"/>
      <c r="B32" s="569"/>
      <c r="C32" s="570"/>
      <c r="D32" s="571"/>
      <c r="E32" s="572"/>
      <c r="F32" s="572"/>
      <c r="G32" s="284"/>
    </row>
    <row r="33" spans="1:7" x14ac:dyDescent="0.25">
      <c r="A33" s="695" t="s">
        <v>741</v>
      </c>
      <c r="B33" s="695"/>
      <c r="C33" s="695"/>
      <c r="D33" s="695"/>
      <c r="E33" s="695"/>
      <c r="F33" s="695"/>
      <c r="G33" s="695"/>
    </row>
    <row r="34" spans="1:7" ht="25.5" x14ac:dyDescent="0.25">
      <c r="A34" s="235" t="s">
        <v>350</v>
      </c>
      <c r="B34" s="210" t="s">
        <v>351</v>
      </c>
      <c r="C34" s="210" t="s">
        <v>352</v>
      </c>
      <c r="D34" s="236" t="s">
        <v>353</v>
      </c>
      <c r="E34" s="236" t="s">
        <v>354</v>
      </c>
      <c r="F34" s="236" t="s">
        <v>508</v>
      </c>
      <c r="G34" s="237" t="s">
        <v>355</v>
      </c>
    </row>
    <row r="35" spans="1:7" ht="64.5" x14ac:dyDescent="0.25">
      <c r="A35" s="238">
        <v>1</v>
      </c>
      <c r="B35" s="433" t="s">
        <v>657</v>
      </c>
      <c r="C35" s="239">
        <v>1</v>
      </c>
      <c r="D35" s="240">
        <v>435.39</v>
      </c>
      <c r="E35" s="241">
        <f>ROUND((D35*C35),2)</f>
        <v>435.39</v>
      </c>
      <c r="F35" s="241">
        <f>ROUND(E35*$G$6,2)</f>
        <v>43.54</v>
      </c>
      <c r="G35" s="242">
        <f>ROUND(F35/12,2)</f>
        <v>3.63</v>
      </c>
    </row>
    <row r="36" spans="1:7" x14ac:dyDescent="0.25">
      <c r="A36" s="244">
        <v>2</v>
      </c>
      <c r="B36" s="548" t="s">
        <v>658</v>
      </c>
      <c r="C36" s="549">
        <v>1</v>
      </c>
      <c r="D36" s="550">
        <v>33.76</v>
      </c>
      <c r="E36" s="241">
        <f t="shared" ref="E36:E38" si="12">ROUND((D36*C36),2)</f>
        <v>33.76</v>
      </c>
      <c r="F36" s="241">
        <f t="shared" ref="F36:F38" si="13">ROUND(E36*$G$6,2)</f>
        <v>3.38</v>
      </c>
      <c r="G36" s="242">
        <f t="shared" ref="G36:G38" si="14">ROUND(F36/12,2)</f>
        <v>0.28000000000000003</v>
      </c>
    </row>
    <row r="37" spans="1:7" ht="39" x14ac:dyDescent="0.25">
      <c r="A37" s="244">
        <v>3</v>
      </c>
      <c r="B37" s="548" t="s">
        <v>659</v>
      </c>
      <c r="C37" s="549">
        <v>2</v>
      </c>
      <c r="D37" s="550">
        <v>538.23</v>
      </c>
      <c r="E37" s="241">
        <f t="shared" si="12"/>
        <v>1076.46</v>
      </c>
      <c r="F37" s="241">
        <f t="shared" si="13"/>
        <v>107.65</v>
      </c>
      <c r="G37" s="242">
        <f t="shared" si="14"/>
        <v>8.9700000000000006</v>
      </c>
    </row>
    <row r="38" spans="1:7" ht="51.75" x14ac:dyDescent="0.25">
      <c r="A38" s="238">
        <v>4</v>
      </c>
      <c r="B38" s="548" t="s">
        <v>660</v>
      </c>
      <c r="C38" s="549">
        <v>1</v>
      </c>
      <c r="D38" s="550">
        <v>513.96</v>
      </c>
      <c r="E38" s="241">
        <f t="shared" si="12"/>
        <v>513.96</v>
      </c>
      <c r="F38" s="241">
        <f t="shared" si="13"/>
        <v>51.4</v>
      </c>
      <c r="G38" s="242">
        <f t="shared" si="14"/>
        <v>4.28</v>
      </c>
    </row>
    <row r="39" spans="1:7" ht="15.75" thickBot="1" x14ac:dyDescent="0.3">
      <c r="A39" s="696" t="s">
        <v>739</v>
      </c>
      <c r="B39" s="696"/>
      <c r="C39" s="696"/>
      <c r="D39" s="696"/>
      <c r="E39" s="696"/>
      <c r="F39" s="696"/>
      <c r="G39" s="246">
        <f>SUM(G35:G38)</f>
        <v>17.16</v>
      </c>
    </row>
  </sheetData>
  <sheetProtection algorithmName="SHA-512" hashValue="ayhPlLCSm0wAUOYy1V0jIjc+m2ZsVqtYbfQd8dHez/OGKCz+7mC4+kzq8UyfNeu/TZp/iTbslnEMpv0glM7zWQ==" saltValue="fmDukIyEn//Gku6ZuFD0oQ==" spinCount="100000" sheet="1" objects="1" scenarios="1"/>
  <mergeCells count="10">
    <mergeCell ref="A28:G28"/>
    <mergeCell ref="A39:F39"/>
    <mergeCell ref="A25:F25"/>
    <mergeCell ref="A17:G17"/>
    <mergeCell ref="A4:G4"/>
    <mergeCell ref="A5:G5"/>
    <mergeCell ref="A8:G8"/>
    <mergeCell ref="A16:F16"/>
    <mergeCell ref="A33:G33"/>
    <mergeCell ref="A31:F31"/>
  </mergeCells>
  <printOptions horizontalCentered="1" verticalCentered="1"/>
  <pageMargins left="0.51180555555555596" right="0.51180555555555596" top="0.78749999999999998" bottom="0.78749999999999998" header="0.511811023622047" footer="0.511811023622047"/>
  <pageSetup paperSize="9" scale="69" fitToHeight="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2"/>
  <sheetViews>
    <sheetView showGridLines="0" zoomScaleNormal="100" zoomScaleSheetLayoutView="100" zoomScalePageLayoutView="140" workbookViewId="0">
      <selection activeCell="H20" sqref="H20"/>
    </sheetView>
  </sheetViews>
  <sheetFormatPr defaultColWidth="8.7109375" defaultRowHeight="15" x14ac:dyDescent="0.25"/>
  <cols>
    <col min="1" max="1" width="13.28515625" style="3" customWidth="1"/>
    <col min="2" max="2" width="7.7109375" style="2" customWidth="1"/>
    <col min="3" max="3" width="6.140625" style="247" customWidth="1"/>
    <col min="4" max="4" width="64.28515625" style="1" customWidth="1"/>
    <col min="5" max="5" width="9.28515625" style="1" customWidth="1"/>
    <col min="6" max="6" width="13.28515625" style="247" customWidth="1"/>
    <col min="7" max="7" width="9" style="248" bestFit="1" customWidth="1"/>
    <col min="8" max="8" width="10.85546875" style="249" customWidth="1"/>
    <col min="9" max="9" width="9" customWidth="1"/>
    <col min="10" max="10" width="16.42578125" style="250" hidden="1" customWidth="1"/>
    <col min="11" max="15" width="11.28515625" style="250" hidden="1" customWidth="1"/>
    <col min="16" max="254" width="9" customWidth="1"/>
    <col min="255" max="255" width="13.28515625" customWidth="1"/>
    <col min="256" max="256" width="7.7109375" customWidth="1"/>
    <col min="257" max="257" width="6.140625" customWidth="1"/>
    <col min="258" max="258" width="56.140625" customWidth="1"/>
    <col min="259" max="259" width="9.28515625" customWidth="1"/>
    <col min="260" max="261" width="12.42578125" customWidth="1"/>
    <col min="262" max="262" width="10.85546875" customWidth="1"/>
    <col min="263" max="265" width="9" customWidth="1"/>
    <col min="266" max="266" width="11.42578125" customWidth="1"/>
    <col min="267" max="271" width="11.28515625" customWidth="1"/>
    <col min="272" max="510" width="9" customWidth="1"/>
    <col min="511" max="511" width="13.28515625" customWidth="1"/>
    <col min="512" max="512" width="7.7109375" customWidth="1"/>
    <col min="513" max="513" width="6.140625" customWidth="1"/>
    <col min="514" max="514" width="56.140625" customWidth="1"/>
    <col min="515" max="515" width="9.28515625" customWidth="1"/>
    <col min="516" max="517" width="12.42578125" customWidth="1"/>
    <col min="518" max="518" width="10.85546875" customWidth="1"/>
    <col min="519" max="521" width="9" customWidth="1"/>
    <col min="522" max="522" width="11.42578125" customWidth="1"/>
    <col min="523" max="527" width="11.28515625" customWidth="1"/>
    <col min="528" max="766" width="9" customWidth="1"/>
    <col min="767" max="767" width="13.28515625" customWidth="1"/>
    <col min="768" max="768" width="7.7109375" customWidth="1"/>
    <col min="769" max="769" width="6.140625" customWidth="1"/>
    <col min="770" max="770" width="56.140625" customWidth="1"/>
    <col min="771" max="771" width="9.28515625" customWidth="1"/>
    <col min="772" max="773" width="12.42578125" customWidth="1"/>
    <col min="774" max="774" width="10.85546875" customWidth="1"/>
    <col min="775" max="777" width="9" customWidth="1"/>
    <col min="778" max="778" width="11.42578125" customWidth="1"/>
    <col min="779" max="783" width="11.28515625" customWidth="1"/>
    <col min="784" max="1022" width="9" customWidth="1"/>
    <col min="1023" max="1023" width="13.28515625" customWidth="1"/>
    <col min="1024" max="1025" width="7.7109375" customWidth="1"/>
  </cols>
  <sheetData>
    <row r="1" spans="1:16" s="1" customFormat="1" ht="12.75" customHeight="1" x14ac:dyDescent="0.25">
      <c r="A1" s="251"/>
      <c r="B1" s="252" t="str">
        <f>INSTRUÇÕES!B1</f>
        <v>Tribunal Regional Federal da 6ª Região</v>
      </c>
      <c r="C1" s="253"/>
      <c r="D1" s="254"/>
      <c r="E1" s="255"/>
      <c r="F1" s="256"/>
      <c r="G1" s="257"/>
      <c r="H1" s="258"/>
      <c r="J1" s="701" t="s">
        <v>339</v>
      </c>
      <c r="K1" s="701"/>
      <c r="L1" s="701"/>
      <c r="M1" s="701"/>
      <c r="N1" s="701"/>
      <c r="O1" s="701"/>
    </row>
    <row r="2" spans="1:16" s="1" customFormat="1" ht="12.75" customHeight="1" x14ac:dyDescent="0.25">
      <c r="A2" s="259"/>
      <c r="B2" s="260" t="str">
        <f>INSTRUÇÕES!B2</f>
        <v>Seção Judiciária de Minas Gerais</v>
      </c>
      <c r="C2" s="261"/>
      <c r="D2" s="262"/>
      <c r="F2" s="247"/>
      <c r="G2" s="248"/>
      <c r="H2" s="263"/>
      <c r="J2" s="701"/>
      <c r="K2" s="701"/>
      <c r="L2" s="701"/>
      <c r="M2" s="701"/>
      <c r="N2" s="701"/>
      <c r="O2" s="701"/>
    </row>
    <row r="3" spans="1:16" s="119" customFormat="1" x14ac:dyDescent="0.25">
      <c r="A3" s="259"/>
      <c r="B3" s="264" t="str">
        <f>INSTRUÇÕES!B3</f>
        <v>Subseção Judiciária de Uberaba</v>
      </c>
      <c r="C3" s="265"/>
      <c r="D3" s="266"/>
      <c r="F3" s="267"/>
      <c r="G3" s="268"/>
      <c r="H3" s="269"/>
      <c r="J3" s="701"/>
      <c r="K3" s="701"/>
      <c r="L3" s="701"/>
      <c r="M3" s="701"/>
      <c r="N3" s="701"/>
      <c r="O3" s="701"/>
    </row>
    <row r="4" spans="1:16" s="230" customFormat="1" ht="15.75" x14ac:dyDescent="0.25">
      <c r="A4" s="702" t="s">
        <v>523</v>
      </c>
      <c r="B4" s="702"/>
      <c r="C4" s="702"/>
      <c r="D4" s="702"/>
      <c r="E4" s="702"/>
      <c r="F4" s="702"/>
      <c r="G4" s="702"/>
      <c r="H4" s="702"/>
      <c r="J4" s="701"/>
      <c r="K4" s="701"/>
      <c r="L4" s="701"/>
      <c r="M4" s="701"/>
      <c r="N4" s="701"/>
      <c r="O4" s="701"/>
    </row>
    <row r="5" spans="1:16" s="1" customFormat="1" ht="27" customHeight="1" x14ac:dyDescent="0.25">
      <c r="A5" s="703" t="s">
        <v>338</v>
      </c>
      <c r="B5" s="703"/>
      <c r="C5" s="703"/>
      <c r="D5" s="703"/>
      <c r="E5" s="703"/>
      <c r="F5" s="703"/>
      <c r="G5" s="703"/>
      <c r="H5" s="703"/>
      <c r="J5" s="704" t="s">
        <v>346</v>
      </c>
      <c r="K5" s="598" t="s">
        <v>248</v>
      </c>
      <c r="L5" s="598" t="s">
        <v>249</v>
      </c>
      <c r="M5" s="598" t="s">
        <v>250</v>
      </c>
      <c r="N5" s="598" t="s">
        <v>251</v>
      </c>
      <c r="O5" s="598" t="s">
        <v>252</v>
      </c>
    </row>
    <row r="6" spans="1:16" s="1" customFormat="1" ht="15.75" customHeight="1" x14ac:dyDescent="0.25">
      <c r="A6" s="705" t="s">
        <v>356</v>
      </c>
      <c r="B6" s="705"/>
      <c r="C6" s="705"/>
      <c r="D6" s="705"/>
      <c r="E6" s="705"/>
      <c r="F6" s="705"/>
      <c r="G6" s="705"/>
      <c r="H6" s="705"/>
      <c r="J6" s="704"/>
      <c r="K6" s="598"/>
      <c r="L6" s="598"/>
      <c r="M6" s="598"/>
      <c r="N6" s="598"/>
      <c r="O6" s="598"/>
    </row>
    <row r="7" spans="1:16" s="1" customFormat="1" ht="15.75" customHeight="1" x14ac:dyDescent="0.25">
      <c r="A7" s="270"/>
      <c r="B7" s="271"/>
      <c r="C7" s="272"/>
      <c r="D7" s="271"/>
      <c r="E7" s="271"/>
      <c r="F7" s="272"/>
      <c r="G7" s="273"/>
      <c r="H7" s="274"/>
      <c r="J7" s="704"/>
      <c r="K7" s="598"/>
      <c r="L7" s="598"/>
      <c r="M7" s="598"/>
      <c r="N7" s="598"/>
      <c r="O7" s="598"/>
    </row>
    <row r="8" spans="1:16" s="1" customFormat="1" ht="25.5" x14ac:dyDescent="0.25">
      <c r="A8" s="275" t="s">
        <v>357</v>
      </c>
      <c r="B8" s="276" t="s">
        <v>226</v>
      </c>
      <c r="C8" s="277" t="s">
        <v>358</v>
      </c>
      <c r="D8" s="275" t="s">
        <v>359</v>
      </c>
      <c r="E8" s="278" t="s">
        <v>360</v>
      </c>
      <c r="F8" s="567" t="s">
        <v>361</v>
      </c>
      <c r="G8" s="279" t="s">
        <v>348</v>
      </c>
      <c r="H8" s="280" t="s">
        <v>168</v>
      </c>
      <c r="J8" s="704"/>
      <c r="K8" s="598"/>
      <c r="L8" s="598"/>
      <c r="M8" s="598"/>
      <c r="N8" s="598"/>
      <c r="O8" s="598"/>
      <c r="P8" s="158"/>
    </row>
    <row r="9" spans="1:16" s="119" customFormat="1" ht="51" x14ac:dyDescent="0.25">
      <c r="A9" s="432" t="s">
        <v>362</v>
      </c>
      <c r="B9" s="39" t="s">
        <v>363</v>
      </c>
      <c r="C9" s="281">
        <v>2</v>
      </c>
      <c r="D9" s="440" t="s">
        <v>720</v>
      </c>
      <c r="E9" s="83" t="s">
        <v>534</v>
      </c>
      <c r="F9" s="282">
        <f>C9*A12</f>
        <v>14</v>
      </c>
      <c r="G9" s="240">
        <v>74.430000000000007</v>
      </c>
      <c r="H9" s="284">
        <f>ROUND(F9*G9,2)</f>
        <v>1042.02</v>
      </c>
      <c r="J9" s="285">
        <v>25.8</v>
      </c>
      <c r="K9" s="39">
        <f>ROUND(IF(Dados!$I$63="SIM",J9*Dados!$N$63,J9),2)</f>
        <v>25.8</v>
      </c>
      <c r="L9" s="39">
        <f>ROUND(IF(Dados!$I$64="SIM",K9*Dados!$N$64,K9),2)</f>
        <v>25.8</v>
      </c>
      <c r="M9" s="39">
        <f>ROUND(IF(Dados!$I$65="SIM",L9*Dados!$N$65,L9),2)</f>
        <v>25.8</v>
      </c>
      <c r="N9" s="39">
        <f>ROUND(IF(Dados!$I$66="SIM",M9*Dados!$N$66,M9),2)</f>
        <v>25.8</v>
      </c>
      <c r="O9" s="39">
        <f>ROUND(IF(Dados!$I$67="SIM",N9*Dados!$N$67,N9),2)</f>
        <v>25.8</v>
      </c>
    </row>
    <row r="10" spans="1:16" s="119" customFormat="1" ht="38.25" x14ac:dyDescent="0.2">
      <c r="A10" s="706" t="s">
        <v>365</v>
      </c>
      <c r="B10" s="39" t="s">
        <v>364</v>
      </c>
      <c r="C10" s="281">
        <v>3</v>
      </c>
      <c r="D10" s="433" t="s">
        <v>721</v>
      </c>
      <c r="E10" s="83" t="s">
        <v>535</v>
      </c>
      <c r="F10" s="282">
        <f>C10*A12</f>
        <v>21</v>
      </c>
      <c r="G10" s="240">
        <v>60.93</v>
      </c>
      <c r="H10" s="284">
        <f>ROUND(F10*G10,2)</f>
        <v>1279.53</v>
      </c>
      <c r="J10" s="285">
        <v>19.989999999999998</v>
      </c>
      <c r="K10" s="39">
        <f>ROUND(IF(Dados!$I$63="SIM",J10*Dados!$N$63,J10),2)</f>
        <v>19.989999999999998</v>
      </c>
      <c r="L10" s="39">
        <f>ROUND(IF(Dados!$I$64="SIM",K10*Dados!$N$64,K10),2)</f>
        <v>19.989999999999998</v>
      </c>
      <c r="M10" s="39">
        <f>ROUND(IF(Dados!$I$65="SIM",L10*Dados!$N$65,L10),2)</f>
        <v>19.989999999999998</v>
      </c>
      <c r="N10" s="39">
        <f>ROUND(IF(Dados!$I$66="SIM",M10*Dados!$N$66,M10),2)</f>
        <v>19.989999999999998</v>
      </c>
      <c r="O10" s="39">
        <f>ROUND(IF(Dados!$I$67="SIM",N10*Dados!$N$67,N10),2)</f>
        <v>19.989999999999998</v>
      </c>
    </row>
    <row r="11" spans="1:16" s="119" customFormat="1" ht="25.5" x14ac:dyDescent="0.2">
      <c r="A11" s="707"/>
      <c r="B11" s="39" t="s">
        <v>366</v>
      </c>
      <c r="C11" s="281">
        <v>1</v>
      </c>
      <c r="D11" s="433" t="s">
        <v>722</v>
      </c>
      <c r="E11" s="450" t="s">
        <v>371</v>
      </c>
      <c r="F11" s="281">
        <f>C11*A12</f>
        <v>7</v>
      </c>
      <c r="G11" s="240">
        <v>101.48</v>
      </c>
      <c r="H11" s="284">
        <f>ROUND(F11*G11,2)</f>
        <v>710.36</v>
      </c>
      <c r="J11" s="451"/>
      <c r="K11" s="64"/>
      <c r="L11" s="64"/>
      <c r="M11" s="64"/>
      <c r="N11" s="64"/>
      <c r="O11" s="64"/>
    </row>
    <row r="12" spans="1:16" s="119" customFormat="1" ht="23.25" x14ac:dyDescent="0.25">
      <c r="A12" s="436">
        <f>Dados!B7+Dados!B8+Dados!B9+Dados!B10</f>
        <v>7</v>
      </c>
      <c r="B12" s="697" t="s">
        <v>368</v>
      </c>
      <c r="C12" s="698"/>
      <c r="D12" s="698"/>
      <c r="E12" s="698"/>
      <c r="F12" s="698"/>
      <c r="G12" s="699"/>
      <c r="H12" s="287">
        <f>SUM(H9:H11)</f>
        <v>3031.9100000000003</v>
      </c>
      <c r="J12" s="3"/>
      <c r="K12" s="3"/>
      <c r="L12" s="3"/>
      <c r="M12" s="3"/>
      <c r="N12" s="3"/>
      <c r="O12" s="3"/>
    </row>
    <row r="13" spans="1:16" s="119" customFormat="1" ht="15.75" x14ac:dyDescent="0.25">
      <c r="A13" s="708" t="s">
        <v>369</v>
      </c>
      <c r="B13" s="708"/>
      <c r="C13" s="708"/>
      <c r="D13" s="708"/>
      <c r="E13" s="708"/>
      <c r="F13" s="708"/>
      <c r="G13" s="288"/>
      <c r="H13" s="289">
        <f>ROUND(H12/A12/12,2)</f>
        <v>36.090000000000003</v>
      </c>
      <c r="J13" s="3"/>
      <c r="K13" s="3"/>
      <c r="L13" s="3"/>
      <c r="M13" s="3"/>
      <c r="N13" s="3"/>
      <c r="O13" s="3"/>
    </row>
    <row r="14" spans="1:16" s="119" customFormat="1" x14ac:dyDescent="0.25">
      <c r="A14" s="290"/>
      <c r="B14" s="61"/>
      <c r="C14" s="291"/>
      <c r="D14" s="292"/>
      <c r="E14" s="292"/>
      <c r="F14" s="291"/>
      <c r="G14" s="293"/>
      <c r="H14" s="294"/>
      <c r="J14" s="3"/>
      <c r="K14" s="3"/>
      <c r="L14" s="3"/>
      <c r="M14" s="3"/>
      <c r="N14" s="3"/>
      <c r="O14" s="3"/>
    </row>
    <row r="15" spans="1:16" s="119" customFormat="1" ht="63.75" x14ac:dyDescent="0.25">
      <c r="A15" s="275" t="s">
        <v>357</v>
      </c>
      <c r="B15" s="276" t="s">
        <v>226</v>
      </c>
      <c r="C15" s="277" t="s">
        <v>358</v>
      </c>
      <c r="D15" s="278" t="s">
        <v>359</v>
      </c>
      <c r="E15" s="278" t="s">
        <v>360</v>
      </c>
      <c r="F15" s="567" t="s">
        <v>361</v>
      </c>
      <c r="G15" s="279" t="s">
        <v>348</v>
      </c>
      <c r="H15" s="280" t="s">
        <v>168</v>
      </c>
      <c r="J15" s="295" t="s">
        <v>346</v>
      </c>
      <c r="K15" s="296" t="s">
        <v>248</v>
      </c>
      <c r="L15" s="296" t="s">
        <v>249</v>
      </c>
      <c r="M15" s="296" t="s">
        <v>250</v>
      </c>
      <c r="N15" s="296" t="s">
        <v>251</v>
      </c>
      <c r="O15" s="296" t="s">
        <v>252</v>
      </c>
    </row>
    <row r="16" spans="1:16" s="119" customFormat="1" ht="25.5" x14ac:dyDescent="0.25">
      <c r="A16" s="83" t="s">
        <v>531</v>
      </c>
      <c r="B16" s="39" t="s">
        <v>370</v>
      </c>
      <c r="C16" s="281">
        <v>1</v>
      </c>
      <c r="D16" s="435" t="s">
        <v>728</v>
      </c>
      <c r="E16" s="83" t="s">
        <v>533</v>
      </c>
      <c r="F16" s="282">
        <f>C16*A19</f>
        <v>1</v>
      </c>
      <c r="G16" s="240">
        <v>30.82</v>
      </c>
      <c r="H16" s="284">
        <f t="shared" ref="H16:H17" si="0">ROUND(F16*G16,2)</f>
        <v>30.82</v>
      </c>
      <c r="J16" s="285">
        <v>29.9</v>
      </c>
      <c r="K16" s="39">
        <f>ROUND(IF(Dados!$I$63="SIM",J16*Dados!$N$63,J16),2)</f>
        <v>29.9</v>
      </c>
      <c r="L16" s="39">
        <f>ROUND(IF(Dados!$I$64="SIM",K16*Dados!$N$64,K16),2)</f>
        <v>29.9</v>
      </c>
      <c r="M16" s="39">
        <f>ROUND(IF(Dados!$I$65="SIM",L16*Dados!$N$65,L16),2)</f>
        <v>29.9</v>
      </c>
      <c r="N16" s="39">
        <f>ROUND(IF(Dados!$I$66="SIM",M16*Dados!$N$66,M16),2)</f>
        <v>29.9</v>
      </c>
      <c r="O16" s="39">
        <f>ROUND(IF(Dados!$I$67="SIM",N16*Dados!$N$67,N16),2)</f>
        <v>29.9</v>
      </c>
    </row>
    <row r="17" spans="1:15" s="119" customFormat="1" ht="25.5" x14ac:dyDescent="0.25">
      <c r="A17" s="544" t="s">
        <v>365</v>
      </c>
      <c r="B17" s="39" t="s">
        <v>529</v>
      </c>
      <c r="C17" s="281">
        <v>2</v>
      </c>
      <c r="D17" s="435" t="s">
        <v>729</v>
      </c>
      <c r="E17" s="83" t="s">
        <v>533</v>
      </c>
      <c r="F17" s="282">
        <f>C17*A19</f>
        <v>2</v>
      </c>
      <c r="G17" s="240">
        <v>13.33</v>
      </c>
      <c r="H17" s="284">
        <f t="shared" si="0"/>
        <v>26.66</v>
      </c>
      <c r="J17" s="285">
        <v>25.8</v>
      </c>
      <c r="K17" s="39">
        <f>ROUND(IF(Dados!$I$63="SIM",J17*Dados!$N$63,J17),2)</f>
        <v>25.8</v>
      </c>
      <c r="L17" s="39">
        <f>ROUND(IF(Dados!$I$64="SIM",K17*Dados!$N$64,K17),2)</f>
        <v>25.8</v>
      </c>
      <c r="M17" s="39">
        <f>ROUND(IF(Dados!$I$65="SIM",L17*Dados!$N$65,L17),2)</f>
        <v>25.8</v>
      </c>
      <c r="N17" s="39">
        <f>ROUND(IF(Dados!$I$66="SIM",M17*Dados!$N$66,M17),2)</f>
        <v>25.8</v>
      </c>
      <c r="O17" s="39">
        <f>ROUND(IF(Dados!$I$67="SIM",N17*Dados!$N$67,N17),2)</f>
        <v>25.8</v>
      </c>
    </row>
    <row r="18" spans="1:15" s="119" customFormat="1" hidden="1" x14ac:dyDescent="0.25">
      <c r="B18" s="39"/>
      <c r="C18" s="281"/>
      <c r="D18" s="435"/>
      <c r="E18" s="39"/>
      <c r="F18" s="282"/>
      <c r="G18" s="283"/>
      <c r="H18" s="284"/>
      <c r="J18" s="285">
        <v>19.989999999999998</v>
      </c>
      <c r="K18" s="39">
        <f>ROUND(IF(Dados!$I$63="SIM",J18*Dados!$N$63,J18),2)</f>
        <v>19.989999999999998</v>
      </c>
      <c r="L18" s="39">
        <f>ROUND(IF(Dados!$I$64="SIM",K18*Dados!$N$64,K18),2)</f>
        <v>19.989999999999998</v>
      </c>
      <c r="M18" s="39">
        <f>ROUND(IF(Dados!$I$65="SIM",L18*Dados!$N$65,L18),2)</f>
        <v>19.989999999999998</v>
      </c>
      <c r="N18" s="39">
        <f>ROUND(IF(Dados!$I$66="SIM",M18*Dados!$N$66,M18),2)</f>
        <v>19.989999999999998</v>
      </c>
      <c r="O18" s="39">
        <f>ROUND(IF(Dados!$I$67="SIM",N18*Dados!$N$67,N18),2)</f>
        <v>19.989999999999998</v>
      </c>
    </row>
    <row r="19" spans="1:15" s="119" customFormat="1" ht="36" customHeight="1" thickBot="1" x14ac:dyDescent="0.3">
      <c r="A19" s="545">
        <f>Dados!B9</f>
        <v>1</v>
      </c>
      <c r="B19" s="716" t="s">
        <v>368</v>
      </c>
      <c r="C19" s="710"/>
      <c r="D19" s="710"/>
      <c r="E19" s="710"/>
      <c r="F19" s="710"/>
      <c r="G19" s="711"/>
      <c r="H19" s="298">
        <f>SUM(H16:H18)</f>
        <v>57.480000000000004</v>
      </c>
      <c r="J19" s="3"/>
      <c r="K19" s="3"/>
      <c r="L19" s="3"/>
      <c r="M19" s="3"/>
      <c r="N19" s="3"/>
      <c r="O19" s="3"/>
    </row>
    <row r="20" spans="1:15" s="119" customFormat="1" ht="16.5" thickBot="1" x14ac:dyDescent="0.3">
      <c r="A20" s="708" t="s">
        <v>532</v>
      </c>
      <c r="B20" s="708"/>
      <c r="C20" s="708"/>
      <c r="D20" s="708"/>
      <c r="E20" s="708"/>
      <c r="F20" s="708"/>
      <c r="G20" s="288"/>
      <c r="H20" s="289">
        <f>ROUND(H19/A19/12,2)</f>
        <v>4.79</v>
      </c>
      <c r="J20" s="3"/>
      <c r="K20" s="3"/>
      <c r="L20" s="3"/>
      <c r="M20" s="3"/>
      <c r="N20" s="3"/>
      <c r="O20" s="3"/>
    </row>
    <row r="21" spans="1:15" s="119" customFormat="1" x14ac:dyDescent="0.25">
      <c r="A21" s="290"/>
      <c r="B21" s="61"/>
      <c r="C21" s="291"/>
      <c r="D21" s="292"/>
      <c r="E21" s="292"/>
      <c r="F21" s="291"/>
      <c r="G21" s="293"/>
      <c r="H21" s="294"/>
      <c r="J21" s="3"/>
      <c r="K21" s="3"/>
      <c r="L21" s="3"/>
      <c r="M21" s="3"/>
      <c r="N21" s="3"/>
      <c r="O21" s="3"/>
    </row>
    <row r="22" spans="1:15" s="119" customFormat="1" ht="63.75" x14ac:dyDescent="0.25">
      <c r="A22" s="275" t="s">
        <v>357</v>
      </c>
      <c r="B22" s="276" t="s">
        <v>226</v>
      </c>
      <c r="C22" s="277" t="s">
        <v>358</v>
      </c>
      <c r="D22" s="278" t="s">
        <v>359</v>
      </c>
      <c r="E22" s="278" t="s">
        <v>360</v>
      </c>
      <c r="F22" s="567" t="s">
        <v>361</v>
      </c>
      <c r="G22" s="279" t="s">
        <v>348</v>
      </c>
      <c r="H22" s="280" t="s">
        <v>168</v>
      </c>
      <c r="J22" s="295" t="s">
        <v>346</v>
      </c>
      <c r="K22" s="296" t="s">
        <v>248</v>
      </c>
      <c r="L22" s="296" t="s">
        <v>249</v>
      </c>
      <c r="M22" s="296" t="s">
        <v>250</v>
      </c>
      <c r="N22" s="296" t="s">
        <v>251</v>
      </c>
      <c r="O22" s="296" t="s">
        <v>252</v>
      </c>
    </row>
    <row r="23" spans="1:15" s="119" customFormat="1" ht="25.5" x14ac:dyDescent="0.25">
      <c r="A23" s="83" t="s">
        <v>546</v>
      </c>
      <c r="B23" s="39" t="s">
        <v>547</v>
      </c>
      <c r="C23" s="281">
        <v>1</v>
      </c>
      <c r="D23" s="435" t="s">
        <v>727</v>
      </c>
      <c r="E23" s="83" t="s">
        <v>536</v>
      </c>
      <c r="F23" s="282">
        <f>C23*A25</f>
        <v>1</v>
      </c>
      <c r="G23" s="240">
        <v>25.79</v>
      </c>
      <c r="H23" s="284">
        <f t="shared" ref="H23" si="1">ROUND(F23*G23,2)</f>
        <v>25.79</v>
      </c>
      <c r="J23" s="285">
        <v>29.9</v>
      </c>
      <c r="K23" s="39">
        <f>ROUND(IF(Dados!$I$63="SIM",J23*Dados!$N$63,J23),2)</f>
        <v>29.9</v>
      </c>
      <c r="L23" s="39">
        <f>ROUND(IF(Dados!$I$64="SIM",K23*Dados!$N$64,K23),2)</f>
        <v>29.9</v>
      </c>
      <c r="M23" s="39">
        <f>ROUND(IF(Dados!$I$65="SIM",L23*Dados!$N$65,L23),2)</f>
        <v>29.9</v>
      </c>
      <c r="N23" s="39">
        <f>ROUND(IF(Dados!$I$66="SIM",M23*Dados!$N$66,M23),2)</f>
        <v>29.9</v>
      </c>
      <c r="O23" s="39">
        <f>ROUND(IF(Dados!$I$67="SIM",N23*Dados!$N$67,N23),2)</f>
        <v>29.9</v>
      </c>
    </row>
    <row r="24" spans="1:15" s="119" customFormat="1" ht="25.5" x14ac:dyDescent="0.25">
      <c r="A24" s="544" t="s">
        <v>365</v>
      </c>
      <c r="B24" s="39"/>
      <c r="C24" s="281"/>
      <c r="D24" s="435"/>
      <c r="E24" s="83"/>
      <c r="F24" s="282"/>
      <c r="G24" s="240"/>
      <c r="H24" s="284"/>
      <c r="J24" s="285">
        <v>25.8</v>
      </c>
      <c r="K24" s="39">
        <f>ROUND(IF(Dados!$I$63="SIM",J24*Dados!$N$63,J24),2)</f>
        <v>25.8</v>
      </c>
      <c r="L24" s="39">
        <f>ROUND(IF(Dados!$I$64="SIM",K24*Dados!$N$64,K24),2)</f>
        <v>25.8</v>
      </c>
      <c r="M24" s="39">
        <f>ROUND(IF(Dados!$I$65="SIM",L24*Dados!$N$65,L24),2)</f>
        <v>25.8</v>
      </c>
      <c r="N24" s="39">
        <f>ROUND(IF(Dados!$I$66="SIM",M24*Dados!$N$66,M24),2)</f>
        <v>25.8</v>
      </c>
      <c r="O24" s="39">
        <f>ROUND(IF(Dados!$I$67="SIM",N24*Dados!$N$67,N24),2)</f>
        <v>25.8</v>
      </c>
    </row>
    <row r="25" spans="1:15" s="119" customFormat="1" ht="36" customHeight="1" thickBot="1" x14ac:dyDescent="0.3">
      <c r="A25" s="551">
        <f>Dados!B10</f>
        <v>1</v>
      </c>
      <c r="B25" s="709" t="s">
        <v>368</v>
      </c>
      <c r="C25" s="710"/>
      <c r="D25" s="710"/>
      <c r="E25" s="710"/>
      <c r="F25" s="710"/>
      <c r="G25" s="711"/>
      <c r="H25" s="298">
        <f>SUM(H23:H24)</f>
        <v>25.79</v>
      </c>
      <c r="J25" s="3"/>
      <c r="K25" s="3"/>
      <c r="L25" s="3"/>
      <c r="M25" s="3"/>
      <c r="N25" s="3"/>
      <c r="O25" s="3"/>
    </row>
    <row r="26" spans="1:15" s="119" customFormat="1" ht="16.5" thickBot="1" x14ac:dyDescent="0.3">
      <c r="A26" s="708" t="s">
        <v>548</v>
      </c>
      <c r="B26" s="708"/>
      <c r="C26" s="708"/>
      <c r="D26" s="708"/>
      <c r="E26" s="708"/>
      <c r="F26" s="708"/>
      <c r="G26" s="288"/>
      <c r="H26" s="289">
        <f>ROUND(H25/A25/12,2)</f>
        <v>2.15</v>
      </c>
      <c r="J26" s="3"/>
      <c r="K26" s="3"/>
      <c r="L26" s="3"/>
      <c r="M26" s="3"/>
      <c r="N26" s="3"/>
      <c r="O26" s="3"/>
    </row>
    <row r="27" spans="1:15" s="119" customFormat="1" ht="15.75" x14ac:dyDescent="0.25">
      <c r="A27" s="232"/>
      <c r="B27" s="299"/>
      <c r="C27" s="300"/>
      <c r="D27" s="299"/>
      <c r="E27" s="299"/>
      <c r="F27" s="300"/>
      <c r="G27" s="301"/>
      <c r="H27" s="302"/>
      <c r="J27" s="3"/>
      <c r="K27" s="3"/>
      <c r="L27" s="3"/>
      <c r="M27" s="3"/>
      <c r="N27" s="3"/>
      <c r="O27" s="3"/>
    </row>
    <row r="28" spans="1:15" s="119" customFormat="1" ht="63.75" x14ac:dyDescent="0.25">
      <c r="A28" s="275" t="s">
        <v>357</v>
      </c>
      <c r="B28" s="276" t="s">
        <v>226</v>
      </c>
      <c r="C28" s="277" t="s">
        <v>358</v>
      </c>
      <c r="D28" s="275" t="s">
        <v>359</v>
      </c>
      <c r="E28" s="278" t="s">
        <v>360</v>
      </c>
      <c r="F28" s="567" t="s">
        <v>361</v>
      </c>
      <c r="G28" s="303" t="s">
        <v>348</v>
      </c>
      <c r="H28" s="280" t="s">
        <v>168</v>
      </c>
      <c r="J28" s="295" t="s">
        <v>346</v>
      </c>
      <c r="K28" s="296" t="s">
        <v>248</v>
      </c>
      <c r="L28" s="296" t="s">
        <v>249</v>
      </c>
      <c r="M28" s="296" t="s">
        <v>250</v>
      </c>
      <c r="N28" s="296" t="s">
        <v>251</v>
      </c>
      <c r="O28" s="296" t="s">
        <v>252</v>
      </c>
    </row>
    <row r="29" spans="1:15" s="119" customFormat="1" ht="51" x14ac:dyDescent="0.25">
      <c r="A29" s="713" t="s">
        <v>730</v>
      </c>
      <c r="B29" s="39" t="s">
        <v>363</v>
      </c>
      <c r="C29" s="281">
        <v>2</v>
      </c>
      <c r="D29" s="435" t="s">
        <v>725</v>
      </c>
      <c r="E29" s="83" t="s">
        <v>372</v>
      </c>
      <c r="F29" s="282">
        <f>C29*$A$33</f>
        <v>2</v>
      </c>
      <c r="G29" s="243">
        <v>74.73</v>
      </c>
      <c r="H29" s="284">
        <f>ROUND(F29*G29,2)</f>
        <v>149.46</v>
      </c>
      <c r="J29" s="285">
        <v>39.9</v>
      </c>
      <c r="K29" s="39">
        <f>ROUND(IF(Dados!$I$63="SIM",J29*Dados!$N$63,J29),2)</f>
        <v>39.9</v>
      </c>
      <c r="L29" s="39">
        <f>ROUND(IF(Dados!$I$64="SIM",K29*Dados!$N$64,K29),2)</f>
        <v>39.9</v>
      </c>
      <c r="M29" s="39">
        <f>ROUND(IF(Dados!$I$65="SIM",L29*Dados!$N$65,L29),2)</f>
        <v>39.9</v>
      </c>
      <c r="N29" s="39">
        <f>ROUND(IF(Dados!$I$66="SIM",M29*Dados!$N$66,M29),2)</f>
        <v>39.9</v>
      </c>
      <c r="O29" s="39">
        <f>ROUND(IF(Dados!$I$67="SIM",N29*Dados!$N$67,N29),2)</f>
        <v>39.9</v>
      </c>
    </row>
    <row r="30" spans="1:15" s="119" customFormat="1" ht="38.25" x14ac:dyDescent="0.25">
      <c r="A30" s="714"/>
      <c r="B30" s="39" t="s">
        <v>364</v>
      </c>
      <c r="C30" s="281">
        <v>3</v>
      </c>
      <c r="D30" s="435" t="s">
        <v>721</v>
      </c>
      <c r="E30" s="83" t="s">
        <v>536</v>
      </c>
      <c r="F30" s="282">
        <f>C30*$A$33</f>
        <v>3</v>
      </c>
      <c r="G30" s="243">
        <v>60.93</v>
      </c>
      <c r="H30" s="284">
        <f>ROUND(F30*G30,2)</f>
        <v>182.79</v>
      </c>
      <c r="J30" s="285">
        <v>19.989999999999998</v>
      </c>
      <c r="K30" s="39">
        <f>ROUND(IF(Dados!$I$63="SIM",J30*Dados!$N$63,J30),2)</f>
        <v>19.989999999999998</v>
      </c>
      <c r="L30" s="39">
        <f>ROUND(IF(Dados!$I$64="SIM",K30*Dados!$N$64,K30),2)</f>
        <v>19.989999999999998</v>
      </c>
      <c r="M30" s="39">
        <f>ROUND(IF(Dados!$I$65="SIM",L30*Dados!$N$65,L30),2)</f>
        <v>19.989999999999998</v>
      </c>
      <c r="N30" s="39">
        <f>ROUND(IF(Dados!$I$66="SIM",M30*Dados!$N$66,M30),2)</f>
        <v>19.989999999999998</v>
      </c>
      <c r="O30" s="39">
        <f>ROUND(IF(Dados!$I$67="SIM",N30*Dados!$N$67,N30),2)</f>
        <v>19.989999999999998</v>
      </c>
    </row>
    <row r="31" spans="1:15" s="119" customFormat="1" ht="38.25" x14ac:dyDescent="0.25">
      <c r="A31" s="715"/>
      <c r="B31" s="39" t="s">
        <v>366</v>
      </c>
      <c r="C31" s="281">
        <v>1</v>
      </c>
      <c r="D31" s="435" t="s">
        <v>724</v>
      </c>
      <c r="E31" s="83" t="s">
        <v>367</v>
      </c>
      <c r="F31" s="281">
        <f>C31*$A$33</f>
        <v>1</v>
      </c>
      <c r="G31" s="243">
        <v>72.13</v>
      </c>
      <c r="H31" s="284">
        <f>ROUND(F31*G31,2)</f>
        <v>72.13</v>
      </c>
      <c r="J31" s="285"/>
      <c r="K31" s="39"/>
      <c r="L31" s="39"/>
      <c r="M31" s="39"/>
      <c r="N31" s="39"/>
      <c r="O31" s="39"/>
    </row>
    <row r="32" spans="1:15" s="119" customFormat="1" ht="55.9" customHeight="1" x14ac:dyDescent="0.25">
      <c r="A32" s="432" t="s">
        <v>365</v>
      </c>
      <c r="B32" s="39" t="s">
        <v>530</v>
      </c>
      <c r="C32" s="281">
        <v>2</v>
      </c>
      <c r="D32" s="435" t="s">
        <v>719</v>
      </c>
      <c r="E32" s="83" t="s">
        <v>536</v>
      </c>
      <c r="F32" s="281">
        <f>C32*$A$33</f>
        <v>2</v>
      </c>
      <c r="G32" s="243">
        <v>57.11</v>
      </c>
      <c r="H32" s="284">
        <f>ROUND(F32*G32,2)</f>
        <v>114.22</v>
      </c>
      <c r="J32" s="285"/>
      <c r="K32" s="39"/>
      <c r="L32" s="39"/>
      <c r="M32" s="39"/>
      <c r="N32" s="39"/>
      <c r="O32" s="39"/>
    </row>
    <row r="33" spans="1:16" s="119" customFormat="1" ht="76.5" x14ac:dyDescent="0.25">
      <c r="A33" s="297">
        <f>Dados!B11</f>
        <v>1</v>
      </c>
      <c r="B33" s="39" t="s">
        <v>370</v>
      </c>
      <c r="C33" s="281">
        <v>1</v>
      </c>
      <c r="D33" s="435" t="s">
        <v>723</v>
      </c>
      <c r="E33" s="39" t="s">
        <v>367</v>
      </c>
      <c r="F33" s="282">
        <f>C33*$A$33</f>
        <v>1</v>
      </c>
      <c r="G33" s="243">
        <v>25.76</v>
      </c>
      <c r="H33" s="284">
        <f>ROUND(F33*G33,2)</f>
        <v>25.76</v>
      </c>
      <c r="J33" s="285">
        <v>39.9</v>
      </c>
      <c r="K33" s="39">
        <f>ROUND(IF(Dados!$I$63="SIM",J33*Dados!$N$63,J33),2)</f>
        <v>39.9</v>
      </c>
      <c r="L33" s="39">
        <f>ROUND(IF(Dados!$I$64="SIM",K33*Dados!$N$64,K33),2)</f>
        <v>39.9</v>
      </c>
      <c r="M33" s="39">
        <f>ROUND(IF(Dados!$I$65="SIM",L33*Dados!$N$65,L33),2)</f>
        <v>39.9</v>
      </c>
      <c r="N33" s="39">
        <f>ROUND(IF(Dados!$I$66="SIM",M33*Dados!$N$66,M33),2)</f>
        <v>39.9</v>
      </c>
      <c r="O33" s="39">
        <f>ROUND(IF(Dados!$I$67="SIM",N33*Dados!$N$67,N33),2)</f>
        <v>39.9</v>
      </c>
    </row>
    <row r="34" spans="1:16" s="119" customFormat="1" ht="36" customHeight="1" thickBot="1" x14ac:dyDescent="0.3">
      <c r="A34" s="712" t="s">
        <v>368</v>
      </c>
      <c r="B34" s="712"/>
      <c r="C34" s="712"/>
      <c r="D34" s="712"/>
      <c r="E34" s="712"/>
      <c r="F34" s="712"/>
      <c r="G34" s="712"/>
      <c r="H34" s="304">
        <f>SUM(H29:H33)</f>
        <v>544.36</v>
      </c>
      <c r="J34" s="3"/>
      <c r="K34" s="3"/>
      <c r="L34" s="3"/>
      <c r="M34" s="3"/>
      <c r="N34" s="3"/>
      <c r="O34" s="3"/>
    </row>
    <row r="35" spans="1:16" s="119" customFormat="1" ht="15.75" x14ac:dyDescent="0.25">
      <c r="A35" s="708" t="s">
        <v>373</v>
      </c>
      <c r="B35" s="708"/>
      <c r="C35" s="708"/>
      <c r="D35" s="708"/>
      <c r="E35" s="708"/>
      <c r="F35" s="708"/>
      <c r="G35" s="288"/>
      <c r="H35" s="289">
        <f>ROUND(H34/A33/12,2)</f>
        <v>45.36</v>
      </c>
      <c r="J35" s="3"/>
      <c r="K35" s="3"/>
      <c r="L35" s="3"/>
      <c r="M35" s="3"/>
      <c r="N35" s="3"/>
      <c r="O35" s="3"/>
    </row>
    <row r="36" spans="1:16" s="119" customFormat="1" ht="15.75" x14ac:dyDescent="0.25">
      <c r="A36" s="305"/>
      <c r="B36" s="306"/>
      <c r="C36" s="307"/>
      <c r="D36" s="306"/>
      <c r="E36" s="306"/>
      <c r="F36" s="307"/>
      <c r="G36" s="308"/>
      <c r="H36" s="309"/>
      <c r="J36" s="3"/>
      <c r="K36" s="3"/>
      <c r="L36" s="3"/>
      <c r="M36" s="3"/>
      <c r="N36" s="3"/>
      <c r="O36" s="3"/>
    </row>
    <row r="37" spans="1:16" ht="63.75" x14ac:dyDescent="0.25">
      <c r="A37" s="275" t="s">
        <v>357</v>
      </c>
      <c r="B37" s="276" t="s">
        <v>226</v>
      </c>
      <c r="C37" s="277" t="s">
        <v>358</v>
      </c>
      <c r="D37" s="275" t="s">
        <v>359</v>
      </c>
      <c r="E37" s="278" t="s">
        <v>360</v>
      </c>
      <c r="F37" s="567" t="s">
        <v>361</v>
      </c>
      <c r="G37" s="303" t="s">
        <v>348</v>
      </c>
      <c r="H37" s="280" t="s">
        <v>168</v>
      </c>
      <c r="J37" s="295" t="s">
        <v>346</v>
      </c>
      <c r="K37" s="296" t="s">
        <v>248</v>
      </c>
      <c r="L37" s="296" t="s">
        <v>249</v>
      </c>
      <c r="M37" s="296" t="s">
        <v>250</v>
      </c>
      <c r="N37" s="296" t="s">
        <v>251</v>
      </c>
      <c r="O37" s="296" t="s">
        <v>252</v>
      </c>
    </row>
    <row r="38" spans="1:16" ht="268.5" x14ac:dyDescent="0.25">
      <c r="A38" s="286" t="s">
        <v>544</v>
      </c>
      <c r="B38" s="39" t="s">
        <v>363</v>
      </c>
      <c r="C38" s="281">
        <v>2</v>
      </c>
      <c r="D38" s="434" t="s">
        <v>726</v>
      </c>
      <c r="E38" s="83" t="s">
        <v>372</v>
      </c>
      <c r="F38" s="282">
        <f>C38*$A$40</f>
        <v>28</v>
      </c>
      <c r="G38" s="243">
        <v>100.44</v>
      </c>
      <c r="H38" s="284">
        <f>ROUND(F38*G38,2)</f>
        <v>2812.32</v>
      </c>
      <c r="J38" s="285">
        <v>39.9</v>
      </c>
      <c r="K38" s="39">
        <f>ROUND(IF(Dados!$I$63="SIM",J38*Dados!$N$63,J38),2)</f>
        <v>39.9</v>
      </c>
      <c r="L38" s="39">
        <f>ROUND(IF(Dados!$I$64="SIM",K38*Dados!$N$64,K38),2)</f>
        <v>39.9</v>
      </c>
      <c r="M38" s="39">
        <f>ROUND(IF(Dados!$I$65="SIM",L38*Dados!$N$65,L38),2)</f>
        <v>39.9</v>
      </c>
      <c r="N38" s="39">
        <f>ROUND(IF(Dados!$I$66="SIM",M38*Dados!$N$66,M38),2)</f>
        <v>39.9</v>
      </c>
      <c r="O38" s="39">
        <f>ROUND(IF(Dados!$I$67="SIM",N38*Dados!$N$67,N38),2)</f>
        <v>39.9</v>
      </c>
    </row>
    <row r="39" spans="1:16" ht="267.75" x14ac:dyDescent="0.25">
      <c r="A39" s="286" t="s">
        <v>365</v>
      </c>
      <c r="B39" s="39" t="s">
        <v>364</v>
      </c>
      <c r="C39" s="281">
        <v>3</v>
      </c>
      <c r="D39" s="438" t="s">
        <v>718</v>
      </c>
      <c r="E39" s="83" t="s">
        <v>543</v>
      </c>
      <c r="F39" s="282">
        <f>C39*$A$40</f>
        <v>42</v>
      </c>
      <c r="G39" s="243">
        <v>103.32</v>
      </c>
      <c r="H39" s="284">
        <f>ROUND(F39*G39,2)</f>
        <v>4339.4399999999996</v>
      </c>
      <c r="J39" s="285">
        <v>19.989999999999998</v>
      </c>
      <c r="K39" s="39">
        <f>ROUND(IF(Dados!$I$63="SIM",J39*Dados!$N$63,J39),2)</f>
        <v>19.989999999999998</v>
      </c>
      <c r="L39" s="39">
        <f>ROUND(IF(Dados!$I$64="SIM",K39*Dados!$N$64,K39),2)</f>
        <v>19.989999999999998</v>
      </c>
      <c r="M39" s="39">
        <f>ROUND(IF(Dados!$I$65="SIM",L39*Dados!$N$65,L39),2)</f>
        <v>19.989999999999998</v>
      </c>
      <c r="N39" s="39">
        <f>ROUND(IF(Dados!$I$66="SIM",M39*Dados!$N$66,M39),2)</f>
        <v>19.989999999999998</v>
      </c>
      <c r="O39" s="39">
        <f>ROUND(IF(Dados!$I$67="SIM",N39*Dados!$N$67,N39),2)</f>
        <v>19.989999999999998</v>
      </c>
    </row>
    <row r="40" spans="1:16" ht="114.75" x14ac:dyDescent="0.25">
      <c r="A40" s="297">
        <f>Dados!B12+Dados!B13</f>
        <v>14</v>
      </c>
      <c r="B40" s="39" t="s">
        <v>366</v>
      </c>
      <c r="C40" s="281">
        <v>1</v>
      </c>
      <c r="D40" s="439" t="s">
        <v>717</v>
      </c>
      <c r="E40" s="83" t="s">
        <v>371</v>
      </c>
      <c r="F40" s="282">
        <f>C40*$A$40</f>
        <v>14</v>
      </c>
      <c r="G40" s="243">
        <v>81.349999999999994</v>
      </c>
      <c r="H40" s="284">
        <f>ROUND(F40*G40,2)</f>
        <v>1138.9000000000001</v>
      </c>
      <c r="J40" s="285">
        <v>35.5</v>
      </c>
      <c r="K40" s="39">
        <f>ROUND(IF(Dados!$I$63="SIM",J40*Dados!$N$63,J40),2)</f>
        <v>35.5</v>
      </c>
      <c r="L40" s="39">
        <f>ROUND(IF(Dados!$I$64="SIM",K40*Dados!$N$64,K40),2)</f>
        <v>35.5</v>
      </c>
      <c r="M40" s="39">
        <f>ROUND(IF(Dados!$I$65="SIM",L40*Dados!$N$65,L40),2)</f>
        <v>35.5</v>
      </c>
      <c r="N40" s="39">
        <f>ROUND(IF(Dados!$I$66="SIM",M40*Dados!$N$66,M40),2)</f>
        <v>35.5</v>
      </c>
      <c r="O40" s="39">
        <f>ROUND(IF(Dados!$I$67="SIM",N40*Dados!$N$67,N40),2)</f>
        <v>35.5</v>
      </c>
    </row>
    <row r="41" spans="1:16" x14ac:dyDescent="0.25">
      <c r="A41" s="700" t="s">
        <v>368</v>
      </c>
      <c r="B41" s="700"/>
      <c r="C41" s="700"/>
      <c r="D41" s="700"/>
      <c r="E41" s="700"/>
      <c r="F41" s="700"/>
      <c r="G41" s="700"/>
      <c r="H41" s="310">
        <f>SUM(H38:H40)</f>
        <v>8290.66</v>
      </c>
      <c r="N41" s="3"/>
      <c r="O41" s="3"/>
      <c r="P41" s="119"/>
    </row>
    <row r="42" spans="1:16" ht="15.75" x14ac:dyDescent="0.25">
      <c r="A42" s="708" t="s">
        <v>545</v>
      </c>
      <c r="B42" s="708"/>
      <c r="C42" s="708"/>
      <c r="D42" s="708"/>
      <c r="E42" s="708"/>
      <c r="F42" s="708"/>
      <c r="G42" s="288"/>
      <c r="H42" s="289">
        <f>ROUND(H41/A40/12,2)</f>
        <v>49.35</v>
      </c>
    </row>
  </sheetData>
  <sheetProtection algorithmName="SHA-512" hashValue="TV+4HYdUVIhPhNI28SkmzqdDbZoO8AC+N06unjd39N+lFO2KPNziHqWHYKGAPP0Y0oKsNRTenmhWrhuCsfjW7g==" saltValue="VJjTsORCKQOadP04kXHu/Q==" spinCount="100000" sheet="1" objects="1" scenarios="1"/>
  <mergeCells count="22">
    <mergeCell ref="A42:F42"/>
    <mergeCell ref="A20:F20"/>
    <mergeCell ref="A34:G34"/>
    <mergeCell ref="A35:F35"/>
    <mergeCell ref="A13:F13"/>
    <mergeCell ref="A29:A31"/>
    <mergeCell ref="B19:G19"/>
    <mergeCell ref="B12:G12"/>
    <mergeCell ref="A41:G41"/>
    <mergeCell ref="J1:O4"/>
    <mergeCell ref="A4:H4"/>
    <mergeCell ref="A5:H5"/>
    <mergeCell ref="J5:J8"/>
    <mergeCell ref="K5:K8"/>
    <mergeCell ref="L5:L8"/>
    <mergeCell ref="M5:M8"/>
    <mergeCell ref="N5:N8"/>
    <mergeCell ref="O5:O8"/>
    <mergeCell ref="A6:H6"/>
    <mergeCell ref="A10:A11"/>
    <mergeCell ref="A26:F26"/>
    <mergeCell ref="B25:G25"/>
  </mergeCells>
  <printOptions horizontalCentered="1" verticalCentered="1"/>
  <pageMargins left="0.51180555555555596" right="0.51180555555555596" top="0.78749999999999998" bottom="0.78749999999999998" header="0.511811023622047" footer="0.511811023622047"/>
  <pageSetup paperSize="9" scale="5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134</TotalTime>
  <Application>Microsoft Excel</Application>
  <DocSecurity>0</DocSecurity>
  <ScaleCrop>false</ScaleCrop>
  <HeadingPairs>
    <vt:vector size="4" baseType="variant">
      <vt:variant>
        <vt:lpstr>Planilhas</vt:lpstr>
      </vt:variant>
      <vt:variant>
        <vt:i4>18</vt:i4>
      </vt:variant>
      <vt:variant>
        <vt:lpstr>Intervalos Nomeados</vt:lpstr>
      </vt:variant>
      <vt:variant>
        <vt:i4>23</vt:i4>
      </vt:variant>
    </vt:vector>
  </HeadingPairs>
  <TitlesOfParts>
    <vt:vector size="41" baseType="lpstr">
      <vt:lpstr>Ocorrências Mensais - FAT</vt:lpstr>
      <vt:lpstr>INSTRUÇÕES</vt:lpstr>
      <vt:lpstr>Dados</vt:lpstr>
      <vt:lpstr>Encargos</vt:lpstr>
      <vt:lpstr>Resumo</vt:lpstr>
      <vt:lpstr>Materiais</vt:lpstr>
      <vt:lpstr>EPI</vt:lpstr>
      <vt:lpstr>Equipamentos</vt:lpstr>
      <vt:lpstr>Uniformes</vt:lpstr>
      <vt:lpstr>Servente Insalubridade</vt:lpstr>
      <vt:lpstr>Servente</vt:lpstr>
      <vt:lpstr>Servente acúm. Jardineiro</vt:lpstr>
      <vt:lpstr>Servente acúm. Copeira</vt:lpstr>
      <vt:lpstr>Zelador acúm. Lavador Carros</vt:lpstr>
      <vt:lpstr>Encarregado</vt:lpstr>
      <vt:lpstr>Auxiliar Adm</vt:lpstr>
      <vt:lpstr>Custo Estimado Substituto</vt:lpstr>
      <vt:lpstr>IPCA</vt:lpstr>
      <vt:lpstr>'Auxiliar Adm'!Area_de_impressao</vt:lpstr>
      <vt:lpstr>Dados!Area_de_impressao</vt:lpstr>
      <vt:lpstr>Encargos!Area_de_impressao</vt:lpstr>
      <vt:lpstr>Encarregado!Area_de_impressao</vt:lpstr>
      <vt:lpstr>EPI!Area_de_impressao</vt:lpstr>
      <vt:lpstr>Materiais!Area_de_impressao</vt:lpstr>
      <vt:lpstr>Servente!Area_de_impressao</vt:lpstr>
      <vt:lpstr>'Servente acúm. Copeira'!Area_de_impressao</vt:lpstr>
      <vt:lpstr>'Servente acúm. Jardineiro'!Area_de_impressao</vt:lpstr>
      <vt:lpstr>'Servente Insalubridade'!Area_de_impressao</vt:lpstr>
      <vt:lpstr>Uniformes!Area_de_impressao</vt:lpstr>
      <vt:lpstr>'Zelador acúm. Lavador Carros'!Area_de_impressao</vt:lpstr>
      <vt:lpstr>'Auxiliar Adm'!Print_Area_0</vt:lpstr>
      <vt:lpstr>Dados!Print_Area_0</vt:lpstr>
      <vt:lpstr>Encargos!Print_Area_0</vt:lpstr>
      <vt:lpstr>Encarregado!Print_Area_0</vt:lpstr>
      <vt:lpstr>Materiais!Print_Area_0</vt:lpstr>
      <vt:lpstr>Servente!Print_Area_0</vt:lpstr>
      <vt:lpstr>'Servente acúm. Copeira'!Print_Area_0</vt:lpstr>
      <vt:lpstr>'Servente acúm. Jardineiro'!Print_Area_0</vt:lpstr>
      <vt:lpstr>'Servente Insalubridade'!Print_Area_0</vt:lpstr>
      <vt:lpstr>Uniformes!Print_Area_0</vt:lpstr>
      <vt:lpstr>'Zelador acúm. Lavador Carros'!Print_Area_0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Lucas Gouveia dos Santos</dc:creator>
  <cp:lastModifiedBy>Bethania Pains Nogueira</cp:lastModifiedBy>
  <cp:revision>13</cp:revision>
  <dcterms:created xsi:type="dcterms:W3CDTF">2015-06-05T18:17:20Z</dcterms:created>
  <dcterms:modified xsi:type="dcterms:W3CDTF">2024-12-04T20:09:01Z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ProgId">
    <vt:lpwstr>Excel.Sheet</vt:lpwstr>
  </property>
  <property fmtid="{D5CDD505-2E9C-101B-9397-08002B2CF9AE}" pid="5" name="ScaleCrop">
    <vt:bool>false</vt:bool>
  </property>
  <property fmtid="{D5CDD505-2E9C-101B-9397-08002B2CF9AE}" pid="6" name="ShareDoc">
    <vt:bool>false</vt:bool>
  </property>
</Properties>
</file>