
<file path=[Content_Types].xml><?xml version="1.0" encoding="utf-8"?>
<Types xmlns="http://schemas.openxmlformats.org/package/2006/content-types">
  <Override PartName="/xl/worksheets/sheet15.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3256" windowHeight="14616" tabRatio="894" firstSheet="1" activeTab="1"/>
  </bookViews>
  <sheets>
    <sheet name="Ocorrências Mensais - FAT" sheetId="1" state="hidden" r:id="rId1"/>
    <sheet name="INSTRUÇÕES" sheetId="2" r:id="rId2"/>
    <sheet name="Dados" sheetId="3" r:id="rId3"/>
    <sheet name="Encargos" sheetId="4" r:id="rId4"/>
    <sheet name="Materiais" sheetId="5" r:id="rId5"/>
    <sheet name="EPI" sheetId="6" r:id="rId6"/>
    <sheet name="Equip" sheetId="7" state="hidden" r:id="rId7"/>
    <sheet name="Uniforme" sheetId="8" r:id="rId8"/>
    <sheet name="Servente Insalubre" sheetId="9" r:id="rId9"/>
    <sheet name="Servente acúmulo função Copeira" sheetId="10" r:id="rId10"/>
    <sheet name="Auxiliar Administrativo" sheetId="11" r:id="rId11"/>
    <sheet name="Custo Estimado Substituto" sheetId="12" r:id="rId12"/>
    <sheet name="Resumo" sheetId="13" r:id="rId13"/>
    <sheet name="Estimativa_ADM" sheetId="14" state="hidden" r:id="rId14"/>
    <sheet name="IPCA" sheetId="15" state="hidden" r:id="rId15"/>
  </sheets>
  <definedNames>
    <definedName name="_xlnm.Print_Area" localSheetId="10">'Auxiliar Administrativo'!$A$1:$J$46</definedName>
    <definedName name="_xlnm.Print_Area" localSheetId="2">Dados!$A$1:$S$54</definedName>
    <definedName name="_xlnm.Print_Area" localSheetId="3">Encargos!$A$1:$H$59</definedName>
    <definedName name="_xlnm.Print_Area" localSheetId="4">Materiais!$A$1:$L$45</definedName>
    <definedName name="_xlnm.Print_Area" localSheetId="9">'Servente acúmulo função Copeira'!$A$1:$J$46</definedName>
    <definedName name="_xlnm.Print_Area" localSheetId="8">'Servente Insalubre'!$A$1:$J$46</definedName>
    <definedName name="_xlnm.Print_Area" localSheetId="7">Uniforme!$A$1:$H$29</definedName>
    <definedName name="BS">NA()</definedName>
    <definedName name="BT">NA()</definedName>
    <definedName name="CIDADE">NA()</definedName>
    <definedName name="CIDADES">NA()</definedName>
    <definedName name="CPMF">NA()</definedName>
    <definedName name="d">NA()</definedName>
    <definedName name="ENCARGOS">NA()</definedName>
    <definedName name="Excel_BuiltIn_Print_Area_1_1">"$#REF!.$A$2:$C$99"</definedName>
    <definedName name="Excel_BuiltIn_Print_Area_6_1">NA()</definedName>
    <definedName name="Excel_BuiltIn_Print_Area_7_1">NA()</definedName>
    <definedName name="Excel_BuiltIn_Print_Area_8_1">NA()</definedName>
    <definedName name="Excel_BuiltIn_Print_Area_9_1">NA()</definedName>
    <definedName name="ISS">NA()</definedName>
    <definedName name="Jornada">NA()</definedName>
    <definedName name="Print_Area_0" localSheetId="10">'Auxiliar Administrativo'!$A$1:$J$46</definedName>
    <definedName name="Print_Area_0" localSheetId="2">Dados!$A$1:$S$54</definedName>
    <definedName name="Print_Area_0" localSheetId="3">Encargos!$A$1:$H$59</definedName>
    <definedName name="Print_Area_0" localSheetId="4">Materiais!$A$1:$L$45</definedName>
    <definedName name="Print_Area_0" localSheetId="9">'Servente acúmulo função Copeira'!$A$1:$J$46</definedName>
    <definedName name="Print_Area_0" localSheetId="8">'Servente Insalubre'!$A$1:$J$46</definedName>
    <definedName name="Print_Area_0" localSheetId="7">Uniforme!$A$1:$H$29</definedName>
    <definedName name="TERRIT">NA()</definedName>
    <definedName name="Tipo_de_Joranda_de_Trabalho">NA()</definedName>
    <definedName name="TP_SERV">NA()</definedName>
    <definedName name="TP_SERVPERC">NA()</definedName>
    <definedName name="VRSELEC">NA()</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4" i="4"/>
  <c r="I25" i="8" l="1"/>
  <c r="I26"/>
  <c r="I27"/>
  <c r="I24"/>
  <c r="I19"/>
  <c r="I18"/>
  <c r="I10"/>
  <c r="I11"/>
  <c r="I12"/>
  <c r="I9"/>
  <c r="G9" i="6"/>
  <c r="H42" i="5"/>
  <c r="H43"/>
  <c r="H41"/>
  <c r="H10"/>
  <c r="H11"/>
  <c r="H12"/>
  <c r="H13"/>
  <c r="H14"/>
  <c r="H15"/>
  <c r="H16"/>
  <c r="H17"/>
  <c r="H18"/>
  <c r="H19"/>
  <c r="H20"/>
  <c r="H21"/>
  <c r="H22"/>
  <c r="H23"/>
  <c r="H24"/>
  <c r="H25"/>
  <c r="H26"/>
  <c r="H27"/>
  <c r="H28"/>
  <c r="H29"/>
  <c r="H30"/>
  <c r="H31"/>
  <c r="H32"/>
  <c r="H33"/>
  <c r="H34"/>
  <c r="H9"/>
  <c r="AG22" i="15" l="1"/>
  <c r="AH22" s="1"/>
  <c r="AE22"/>
  <c r="Z22"/>
  <c r="AA22" s="1"/>
  <c r="X22"/>
  <c r="S22"/>
  <c r="T22" s="1"/>
  <c r="Q22"/>
  <c r="L22"/>
  <c r="M22" s="1"/>
  <c r="J22"/>
  <c r="I22"/>
  <c r="P22" s="1"/>
  <c r="W22" s="1"/>
  <c r="AD22" s="1"/>
  <c r="F22"/>
  <c r="AH21"/>
  <c r="AE21"/>
  <c r="AA21"/>
  <c r="X21"/>
  <c r="T21"/>
  <c r="Q21"/>
  <c r="M21"/>
  <c r="J21"/>
  <c r="I21"/>
  <c r="P21" s="1"/>
  <c r="W21" s="1"/>
  <c r="AD21" s="1"/>
  <c r="F21"/>
  <c r="AH20"/>
  <c r="AE20"/>
  <c r="AA20"/>
  <c r="X20"/>
  <c r="T20"/>
  <c r="Q20"/>
  <c r="M20"/>
  <c r="J20"/>
  <c r="I20"/>
  <c r="P20" s="1"/>
  <c r="W20" s="1"/>
  <c r="AD20" s="1"/>
  <c r="F20"/>
  <c r="AH19"/>
  <c r="AE19"/>
  <c r="AA19"/>
  <c r="X19"/>
  <c r="T19"/>
  <c r="Q19"/>
  <c r="M19"/>
  <c r="J19"/>
  <c r="I19"/>
  <c r="P19" s="1"/>
  <c r="W19" s="1"/>
  <c r="AD19" s="1"/>
  <c r="F19"/>
  <c r="AH18"/>
  <c r="AE18"/>
  <c r="AA18"/>
  <c r="X18"/>
  <c r="T18"/>
  <c r="Q18"/>
  <c r="M18"/>
  <c r="J18"/>
  <c r="I18"/>
  <c r="P18" s="1"/>
  <c r="W18" s="1"/>
  <c r="AD18" s="1"/>
  <c r="F18"/>
  <c r="AH17"/>
  <c r="AE17"/>
  <c r="AA17"/>
  <c r="X17"/>
  <c r="T17"/>
  <c r="Q17"/>
  <c r="M17"/>
  <c r="J17"/>
  <c r="I17"/>
  <c r="P17" s="1"/>
  <c r="W17" s="1"/>
  <c r="AD17" s="1"/>
  <c r="F17"/>
  <c r="AH16"/>
  <c r="AE16"/>
  <c r="AA16"/>
  <c r="X16"/>
  <c r="T16"/>
  <c r="Q16"/>
  <c r="M16"/>
  <c r="J16"/>
  <c r="I16"/>
  <c r="P16" s="1"/>
  <c r="W16" s="1"/>
  <c r="AD16" s="1"/>
  <c r="F16"/>
  <c r="AH15"/>
  <c r="AE15"/>
  <c r="AA15"/>
  <c r="X15"/>
  <c r="T15"/>
  <c r="Q15"/>
  <c r="M15"/>
  <c r="J15"/>
  <c r="I15"/>
  <c r="P15" s="1"/>
  <c r="W15" s="1"/>
  <c r="AD15" s="1"/>
  <c r="F15"/>
  <c r="AH14"/>
  <c r="AE14"/>
  <c r="AA14"/>
  <c r="X14"/>
  <c r="T14"/>
  <c r="Q14"/>
  <c r="M14"/>
  <c r="J14"/>
  <c r="I14"/>
  <c r="P14" s="1"/>
  <c r="W14" s="1"/>
  <c r="AD14" s="1"/>
  <c r="F14"/>
  <c r="AH13"/>
  <c r="AE13"/>
  <c r="AA13"/>
  <c r="X13"/>
  <c r="T13"/>
  <c r="Q13"/>
  <c r="M13"/>
  <c r="J13"/>
  <c r="I13"/>
  <c r="P13" s="1"/>
  <c r="W13" s="1"/>
  <c r="AD13" s="1"/>
  <c r="F13"/>
  <c r="AH12"/>
  <c r="AE12"/>
  <c r="AA12"/>
  <c r="X12"/>
  <c r="T12"/>
  <c r="Q12"/>
  <c r="M12"/>
  <c r="J12"/>
  <c r="I12"/>
  <c r="P12" s="1"/>
  <c r="W12" s="1"/>
  <c r="AD12" s="1"/>
  <c r="F12"/>
  <c r="AH11"/>
  <c r="AE11"/>
  <c r="AA11"/>
  <c r="X11"/>
  <c r="T11"/>
  <c r="Q11"/>
  <c r="M11"/>
  <c r="J11"/>
  <c r="I11"/>
  <c r="P11" s="1"/>
  <c r="W11" s="1"/>
  <c r="AD11" s="1"/>
  <c r="F11"/>
  <c r="AG10"/>
  <c r="AH10" s="1"/>
  <c r="AI10" s="1"/>
  <c r="AE10"/>
  <c r="Z10"/>
  <c r="AA10" s="1"/>
  <c r="AB10" s="1"/>
  <c r="AB11" s="1"/>
  <c r="X10"/>
  <c r="S10"/>
  <c r="T10" s="1"/>
  <c r="U10" s="1"/>
  <c r="U11" s="1"/>
  <c r="U12" s="1"/>
  <c r="Q10"/>
  <c r="L10"/>
  <c r="M10" s="1"/>
  <c r="N10" s="1"/>
  <c r="N11" s="1"/>
  <c r="N12" s="1"/>
  <c r="N13" s="1"/>
  <c r="N14" s="1"/>
  <c r="N15" s="1"/>
  <c r="N16" s="1"/>
  <c r="N17" s="1"/>
  <c r="N18" s="1"/>
  <c r="N19" s="1"/>
  <c r="N20" s="1"/>
  <c r="N21" s="1"/>
  <c r="N22" s="1"/>
  <c r="N23" s="1"/>
  <c r="J10"/>
  <c r="I10"/>
  <c r="P10" s="1"/>
  <c r="W10" s="1"/>
  <c r="AD10" s="1"/>
  <c r="F10"/>
  <c r="G10" s="1"/>
  <c r="A8" i="14"/>
  <c r="A7"/>
  <c r="A6"/>
  <c r="B3"/>
  <c r="B2"/>
  <c r="B1"/>
  <c r="Q14" i="13"/>
  <c r="N14"/>
  <c r="D14"/>
  <c r="C14"/>
  <c r="B14"/>
  <c r="A14"/>
  <c r="U13"/>
  <c r="U15" s="1"/>
  <c r="Q13"/>
  <c r="N13"/>
  <c r="D13"/>
  <c r="C13"/>
  <c r="B13"/>
  <c r="Q12"/>
  <c r="N12"/>
  <c r="D12"/>
  <c r="C12"/>
  <c r="B12"/>
  <c r="A12"/>
  <c r="B3"/>
  <c r="A5" s="1"/>
  <c r="B2"/>
  <c r="B1"/>
  <c r="L24" i="12"/>
  <c r="I24"/>
  <c r="B24"/>
  <c r="I23"/>
  <c r="E23"/>
  <c r="B23"/>
  <c r="L19"/>
  <c r="E19"/>
  <c r="L18"/>
  <c r="E18"/>
  <c r="M5"/>
  <c r="G5"/>
  <c r="F5"/>
  <c r="B3"/>
  <c r="B2"/>
  <c r="B1"/>
  <c r="D42" i="11"/>
  <c r="A42"/>
  <c r="A41"/>
  <c r="D35"/>
  <c r="D33"/>
  <c r="J29"/>
  <c r="F25"/>
  <c r="F24"/>
  <c r="E23"/>
  <c r="D23"/>
  <c r="E22"/>
  <c r="D22"/>
  <c r="C22"/>
  <c r="F21"/>
  <c r="G21" s="1"/>
  <c r="F20"/>
  <c r="G20" s="1"/>
  <c r="I14"/>
  <c r="I16" s="1"/>
  <c r="H14"/>
  <c r="H16" s="1"/>
  <c r="E13"/>
  <c r="D13"/>
  <c r="C13"/>
  <c r="E12"/>
  <c r="D12"/>
  <c r="F12" s="1"/>
  <c r="E11"/>
  <c r="D11"/>
  <c r="A7"/>
  <c r="B3"/>
  <c r="B2"/>
  <c r="B1"/>
  <c r="A42" i="10"/>
  <c r="D41"/>
  <c r="A41"/>
  <c r="D35"/>
  <c r="D33"/>
  <c r="J29"/>
  <c r="F28"/>
  <c r="G28" s="1"/>
  <c r="F25"/>
  <c r="E23"/>
  <c r="D23"/>
  <c r="E22"/>
  <c r="D22"/>
  <c r="C22"/>
  <c r="F21"/>
  <c r="G21" s="1"/>
  <c r="F20"/>
  <c r="G20" s="1"/>
  <c r="I14"/>
  <c r="I16" s="1"/>
  <c r="H14"/>
  <c r="H16" s="1"/>
  <c r="D13"/>
  <c r="C13"/>
  <c r="E12"/>
  <c r="D12"/>
  <c r="E11"/>
  <c r="D11"/>
  <c r="A7"/>
  <c r="B3"/>
  <c r="B2"/>
  <c r="B1"/>
  <c r="A42" i="9"/>
  <c r="D41"/>
  <c r="A41"/>
  <c r="D35"/>
  <c r="D33"/>
  <c r="J29"/>
  <c r="F28"/>
  <c r="G28" s="1"/>
  <c r="F25"/>
  <c r="E23"/>
  <c r="D23"/>
  <c r="E22"/>
  <c r="D22"/>
  <c r="C22"/>
  <c r="F21"/>
  <c r="G21" s="1"/>
  <c r="F20"/>
  <c r="G20" s="1"/>
  <c r="I14"/>
  <c r="I16" s="1"/>
  <c r="H14"/>
  <c r="H16" s="1"/>
  <c r="D13"/>
  <c r="C13"/>
  <c r="E12"/>
  <c r="D12"/>
  <c r="E11"/>
  <c r="D11"/>
  <c r="A7"/>
  <c r="B3"/>
  <c r="B2"/>
  <c r="B1"/>
  <c r="H27" i="8"/>
  <c r="A27"/>
  <c r="K26"/>
  <c r="L26" s="1"/>
  <c r="M26" s="1"/>
  <c r="N26" s="1"/>
  <c r="O26" s="1"/>
  <c r="H26"/>
  <c r="H25"/>
  <c r="K24"/>
  <c r="L24" s="1"/>
  <c r="M24" s="1"/>
  <c r="N24" s="1"/>
  <c r="O24" s="1"/>
  <c r="H24"/>
  <c r="A20"/>
  <c r="F18" s="1"/>
  <c r="H18" s="1"/>
  <c r="H19"/>
  <c r="K18"/>
  <c r="L18" s="1"/>
  <c r="M18" s="1"/>
  <c r="N18" s="1"/>
  <c r="O18" s="1"/>
  <c r="A13"/>
  <c r="F12" s="1"/>
  <c r="H12" s="1"/>
  <c r="K12"/>
  <c r="L12" s="1"/>
  <c r="M12" s="1"/>
  <c r="N12" s="1"/>
  <c r="O12" s="1"/>
  <c r="K11"/>
  <c r="L11" s="1"/>
  <c r="M11" s="1"/>
  <c r="N11" s="1"/>
  <c r="O11" s="1"/>
  <c r="K9"/>
  <c r="L9" s="1"/>
  <c r="M9" s="1"/>
  <c r="N9" s="1"/>
  <c r="O9" s="1"/>
  <c r="B3"/>
  <c r="B2"/>
  <c r="B1"/>
  <c r="E10" i="7"/>
  <c r="F10" s="1"/>
  <c r="G10" s="1"/>
  <c r="E9"/>
  <c r="F9" s="1"/>
  <c r="G9" s="1"/>
  <c r="B3"/>
  <c r="B2"/>
  <c r="B1"/>
  <c r="E9" i="6"/>
  <c r="F9" s="1"/>
  <c r="F10" s="1"/>
  <c r="Q8" i="3" s="1"/>
  <c r="F24" i="10" s="1"/>
  <c r="G24" s="1"/>
  <c r="B3" i="6"/>
  <c r="B2"/>
  <c r="B1"/>
  <c r="O43" i="5"/>
  <c r="P43" s="1"/>
  <c r="Q43" s="1"/>
  <c r="R43" s="1"/>
  <c r="S43" s="1"/>
  <c r="L43"/>
  <c r="O42"/>
  <c r="P42" s="1"/>
  <c r="Q42" s="1"/>
  <c r="R42" s="1"/>
  <c r="S42" s="1"/>
  <c r="L42"/>
  <c r="O41"/>
  <c r="P41" s="1"/>
  <c r="Q41" s="1"/>
  <c r="R41" s="1"/>
  <c r="S41" s="1"/>
  <c r="L41"/>
  <c r="O34"/>
  <c r="P34" s="1"/>
  <c r="Q34" s="1"/>
  <c r="R34" s="1"/>
  <c r="S34" s="1"/>
  <c r="L34"/>
  <c r="O33"/>
  <c r="P33" s="1"/>
  <c r="Q33" s="1"/>
  <c r="R33" s="1"/>
  <c r="S33" s="1"/>
  <c r="L33"/>
  <c r="O32"/>
  <c r="P32" s="1"/>
  <c r="Q32" s="1"/>
  <c r="R32" s="1"/>
  <c r="S32" s="1"/>
  <c r="L32"/>
  <c r="O31"/>
  <c r="P31" s="1"/>
  <c r="Q31" s="1"/>
  <c r="R31" s="1"/>
  <c r="S31" s="1"/>
  <c r="L31"/>
  <c r="O30"/>
  <c r="P30" s="1"/>
  <c r="Q30" s="1"/>
  <c r="R30" s="1"/>
  <c r="S30" s="1"/>
  <c r="L30"/>
  <c r="O29"/>
  <c r="P29" s="1"/>
  <c r="Q29" s="1"/>
  <c r="R29" s="1"/>
  <c r="S29" s="1"/>
  <c r="L29"/>
  <c r="O28"/>
  <c r="P28" s="1"/>
  <c r="Q28" s="1"/>
  <c r="R28" s="1"/>
  <c r="S28" s="1"/>
  <c r="L28"/>
  <c r="O27"/>
  <c r="P27" s="1"/>
  <c r="Q27" s="1"/>
  <c r="R27" s="1"/>
  <c r="S27" s="1"/>
  <c r="L27"/>
  <c r="C27"/>
  <c r="E43" i="1" s="1"/>
  <c r="O26" i="5"/>
  <c r="P26" s="1"/>
  <c r="Q26" s="1"/>
  <c r="R26" s="1"/>
  <c r="S26" s="1"/>
  <c r="L26"/>
  <c r="C26"/>
  <c r="O25"/>
  <c r="P25" s="1"/>
  <c r="Q25" s="1"/>
  <c r="R25" s="1"/>
  <c r="S25" s="1"/>
  <c r="L25"/>
  <c r="O24"/>
  <c r="P24" s="1"/>
  <c r="Q24" s="1"/>
  <c r="R24" s="1"/>
  <c r="S24" s="1"/>
  <c r="L24"/>
  <c r="O23"/>
  <c r="P23" s="1"/>
  <c r="Q23" s="1"/>
  <c r="R23" s="1"/>
  <c r="S23" s="1"/>
  <c r="L23"/>
  <c r="O22"/>
  <c r="P22" s="1"/>
  <c r="Q22" s="1"/>
  <c r="R22" s="1"/>
  <c r="S22" s="1"/>
  <c r="L22"/>
  <c r="C22"/>
  <c r="O21"/>
  <c r="P21" s="1"/>
  <c r="Q21" s="1"/>
  <c r="R21" s="1"/>
  <c r="S21" s="1"/>
  <c r="L21"/>
  <c r="C21"/>
  <c r="O20"/>
  <c r="P20" s="1"/>
  <c r="Q20" s="1"/>
  <c r="R20" s="1"/>
  <c r="S20" s="1"/>
  <c r="L20"/>
  <c r="O19"/>
  <c r="P19" s="1"/>
  <c r="Q19" s="1"/>
  <c r="R19" s="1"/>
  <c r="S19" s="1"/>
  <c r="L19"/>
  <c r="O18"/>
  <c r="P18" s="1"/>
  <c r="Q18" s="1"/>
  <c r="R18" s="1"/>
  <c r="S18" s="1"/>
  <c r="L18"/>
  <c r="C18"/>
  <c r="L17"/>
  <c r="C17"/>
  <c r="E33" i="1" s="1"/>
  <c r="O16" i="5"/>
  <c r="P16" s="1"/>
  <c r="Q16" s="1"/>
  <c r="R16" s="1"/>
  <c r="S16" s="1"/>
  <c r="L16"/>
  <c r="O15"/>
  <c r="P15" s="1"/>
  <c r="Q15" s="1"/>
  <c r="R15" s="1"/>
  <c r="S15" s="1"/>
  <c r="L15"/>
  <c r="C15"/>
  <c r="O14"/>
  <c r="P14" s="1"/>
  <c r="Q14" s="1"/>
  <c r="R14" s="1"/>
  <c r="S14" s="1"/>
  <c r="L14"/>
  <c r="L13"/>
  <c r="C13"/>
  <c r="O12"/>
  <c r="P12" s="1"/>
  <c r="Q12" s="1"/>
  <c r="R12" s="1"/>
  <c r="S12" s="1"/>
  <c r="L12"/>
  <c r="O11"/>
  <c r="P11" s="1"/>
  <c r="Q11" s="1"/>
  <c r="R11" s="1"/>
  <c r="S11" s="1"/>
  <c r="L11"/>
  <c r="O9"/>
  <c r="P9" s="1"/>
  <c r="Q9" s="1"/>
  <c r="R9" s="1"/>
  <c r="S9" s="1"/>
  <c r="L9"/>
  <c r="B3"/>
  <c r="B2"/>
  <c r="B1"/>
  <c r="C48" i="4"/>
  <c r="C49" s="1"/>
  <c r="C56" s="1"/>
  <c r="C43"/>
  <c r="C42"/>
  <c r="C41"/>
  <c r="C39"/>
  <c r="C36"/>
  <c r="C33"/>
  <c r="H56" s="1"/>
  <c r="C31"/>
  <c r="C27"/>
  <c r="C21"/>
  <c r="B3"/>
  <c r="B2"/>
  <c r="B1"/>
  <c r="F72" i="3"/>
  <c r="G72" s="1"/>
  <c r="H72" s="1"/>
  <c r="I72" s="1"/>
  <c r="J72" s="1"/>
  <c r="D60"/>
  <c r="N60" s="1"/>
  <c r="G51"/>
  <c r="G50"/>
  <c r="B46"/>
  <c r="G36"/>
  <c r="H31"/>
  <c r="G21"/>
  <c r="C16" i="4" s="1"/>
  <c r="F9" i="3"/>
  <c r="M9" s="1"/>
  <c r="M7" i="12" s="1"/>
  <c r="F8" i="3"/>
  <c r="H7"/>
  <c r="F7"/>
  <c r="P6"/>
  <c r="O6"/>
  <c r="A4"/>
  <c r="B3"/>
  <c r="B2"/>
  <c r="B1"/>
  <c r="G64" i="1"/>
  <c r="G63"/>
  <c r="N61"/>
  <c r="O61" s="1"/>
  <c r="M61"/>
  <c r="F61"/>
  <c r="E61"/>
  <c r="B61"/>
  <c r="N60"/>
  <c r="O60" s="1"/>
  <c r="M60"/>
  <c r="F60"/>
  <c r="E60"/>
  <c r="B60"/>
  <c r="N59"/>
  <c r="O59" s="1"/>
  <c r="L59" s="1"/>
  <c r="G59" s="1"/>
  <c r="M59"/>
  <c r="F59"/>
  <c r="E59"/>
  <c r="B59"/>
  <c r="G53"/>
  <c r="G52"/>
  <c r="N50"/>
  <c r="O50" s="1"/>
  <c r="M50"/>
  <c r="L50" s="1"/>
  <c r="G50" s="1"/>
  <c r="F50"/>
  <c r="E50"/>
  <c r="B50"/>
  <c r="N49"/>
  <c r="O49" s="1"/>
  <c r="L49" s="1"/>
  <c r="G49" s="1"/>
  <c r="M49"/>
  <c r="F49"/>
  <c r="E49"/>
  <c r="B49"/>
  <c r="N48"/>
  <c r="O48" s="1"/>
  <c r="M48"/>
  <c r="E48"/>
  <c r="B48"/>
  <c r="N47"/>
  <c r="O47" s="1"/>
  <c r="M47"/>
  <c r="F47"/>
  <c r="E47"/>
  <c r="B47"/>
  <c r="N46"/>
  <c r="O46" s="1"/>
  <c r="M46"/>
  <c r="F46"/>
  <c r="E46"/>
  <c r="B46"/>
  <c r="N45"/>
  <c r="O45" s="1"/>
  <c r="M45"/>
  <c r="F45"/>
  <c r="E45"/>
  <c r="B45"/>
  <c r="N44"/>
  <c r="O44" s="1"/>
  <c r="L44" s="1"/>
  <c r="G44" s="1"/>
  <c r="M44"/>
  <c r="F44"/>
  <c r="E44"/>
  <c r="B44"/>
  <c r="N43"/>
  <c r="O43" s="1"/>
  <c r="M43"/>
  <c r="B43"/>
  <c r="N42"/>
  <c r="O42" s="1"/>
  <c r="M42"/>
  <c r="F42"/>
  <c r="E42"/>
  <c r="B42"/>
  <c r="N41"/>
  <c r="O41" s="1"/>
  <c r="M41"/>
  <c r="F41"/>
  <c r="E41"/>
  <c r="B41"/>
  <c r="N40"/>
  <c r="O40" s="1"/>
  <c r="M40"/>
  <c r="F40"/>
  <c r="E40"/>
  <c r="B40"/>
  <c r="N39"/>
  <c r="O39" s="1"/>
  <c r="L39" s="1"/>
  <c r="G39" s="1"/>
  <c r="M39"/>
  <c r="F39"/>
  <c r="E39"/>
  <c r="B39"/>
  <c r="N38"/>
  <c r="O38" s="1"/>
  <c r="L38" s="1"/>
  <c r="G38" s="1"/>
  <c r="M38"/>
  <c r="F38"/>
  <c r="E38"/>
  <c r="B38"/>
  <c r="N37"/>
  <c r="O37" s="1"/>
  <c r="M37"/>
  <c r="F37"/>
  <c r="E37"/>
  <c r="B37"/>
  <c r="N36"/>
  <c r="O36" s="1"/>
  <c r="M36"/>
  <c r="E36"/>
  <c r="B36"/>
  <c r="N35"/>
  <c r="O35" s="1"/>
  <c r="M35"/>
  <c r="E35"/>
  <c r="B35"/>
  <c r="N34"/>
  <c r="O34" s="1"/>
  <c r="L34" s="1"/>
  <c r="G34" s="1"/>
  <c r="M34"/>
  <c r="F34"/>
  <c r="E34"/>
  <c r="B34"/>
  <c r="N33"/>
  <c r="O33" s="1"/>
  <c r="L33" s="1"/>
  <c r="G33" s="1"/>
  <c r="M33"/>
  <c r="F33"/>
  <c r="B33"/>
  <c r="N32"/>
  <c r="O32" s="1"/>
  <c r="M32"/>
  <c r="F32"/>
  <c r="E32"/>
  <c r="B32"/>
  <c r="N31"/>
  <c r="O31" s="1"/>
  <c r="M31"/>
  <c r="L31" s="1"/>
  <c r="G31" s="1"/>
  <c r="F31"/>
  <c r="E31"/>
  <c r="B31"/>
  <c r="N30"/>
  <c r="O30" s="1"/>
  <c r="M30"/>
  <c r="F30"/>
  <c r="E30"/>
  <c r="B30"/>
  <c r="N29"/>
  <c r="O29" s="1"/>
  <c r="M29"/>
  <c r="F29"/>
  <c r="E29"/>
  <c r="B29"/>
  <c r="N28"/>
  <c r="O28" s="1"/>
  <c r="M28"/>
  <c r="F28"/>
  <c r="E28"/>
  <c r="B28"/>
  <c r="N27"/>
  <c r="O27" s="1"/>
  <c r="M27"/>
  <c r="E27"/>
  <c r="B27"/>
  <c r="N26"/>
  <c r="O26" s="1"/>
  <c r="M26"/>
  <c r="E26"/>
  <c r="B26"/>
  <c r="N25"/>
  <c r="O25" s="1"/>
  <c r="M25"/>
  <c r="F25"/>
  <c r="E25"/>
  <c r="B25"/>
  <c r="F18"/>
  <c r="S13"/>
  <c r="R13"/>
  <c r="P13"/>
  <c r="K13"/>
  <c r="K14" i="13" s="1"/>
  <c r="F13" i="1"/>
  <c r="H14" i="13" s="1"/>
  <c r="C13" i="1"/>
  <c r="B13"/>
  <c r="A13"/>
  <c r="S12"/>
  <c r="K12"/>
  <c r="K13" i="13" s="1"/>
  <c r="F12" i="1"/>
  <c r="H13" i="13" s="1"/>
  <c r="C12" i="1"/>
  <c r="B12"/>
  <c r="A12"/>
  <c r="S11"/>
  <c r="P11"/>
  <c r="K11"/>
  <c r="K12" i="13" s="1"/>
  <c r="F11" i="1"/>
  <c r="H12" i="13" s="1"/>
  <c r="C11" i="1"/>
  <c r="B11"/>
  <c r="A11"/>
  <c r="F5"/>
  <c r="E5"/>
  <c r="B3"/>
  <c r="B2"/>
  <c r="B1"/>
  <c r="D36" i="11" l="1"/>
  <c r="L25" i="1"/>
  <c r="G25" s="1"/>
  <c r="H25" s="1"/>
  <c r="L43"/>
  <c r="G43" s="1"/>
  <c r="I43" s="1"/>
  <c r="L37"/>
  <c r="G37" s="1"/>
  <c r="I37" s="1"/>
  <c r="L45"/>
  <c r="G45" s="1"/>
  <c r="L30"/>
  <c r="G30" s="1"/>
  <c r="L61"/>
  <c r="G61" s="1"/>
  <c r="H61" s="1"/>
  <c r="L27"/>
  <c r="G27" s="1"/>
  <c r="J11" i="5" s="1"/>
  <c r="K11" s="1"/>
  <c r="L41" i="1"/>
  <c r="G41" s="1"/>
  <c r="L36"/>
  <c r="G36" s="1"/>
  <c r="L35"/>
  <c r="G35" s="1"/>
  <c r="F10" i="8"/>
  <c r="H10" s="1"/>
  <c r="L28" i="1"/>
  <c r="G28" s="1"/>
  <c r="J12" i="5" s="1"/>
  <c r="K12" s="1"/>
  <c r="G11" i="7"/>
  <c r="F11" i="8"/>
  <c r="H11" s="1"/>
  <c r="L29" i="1"/>
  <c r="G29" s="1"/>
  <c r="J13" i="5" s="1"/>
  <c r="K13" s="1"/>
  <c r="L32" i="1"/>
  <c r="G32" s="1"/>
  <c r="I32" s="1"/>
  <c r="L48"/>
  <c r="G48" s="1"/>
  <c r="H48" s="1"/>
  <c r="F9" i="8"/>
  <c r="H9" s="1"/>
  <c r="L26" i="1"/>
  <c r="G26" s="1"/>
  <c r="H26" s="1"/>
  <c r="L47"/>
  <c r="G47" s="1"/>
  <c r="F12" i="10"/>
  <c r="D36"/>
  <c r="L60" i="1"/>
  <c r="G60" s="1"/>
  <c r="J42" i="5" s="1"/>
  <c r="K42" s="1"/>
  <c r="U13" i="15"/>
  <c r="U14" s="1"/>
  <c r="U15" s="1"/>
  <c r="U16" s="1"/>
  <c r="U17" s="1"/>
  <c r="U18" s="1"/>
  <c r="U19" s="1"/>
  <c r="U20" s="1"/>
  <c r="U21" s="1"/>
  <c r="U22" s="1"/>
  <c r="U23" s="1"/>
  <c r="D61" i="3" s="1"/>
  <c r="N61" s="1"/>
  <c r="M7"/>
  <c r="F7" i="12" s="1"/>
  <c r="AB12" i="15"/>
  <c r="AB13" s="1"/>
  <c r="AB14" s="1"/>
  <c r="AB15" s="1"/>
  <c r="AB16" s="1"/>
  <c r="AB17" s="1"/>
  <c r="AB18" s="1"/>
  <c r="AB19" s="1"/>
  <c r="AB20" s="1"/>
  <c r="AB21" s="1"/>
  <c r="AB22" s="1"/>
  <c r="AB23" s="1"/>
  <c r="D62" i="3" s="1"/>
  <c r="N62" s="1"/>
  <c r="L40" i="1"/>
  <c r="G40" s="1"/>
  <c r="J24" i="5" s="1"/>
  <c r="K24" s="1"/>
  <c r="L46" i="1"/>
  <c r="G46" s="1"/>
  <c r="I46" s="1"/>
  <c r="G11" i="15"/>
  <c r="G12" s="1"/>
  <c r="G13" s="1"/>
  <c r="G14" s="1"/>
  <c r="G15" s="1"/>
  <c r="G16" s="1"/>
  <c r="G17" s="1"/>
  <c r="G18" s="1"/>
  <c r="G19" s="1"/>
  <c r="G20" s="1"/>
  <c r="G21" s="1"/>
  <c r="G22" s="1"/>
  <c r="G23" s="1"/>
  <c r="D59" i="3" s="1"/>
  <c r="N59" s="1"/>
  <c r="L42" i="1"/>
  <c r="G42" s="1"/>
  <c r="H42" s="1"/>
  <c r="F12" i="9"/>
  <c r="J12" s="1"/>
  <c r="J14" s="1"/>
  <c r="D36"/>
  <c r="AI11" i="15"/>
  <c r="AI12" s="1"/>
  <c r="AI13" s="1"/>
  <c r="AI14" s="1"/>
  <c r="AI15" s="1"/>
  <c r="AI16" s="1"/>
  <c r="AI17" s="1"/>
  <c r="AI18" s="1"/>
  <c r="AI19" s="1"/>
  <c r="AI20" s="1"/>
  <c r="AI21" s="1"/>
  <c r="AI22" s="1"/>
  <c r="AI23" s="1"/>
  <c r="D63" i="3" s="1"/>
  <c r="N63" s="1"/>
  <c r="N15" i="13"/>
  <c r="Q15"/>
  <c r="K15"/>
  <c r="H15"/>
  <c r="H20" i="8"/>
  <c r="H21" s="1"/>
  <c r="H28"/>
  <c r="H29" s="1"/>
  <c r="N9" i="3" s="1"/>
  <c r="F19" i="11" s="1"/>
  <c r="G19" s="1"/>
  <c r="Q7" i="3"/>
  <c r="F24" i="9" s="1"/>
  <c r="G24" s="1"/>
  <c r="W13" i="1"/>
  <c r="V13"/>
  <c r="J9" i="5"/>
  <c r="K9" s="1"/>
  <c r="J10"/>
  <c r="K10" s="1"/>
  <c r="J14"/>
  <c r="K14" s="1"/>
  <c r="I30" i="1"/>
  <c r="H30"/>
  <c r="J15" i="5"/>
  <c r="K15" s="1"/>
  <c r="I31" i="1"/>
  <c r="H31"/>
  <c r="J17" i="5"/>
  <c r="K17" s="1"/>
  <c r="I33" i="1"/>
  <c r="H33"/>
  <c r="J18" i="5"/>
  <c r="K18" s="1"/>
  <c r="I34" i="1"/>
  <c r="H34"/>
  <c r="J19" i="5"/>
  <c r="K19" s="1"/>
  <c r="I35" i="1"/>
  <c r="H35"/>
  <c r="J20" i="5"/>
  <c r="K20" s="1"/>
  <c r="I36" i="1"/>
  <c r="H36"/>
  <c r="J22" i="5"/>
  <c r="K22" s="1"/>
  <c r="I38" i="1"/>
  <c r="H38"/>
  <c r="J23" i="5"/>
  <c r="K23" s="1"/>
  <c r="I39" i="1"/>
  <c r="H39"/>
  <c r="J25" i="5"/>
  <c r="K25" s="1"/>
  <c r="I41" i="1"/>
  <c r="H41"/>
  <c r="J28" i="5"/>
  <c r="K28" s="1"/>
  <c r="I44" i="1"/>
  <c r="H44"/>
  <c r="J29" i="5"/>
  <c r="K29" s="1"/>
  <c r="I45" i="1"/>
  <c r="H45"/>
  <c r="J31" i="5"/>
  <c r="K31" s="1"/>
  <c r="I47" i="1"/>
  <c r="H47"/>
  <c r="J33" i="5"/>
  <c r="K33" s="1"/>
  <c r="I49" i="1"/>
  <c r="H49"/>
  <c r="J34" i="5"/>
  <c r="K34" s="1"/>
  <c r="I50" i="1"/>
  <c r="H50"/>
  <c r="J41" i="5"/>
  <c r="K41" s="1"/>
  <c r="I59" i="1"/>
  <c r="H59"/>
  <c r="J43" i="5"/>
  <c r="K43" s="1"/>
  <c r="I61" i="1"/>
  <c r="A6" i="13"/>
  <c r="A6" i="11"/>
  <c r="A6" i="10"/>
  <c r="A6" i="9"/>
  <c r="K8" i="3"/>
  <c r="H50" i="4"/>
  <c r="C18"/>
  <c r="C35" s="1"/>
  <c r="C23" i="11"/>
  <c r="F23" s="1"/>
  <c r="C23" i="10"/>
  <c r="C23" i="9"/>
  <c r="F23" s="1"/>
  <c r="L21" i="12"/>
  <c r="L20" s="1"/>
  <c r="E21"/>
  <c r="D39" i="11"/>
  <c r="D39" i="10"/>
  <c r="D39" i="9"/>
  <c r="G54" i="3"/>
  <c r="D40" i="11"/>
  <c r="D40" i="10"/>
  <c r="D40" i="9"/>
  <c r="F51" i="4"/>
  <c r="C22"/>
  <c r="C32"/>
  <c r="L8" i="12"/>
  <c r="E8"/>
  <c r="F52" i="4"/>
  <c r="C44"/>
  <c r="A45" i="9"/>
  <c r="A44"/>
  <c r="B11"/>
  <c r="F11"/>
  <c r="F22" s="1"/>
  <c r="F13"/>
  <c r="G13" s="1"/>
  <c r="A45" i="10"/>
  <c r="A44"/>
  <c r="B11"/>
  <c r="F23"/>
  <c r="F11"/>
  <c r="F22" s="1"/>
  <c r="J12"/>
  <c r="J14" s="1"/>
  <c r="G12"/>
  <c r="A45" i="11"/>
  <c r="A44"/>
  <c r="B11"/>
  <c r="F11"/>
  <c r="F22" s="1"/>
  <c r="J12"/>
  <c r="J14" s="1"/>
  <c r="G12"/>
  <c r="F13"/>
  <c r="G13" s="1"/>
  <c r="D15" i="13"/>
  <c r="I48" i="1" l="1"/>
  <c r="H43"/>
  <c r="I27"/>
  <c r="I25"/>
  <c r="H46"/>
  <c r="J26" i="5"/>
  <c r="K26" s="1"/>
  <c r="I42" i="1"/>
  <c r="J16" i="5"/>
  <c r="K16" s="1"/>
  <c r="K35" s="1"/>
  <c r="H32" i="1"/>
  <c r="J32" i="5"/>
  <c r="K32" s="1"/>
  <c r="H37" i="1"/>
  <c r="H27"/>
  <c r="I28"/>
  <c r="J30" i="5"/>
  <c r="K30" s="1"/>
  <c r="J21"/>
  <c r="K21" s="1"/>
  <c r="I26" i="1"/>
  <c r="J27" i="5"/>
  <c r="K27" s="1"/>
  <c r="H28" i="1"/>
  <c r="H51" s="1"/>
  <c r="H29"/>
  <c r="I29"/>
  <c r="H40"/>
  <c r="H14" i="8"/>
  <c r="H15" s="1"/>
  <c r="N7" i="3" s="1"/>
  <c r="F19" i="9" s="1"/>
  <c r="G19" s="1"/>
  <c r="I40" i="1"/>
  <c r="H60"/>
  <c r="I60"/>
  <c r="G12" i="9"/>
  <c r="N8" i="3"/>
  <c r="F19" i="10" s="1"/>
  <c r="G19" s="1"/>
  <c r="M14" i="12"/>
  <c r="I22" i="11"/>
  <c r="I29" s="1"/>
  <c r="I30" s="1"/>
  <c r="G22"/>
  <c r="G29" s="1"/>
  <c r="F29"/>
  <c r="F14"/>
  <c r="G11"/>
  <c r="G14" s="1"/>
  <c r="M13" i="12"/>
  <c r="H23" i="11"/>
  <c r="H29" s="1"/>
  <c r="H30" s="1"/>
  <c r="G23"/>
  <c r="G14" i="12"/>
  <c r="I22" i="10"/>
  <c r="I29" s="1"/>
  <c r="I30" s="1"/>
  <c r="G22"/>
  <c r="G11"/>
  <c r="G13" i="12"/>
  <c r="H23" i="10"/>
  <c r="H29" s="1"/>
  <c r="H30" s="1"/>
  <c r="G23"/>
  <c r="F14" i="12"/>
  <c r="I22" i="9"/>
  <c r="I29" s="1"/>
  <c r="I30" s="1"/>
  <c r="G22"/>
  <c r="G29" s="1"/>
  <c r="F14"/>
  <c r="G11"/>
  <c r="G14" s="1"/>
  <c r="F13" i="12"/>
  <c r="H23" i="9"/>
  <c r="H29" s="1"/>
  <c r="H30" s="1"/>
  <c r="G23"/>
  <c r="H52" i="4"/>
  <c r="G52"/>
  <c r="E9" i="12"/>
  <c r="F9" s="1"/>
  <c r="M8"/>
  <c r="L9"/>
  <c r="L10" s="1"/>
  <c r="C37" i="4"/>
  <c r="C54" s="1"/>
  <c r="F53"/>
  <c r="C23"/>
  <c r="C24" s="1"/>
  <c r="F54"/>
  <c r="H51"/>
  <c r="G51"/>
  <c r="G65" i="1"/>
  <c r="G54"/>
  <c r="D43" i="9"/>
  <c r="D43" i="10"/>
  <c r="D43" i="11"/>
  <c r="E20" i="12"/>
  <c r="C51" i="4"/>
  <c r="H49"/>
  <c r="C45"/>
  <c r="C46" s="1"/>
  <c r="C55" s="1"/>
  <c r="C28"/>
  <c r="C29" s="1"/>
  <c r="C53" s="1"/>
  <c r="E13" i="10"/>
  <c r="F13" s="1"/>
  <c r="L8" i="3"/>
  <c r="M8" s="1"/>
  <c r="F8" i="12"/>
  <c r="H62" i="1"/>
  <c r="K44" i="5"/>
  <c r="P8" i="3" s="1"/>
  <c r="F27" i="10" s="1"/>
  <c r="M16" i="12" l="1"/>
  <c r="M30" s="1"/>
  <c r="F10"/>
  <c r="F11" s="1"/>
  <c r="F29" s="1"/>
  <c r="F16"/>
  <c r="F30" s="1"/>
  <c r="G16"/>
  <c r="G30" s="1"/>
  <c r="G29" i="10"/>
  <c r="W16" i="13"/>
  <c r="O8" i="3"/>
  <c r="O7"/>
  <c r="H52" i="1"/>
  <c r="H63"/>
  <c r="G7" i="12"/>
  <c r="M10" i="3"/>
  <c r="G13" i="10"/>
  <c r="G14" s="1"/>
  <c r="F14"/>
  <c r="F55" i="4"/>
  <c r="F57" s="1"/>
  <c r="F59" s="1"/>
  <c r="C25"/>
  <c r="C52" s="1"/>
  <c r="C57" s="1"/>
  <c r="H53"/>
  <c r="H54" s="1"/>
  <c r="G53"/>
  <c r="G54" s="1"/>
  <c r="M9" i="12"/>
  <c r="M10" s="1"/>
  <c r="M11" s="1"/>
  <c r="M29" s="1"/>
  <c r="E10"/>
  <c r="H33" i="9"/>
  <c r="I33"/>
  <c r="H33" i="10"/>
  <c r="I33"/>
  <c r="H33" i="11"/>
  <c r="I33"/>
  <c r="M31" i="12" l="1"/>
  <c r="M18" s="1"/>
  <c r="F31"/>
  <c r="F18" s="1"/>
  <c r="F19" s="1"/>
  <c r="F20" s="1"/>
  <c r="I34" i="11"/>
  <c r="I35" s="1"/>
  <c r="I36" s="1"/>
  <c r="I37" s="1"/>
  <c r="I44" s="1"/>
  <c r="I45" s="1"/>
  <c r="H34"/>
  <c r="H35" s="1"/>
  <c r="H36" s="1"/>
  <c r="H37" s="1"/>
  <c r="H44" s="1"/>
  <c r="H45" s="1"/>
  <c r="I34" i="10"/>
  <c r="I35" s="1"/>
  <c r="I36" s="1"/>
  <c r="I37" s="1"/>
  <c r="I44" s="1"/>
  <c r="I45" s="1"/>
  <c r="H34"/>
  <c r="H35" s="1"/>
  <c r="H36" s="1"/>
  <c r="H37" s="1"/>
  <c r="H44" s="1"/>
  <c r="H45" s="1"/>
  <c r="I34" i="9"/>
  <c r="I35" s="1"/>
  <c r="I36" s="1"/>
  <c r="I37" s="1"/>
  <c r="I44" s="1"/>
  <c r="I45" s="1"/>
  <c r="H34"/>
  <c r="H35" s="1"/>
  <c r="H36" s="1"/>
  <c r="H37" s="1"/>
  <c r="H44" s="1"/>
  <c r="H45" s="1"/>
  <c r="G55" i="4"/>
  <c r="G57" s="1"/>
  <c r="G59" s="1"/>
  <c r="H55"/>
  <c r="H57" s="1"/>
  <c r="H59" s="1"/>
  <c r="E15" i="11"/>
  <c r="E15" i="10"/>
  <c r="E15" i="9"/>
  <c r="G19" i="3"/>
  <c r="G9" i="12"/>
  <c r="G8"/>
  <c r="G10" s="1"/>
  <c r="G11" s="1"/>
  <c r="G29" s="1"/>
  <c r="G31" s="1"/>
  <c r="H64" i="1"/>
  <c r="H66" s="1"/>
  <c r="H65" s="1"/>
  <c r="H53"/>
  <c r="H55" s="1"/>
  <c r="H54" s="1"/>
  <c r="F26" i="9"/>
  <c r="F29" s="1"/>
  <c r="R11" i="1"/>
  <c r="F26" i="10"/>
  <c r="F29" s="1"/>
  <c r="R12" i="1"/>
  <c r="R14" l="1"/>
  <c r="F25" i="12"/>
  <c r="F32" s="1"/>
  <c r="F33" s="1"/>
  <c r="G18"/>
  <c r="J15" i="9"/>
  <c r="J16" s="1"/>
  <c r="J30" s="1"/>
  <c r="F15"/>
  <c r="J15" i="10"/>
  <c r="J16" s="1"/>
  <c r="J30" s="1"/>
  <c r="F15"/>
  <c r="J15" i="11"/>
  <c r="J16" s="1"/>
  <c r="J30" s="1"/>
  <c r="F15"/>
  <c r="T13" i="1"/>
  <c r="W11" s="1"/>
  <c r="T11"/>
  <c r="T12"/>
  <c r="M19" i="12"/>
  <c r="M20" s="1"/>
  <c r="P12" i="13"/>
  <c r="R12" s="1"/>
  <c r="H42" i="9"/>
  <c r="H41"/>
  <c r="H40"/>
  <c r="H39"/>
  <c r="G12" i="13"/>
  <c r="I12" s="1"/>
  <c r="I42" i="9"/>
  <c r="I41"/>
  <c r="I40"/>
  <c r="I39"/>
  <c r="P13" i="13"/>
  <c r="R13" s="1"/>
  <c r="H42" i="10"/>
  <c r="H41"/>
  <c r="H40"/>
  <c r="H39"/>
  <c r="G13" i="13"/>
  <c r="I13" s="1"/>
  <c r="I42" i="10"/>
  <c r="I41"/>
  <c r="I40"/>
  <c r="I39"/>
  <c r="P14" i="13"/>
  <c r="R14" s="1"/>
  <c r="H42" i="11"/>
  <c r="H41"/>
  <c r="H40"/>
  <c r="H39"/>
  <c r="G14" i="13"/>
  <c r="I14" s="1"/>
  <c r="I42" i="11"/>
  <c r="I41"/>
  <c r="I40"/>
  <c r="I39"/>
  <c r="I43" i="9" l="1"/>
  <c r="H43" i="10"/>
  <c r="H43" i="11"/>
  <c r="H43" i="9"/>
  <c r="I43" i="11"/>
  <c r="I43" i="10"/>
  <c r="I15" i="13"/>
  <c r="H14" i="1" s="1"/>
  <c r="R15" i="13"/>
  <c r="M14" i="1" s="1"/>
  <c r="M25" i="12"/>
  <c r="M32" s="1"/>
  <c r="M33" s="1"/>
  <c r="T14" i="1"/>
  <c r="W12"/>
  <c r="W14" s="1"/>
  <c r="G15" i="11"/>
  <c r="G16" s="1"/>
  <c r="G30" s="1"/>
  <c r="F16"/>
  <c r="F30" s="1"/>
  <c r="J33"/>
  <c r="G15" i="10"/>
  <c r="G16" s="1"/>
  <c r="G30" s="1"/>
  <c r="F16"/>
  <c r="F30" s="1"/>
  <c r="J33"/>
  <c r="G15" i="9"/>
  <c r="G16" s="1"/>
  <c r="G30" s="1"/>
  <c r="F16"/>
  <c r="F30" s="1"/>
  <c r="J33"/>
  <c r="G19" i="12"/>
  <c r="G20" s="1"/>
  <c r="M12" i="13"/>
  <c r="F24" i="12"/>
  <c r="F22"/>
  <c r="F23"/>
  <c r="F21"/>
  <c r="O12" i="13" l="1"/>
  <c r="G25" i="12"/>
  <c r="G32" s="1"/>
  <c r="G33" s="1"/>
  <c r="J34" i="9"/>
  <c r="J35" s="1"/>
  <c r="J36" s="1"/>
  <c r="J37" s="1"/>
  <c r="J44" s="1"/>
  <c r="J45" s="1"/>
  <c r="F33"/>
  <c r="G33"/>
  <c r="J34" i="10"/>
  <c r="J35" s="1"/>
  <c r="J36" s="1"/>
  <c r="J37" s="1"/>
  <c r="J44" s="1"/>
  <c r="J45" s="1"/>
  <c r="F33"/>
  <c r="G33"/>
  <c r="J34" i="11"/>
  <c r="J35" s="1"/>
  <c r="J36" s="1"/>
  <c r="J37" s="1"/>
  <c r="J44" s="1"/>
  <c r="J45" s="1"/>
  <c r="F33"/>
  <c r="G33"/>
  <c r="M14" i="13"/>
  <c r="O14" s="1"/>
  <c r="M22" i="12"/>
  <c r="M24"/>
  <c r="M21"/>
  <c r="G34" i="11" l="1"/>
  <c r="G35" s="1"/>
  <c r="G36" s="1"/>
  <c r="G37" s="1"/>
  <c r="G44" s="1"/>
  <c r="G45" s="1"/>
  <c r="F34"/>
  <c r="F35" s="1"/>
  <c r="F36" s="1"/>
  <c r="F37" s="1"/>
  <c r="F44" s="1"/>
  <c r="F45" s="1"/>
  <c r="J42"/>
  <c r="J41"/>
  <c r="J40"/>
  <c r="J39"/>
  <c r="G34" i="10"/>
  <c r="G35" s="1"/>
  <c r="G36" s="1"/>
  <c r="G37" s="1"/>
  <c r="G44" s="1"/>
  <c r="G45" s="1"/>
  <c r="F34"/>
  <c r="F35" s="1"/>
  <c r="F36" s="1"/>
  <c r="F37" s="1"/>
  <c r="F44" s="1"/>
  <c r="F45" s="1"/>
  <c r="J42"/>
  <c r="J41"/>
  <c r="J40"/>
  <c r="J39"/>
  <c r="G34" i="9"/>
  <c r="G35" s="1"/>
  <c r="G36" s="1"/>
  <c r="G37" s="1"/>
  <c r="G44" s="1"/>
  <c r="G45" s="1"/>
  <c r="F34"/>
  <c r="F35" s="1"/>
  <c r="F36" s="1"/>
  <c r="F37" s="1"/>
  <c r="F44" s="1"/>
  <c r="F45" s="1"/>
  <c r="J46"/>
  <c r="T13" i="13" s="1"/>
  <c r="J42" i="9"/>
  <c r="J41"/>
  <c r="J40"/>
  <c r="J39"/>
  <c r="M13" i="13"/>
  <c r="G24" i="12"/>
  <c r="G22"/>
  <c r="G23"/>
  <c r="G21"/>
  <c r="J43" i="10" l="1"/>
  <c r="J43" i="11"/>
  <c r="J43" i="9"/>
  <c r="O13" i="13"/>
  <c r="O15" s="1"/>
  <c r="L14" i="1" s="1"/>
  <c r="M15" i="13"/>
  <c r="A19"/>
  <c r="V13"/>
  <c r="E12"/>
  <c r="F12" s="1"/>
  <c r="F46" i="9"/>
  <c r="F42"/>
  <c r="F41"/>
  <c r="F40"/>
  <c r="F39"/>
  <c r="J12" i="13"/>
  <c r="G46" i="9"/>
  <c r="G42"/>
  <c r="G41"/>
  <c r="G40"/>
  <c r="G39"/>
  <c r="E13" i="13"/>
  <c r="F13" s="1"/>
  <c r="F46" i="10"/>
  <c r="F42"/>
  <c r="F41"/>
  <c r="F40"/>
  <c r="F39"/>
  <c r="J13" i="13"/>
  <c r="L13" s="1"/>
  <c r="G46" i="10"/>
  <c r="G42"/>
  <c r="G41"/>
  <c r="G40"/>
  <c r="G39"/>
  <c r="E14" i="13"/>
  <c r="F14" s="1"/>
  <c r="F46" i="11"/>
  <c r="F42"/>
  <c r="F41"/>
  <c r="F40"/>
  <c r="F39"/>
  <c r="J14" i="13"/>
  <c r="L14" s="1"/>
  <c r="S14" s="1"/>
  <c r="O13" i="1" s="1"/>
  <c r="G46" i="11"/>
  <c r="G42"/>
  <c r="G41"/>
  <c r="G40"/>
  <c r="G39"/>
  <c r="S13" i="13" l="1"/>
  <c r="O12" i="1" s="1"/>
  <c r="G43" i="10"/>
  <c r="G43" i="11"/>
  <c r="F43"/>
  <c r="G43" i="9"/>
  <c r="F43" i="10"/>
  <c r="F43" i="9"/>
  <c r="W14" i="13"/>
  <c r="Q13" i="1" s="1"/>
  <c r="V11" s="1"/>
  <c r="J15" i="13"/>
  <c r="L12"/>
  <c r="F15"/>
  <c r="V15"/>
  <c r="P12" i="1"/>
  <c r="W13" i="13" l="1"/>
  <c r="Q12" i="1" s="1"/>
  <c r="P14"/>
  <c r="N14"/>
  <c r="L15" i="13"/>
  <c r="K14" i="1" s="1"/>
  <c r="O14" s="1"/>
  <c r="S12" i="13"/>
  <c r="S15" l="1"/>
  <c r="O11" i="1"/>
  <c r="W12" i="13"/>
  <c r="W15" l="1"/>
  <c r="W17" s="1"/>
  <c r="Q11" i="1"/>
  <c r="Q14" l="1"/>
  <c r="V12"/>
  <c r="V14" s="1"/>
</calcChain>
</file>

<file path=xl/sharedStrings.xml><?xml version="1.0" encoding="utf-8"?>
<sst xmlns="http://schemas.openxmlformats.org/spreadsheetml/2006/main" count="1185" uniqueCount="659">
  <si>
    <t xml:space="preserve">OCORRÊNCIAS MENSAIS DO FATURAMENTO </t>
  </si>
  <si>
    <t>UTILIZAÇÃO DO GESTOR CONTRATUAL PARA REALIZAÇÃO DO FATURAMENTO MENSAL</t>
  </si>
  <si>
    <t>DEFINIR VERSÃO DE APRESENTAÇÃO:</t>
  </si>
  <si>
    <t>PLANILHA PARA LICITAÇÃO (PRECIFICAÇÃO)</t>
  </si>
  <si>
    <t>DEFINIR BASE DE DESCONTOS/GLOSAS:</t>
  </si>
  <si>
    <t>MÊS CONTÁBIL</t>
  </si>
  <si>
    <r>
      <rPr>
        <b/>
        <sz val="10"/>
        <rFont val="Calibri"/>
        <family val="2"/>
        <charset val="1"/>
      </rPr>
      <t xml:space="preserve">INSTRUÇÕES DE PREENCHIMENTO
UTILIZAÇÃO EXCLUSIVA FISCAL/GESTOR
PARA AUXILIAR NO VALOR DE FATURAMENTO
Preencher as células destacadas na cor </t>
    </r>
    <r>
      <rPr>
        <b/>
        <sz val="10"/>
        <color rgb="FFFF0000"/>
        <rFont val="Calibri"/>
        <family val="2"/>
        <charset val="1"/>
      </rPr>
      <t>vermelha</t>
    </r>
    <r>
      <rPr>
        <b/>
        <sz val="10"/>
        <rFont val="Calibri"/>
        <family val="2"/>
        <charset val="1"/>
      </rPr>
      <t xml:space="preserve"> para realização dos cálculos das demais abas.
Não é necessário preenchimento de outras abas.</t>
    </r>
  </si>
  <si>
    <t>Informar número de Postos que não utilizam V.T.
(Coluna "D")</t>
  </si>
  <si>
    <t>Informar se titular do posto é optante pelo recebimento de V.T.
(Coluna "E")</t>
  </si>
  <si>
    <t>Desconto automático de V.T.
(Coluna "F")</t>
  </si>
  <si>
    <t>Preencher o número de dias (corridos) que o terceirizado que não recebe vt ficou afastado por férias ou faltas
(Coluna "G")</t>
  </si>
  <si>
    <t>Preencher nº de dias úteis em que o optante de V.T realizou trabalho em Home Office OU dias de Recesso Forense / Ponto facultativo
(Coluna "H")</t>
  </si>
  <si>
    <t>Conversão das horas de ausência em dias de ausência
(Coluna "I")</t>
  </si>
  <si>
    <t>Conversão das horas de ausência em dias de ausência
(Coluna "J")</t>
  </si>
  <si>
    <t>Nº dias de faltas comuns sem substituição.
(Coluna "K")</t>
  </si>
  <si>
    <t>Informar número de dias por férias no mês (dias)
(Coluna "L")</t>
  </si>
  <si>
    <t>Desconto de V.A. por dias de recesso forense e/ou ponto facultativo.
(Coluna "M")</t>
  </si>
  <si>
    <t>Nº de dias corridos de férias sem substituição quando o adicional de insalubridade é passado para outra servente do quadro.
(Coluna "N")</t>
  </si>
  <si>
    <t>Somatório de glosas.
(Coluna "O")</t>
  </si>
  <si>
    <t>Somatório de acrésimo por substituição do posto insalubre por outro profissional do quadro.
(Coluna "P")</t>
  </si>
  <si>
    <t>Informativo sobre valor faturado por tipo de função.
(Coluna "Q")</t>
  </si>
  <si>
    <t>Valores correspondentes ao fornecimento de materiais e epis.
(incluindo impostos)
(Coluna "R")</t>
  </si>
  <si>
    <t>Informar código de elemento de despesa
(Coluna "S")</t>
  </si>
  <si>
    <t>INFORMATIVO PARA GESTÃO CONTRATUAL</t>
  </si>
  <si>
    <t>Quant</t>
  </si>
  <si>
    <t>Descrição das Categorias</t>
  </si>
  <si>
    <t>Carga Horária (horas)</t>
  </si>
  <si>
    <t>Nº Postos não optantes pelo recebimento de V.T.</t>
  </si>
  <si>
    <t>Realizar glosa por não fornecimento de V.T.?</t>
  </si>
  <si>
    <t>Dias de
Glosa V.T.
Para Não Optantes</t>
  </si>
  <si>
    <t>Ajuste de V.T para fornecimento para
postos Não Optantes</t>
  </si>
  <si>
    <t>Dias de Home Office OU Recesso para os postos Optantes de V.T.</t>
  </si>
  <si>
    <t>Dias de faltas após conversão das horas
(planilha auxiliar)</t>
  </si>
  <si>
    <t>Quant. Atrasos e Faltas</t>
  </si>
  <si>
    <t>Dias de Férias</t>
  </si>
  <si>
    <t>Dias de Glosas de V.A no Mês</t>
  </si>
  <si>
    <t>*1 Dias de Deslocamento de Insalubridade</t>
  </si>
  <si>
    <t>VALOR TOTAL GLOSADO</t>
  </si>
  <si>
    <t>VALOR TOTAL ACRESCIDO</t>
  </si>
  <si>
    <t>Valor Mensal 
Faturado com aplicação de descontos</t>
  </si>
  <si>
    <t>VALOR TOTAL INSUMOS FORNECIDOS NO MÊS.</t>
  </si>
  <si>
    <t xml:space="preserve">Elemento de Despesa </t>
  </si>
  <si>
    <t>VALOR DE RETENÇÃO CONTA VINCULADA</t>
  </si>
  <si>
    <t>CÓDIGOS ELEMENTO DE DESPESA</t>
  </si>
  <si>
    <t>FATURAMENTO MENSAL</t>
  </si>
  <si>
    <t>RETENÇÃO 
GLOSA CONTA VINCULADA
(VERIFICAR NECESSIDADE)</t>
  </si>
  <si>
    <t>SIM</t>
  </si>
  <si>
    <t>ELEMENTO 2</t>
  </si>
  <si>
    <t>ELEMENTO 1</t>
  </si>
  <si>
    <t>VALOR TOTAL GLOSADOS</t>
  </si>
  <si>
    <t>OBSERVAÇÕES:</t>
  </si>
  <si>
    <t>1. Para apoio ao lançamento de ausências de horas, sugere-se a utilização da planilha complementar abaixo. O preenchimento das horas convertidas deve ocorrer na Coluna "I".</t>
  </si>
  <si>
    <t>Planilha auxiliar para conversão de horas de ausências em dias de faltas. (preenchimento coluna "I")</t>
  </si>
  <si>
    <t>Jornada</t>
  </si>
  <si>
    <t>Total de Horas</t>
  </si>
  <si>
    <t>Total de Minutos</t>
  </si>
  <si>
    <t>Conversão em Dias</t>
  </si>
  <si>
    <t>ITEM</t>
  </si>
  <si>
    <t>DESCRIÇÃO DO MATERIAL DE IMPEZA
SERVENTES DE LIMPEZA</t>
  </si>
  <si>
    <t>GASTO MENSAL</t>
  </si>
  <si>
    <r>
      <rPr>
        <b/>
        <u/>
        <sz val="10"/>
        <rFont val="Calibri"/>
        <family val="2"/>
        <charset val="1"/>
      </rPr>
      <t xml:space="preserve">ANÁLISE CRÍTICA </t>
    </r>
    <r>
      <rPr>
        <b/>
        <sz val="10"/>
        <rFont val="Calibri"/>
        <family val="2"/>
        <charset val="1"/>
      </rPr>
      <t>SOBRE O FORNECIMENTO DOS MATERIAIS
ESTIMATIVA MENSAL x FORNECIMENTO EFETIVO
(INFORMAÇÃO COMO PARÂMETRO DE INDICATIVO)</t>
    </r>
  </si>
  <si>
    <t>REFERÊNCIA MENSAL PARA FORNECIMENTO</t>
  </si>
  <si>
    <t>Material</t>
  </si>
  <si>
    <t>Unid.</t>
  </si>
  <si>
    <t>Marcas de Referência</t>
  </si>
  <si>
    <t>QNTDE "REAL" FORNECIDA
NO MÊS</t>
  </si>
  <si>
    <t>Custo Mensal</t>
  </si>
  <si>
    <t>Quantidade Mensal</t>
  </si>
  <si>
    <t>Quantidade Total</t>
  </si>
  <si>
    <t>Periodicidade</t>
  </si>
  <si>
    <t>Divisor</t>
  </si>
  <si>
    <t>DESPESA MENSAL</t>
  </si>
  <si>
    <t>TAXA ADMINISTRATIVA</t>
  </si>
  <si>
    <t>LUCRO</t>
  </si>
  <si>
    <t>TRIBUTOS</t>
  </si>
  <si>
    <t>VALOR TOTAL COM MATERIAIS DE LIMPEZA</t>
  </si>
  <si>
    <t>MATERIAIS DE LIMPEZA COPA
COPEIRA</t>
  </si>
  <si>
    <t>VALOR TOTAL COM MATERIAIS DE COPA</t>
  </si>
  <si>
    <t>LISTA PARA OPÇÕES DE GLOSAS</t>
  </si>
  <si>
    <t>DIAS ÚTEIS (CONTRATO)</t>
  </si>
  <si>
    <t>Obs: Desconto por dias definidos em contrato.</t>
  </si>
  <si>
    <t>Obs: Desconto atualmente aplicado (30 dias corridos).</t>
  </si>
  <si>
    <t>DIAS DO MÊS VIGENTE</t>
  </si>
  <si>
    <t>Informar</t>
  </si>
  <si>
    <t>Obs: Desconto por dias úteis mensais, ocorrência variável, devendo ser informado mensalmente.</t>
  </si>
  <si>
    <t>JORNADA DE TRABALHO</t>
  </si>
  <si>
    <t>DIVISOR DE HORAS</t>
  </si>
  <si>
    <t>LISTA PARA TOTAL DE POSTOS</t>
  </si>
  <si>
    <t>Tribunal Regional Federal da 6ª Região</t>
  </si>
  <si>
    <t>Seção Judiciária de Minas Gerais</t>
  </si>
  <si>
    <t>Subseção Judiciária de Divinópolis</t>
  </si>
  <si>
    <t>INSTRUÇÕES DE PREENCHIMENTO - ANEXO X - PLANILHAS DE COMPOSIÇÃO DE CUSTOS</t>
  </si>
  <si>
    <t>1.</t>
  </si>
  <si>
    <t>SOMENTE SERÃO ACEITAS MODIFICAÇÕES NAS CÉLULAS DESTACADAS NA COR AMARELA COMO NO EXEMPLO ABAIXO:</t>
  </si>
  <si>
    <t>Células de livre edição.</t>
  </si>
  <si>
    <t>2.</t>
  </si>
  <si>
    <r>
      <rPr>
        <sz val="10"/>
        <rFont val="Calibri"/>
        <family val="2"/>
        <charset val="1"/>
      </rPr>
      <t xml:space="preserve">As demais células estarão </t>
    </r>
    <r>
      <rPr>
        <b/>
        <sz val="10"/>
        <rFont val="Calibri"/>
        <family val="2"/>
        <charset val="1"/>
      </rPr>
      <t>bloqueadas</t>
    </r>
    <r>
      <rPr>
        <sz val="10"/>
        <rFont val="Calibri"/>
        <family val="2"/>
        <charset val="1"/>
      </rPr>
      <t xml:space="preserve"> para edição das licitantes.</t>
    </r>
  </si>
  <si>
    <t>3.</t>
  </si>
  <si>
    <t>As Abas necessárias para o preenchimento estão organizadas em uma sequência lógica, sendo Dados; Encargos; Materiais (limpeza, copa e limpeza de veículos); EPI; Equipamentos; Uniforme.</t>
  </si>
  <si>
    <t>Os nomes das abas estarão abreviados para otimização da planilha.</t>
  </si>
  <si>
    <r>
      <rPr>
        <b/>
        <sz val="10"/>
        <rFont val="Calibri"/>
        <family val="2"/>
        <charset val="1"/>
      </rPr>
      <t xml:space="preserve">Sugere-se o preenchimento das seguintes abas em sequência: </t>
    </r>
    <r>
      <rPr>
        <sz val="10"/>
        <rFont val="Calibri"/>
        <family val="2"/>
        <charset val="1"/>
      </rPr>
      <t>Dados, Encargos, Materiais, EPI, Equipamentos e Uniforme, para a realização de cálculos completa da planilha de composição de custos.</t>
    </r>
  </si>
  <si>
    <t>3.1</t>
  </si>
  <si>
    <t>Estas Abas estarão destacadas na Cor Amarela.</t>
  </si>
  <si>
    <t>3.2</t>
  </si>
  <si>
    <t>PREENCHIMENTO ABA "DADOS"</t>
  </si>
  <si>
    <t xml:space="preserve"> - Informar piso salarial de cada categoria, correspondente à jornada de 220h. (Células "E7":"E09").</t>
  </si>
  <si>
    <t xml:space="preserve"> - Informar o salário base para cálculo da atividade acumulada. (Célula "K8").</t>
  </si>
  <si>
    <t xml:space="preserve"> - Informar os Dados da Apresentação da Proposta e relacionados à Convenção Coletiva de Trabalho. Tais informações não interferem na execução de cálculos, servem apenas para instruir o processo da análise da proposta. (Células "E12:E16").</t>
  </si>
  <si>
    <t xml:space="preserve"> - Informar o percentual correspondente ao RAT, conforme atividade principal da licitante. (Célula "G22").</t>
  </si>
  <si>
    <t xml:space="preserve"> - Informar o fator correspondente ao FAP, conforme extraído do relatório FapWeb. (Célula "G23").</t>
  </si>
  <si>
    <t xml:space="preserve"> - Informar o valor do salário mínimo nacional vigente (base de cálculo para a cotação de insalubridade). (Célula "G26").</t>
  </si>
  <si>
    <t xml:space="preserve"> - Informar o valor unitário do Seguro de Vida, nos casos exigidos, conforme legislação vigente. (Célula "G29").</t>
  </si>
  <si>
    <t xml:space="preserve"> - Informar o valor unitário do Programa de Assistência Familiar - PAF, nos casos exigidos, conforme legislação vigente. (Célula "G30").</t>
  </si>
  <si>
    <t xml:space="preserve"> - Informar o valor unitário da tarifa de transporte público vigente à data de apresentação da proposta, conforme legislação vigente. (Célula "G31").</t>
  </si>
  <si>
    <t xml:space="preserve"> - Informar o quantitativo unitário diário de tarifas de transporte público (ex.: 1 tarifa para ida e 1 tarifa para volta = Total de 2 tarifas). (Célula "G32").</t>
  </si>
  <si>
    <t xml:space="preserve"> - Informar o percentual de desconto à título de participação do trabalhador em relação ao fornecimento de vale transporte, nos casos exigidos, conforme legislação vigente. (Célula "G34").</t>
  </si>
  <si>
    <t xml:space="preserve"> - Informar o valor unitário do ticket de Vale Alimentação, nos casos exigidos, conforme legislação vigente. (Célula "G35").</t>
  </si>
  <si>
    <t xml:space="preserve"> - Informar o percentual de desconto à título de participação do trabalhador em relação ao fornecimento de Vale Alimentação, nos casos exigidos, conforme legislação vigente. (Célula "G37").</t>
  </si>
  <si>
    <t xml:space="preserve"> - Incluir outros custos não previstos previamente, bem como descrevê-los, em caso de previsão legal, devendo ser apresentadas justificativas para a inserção. (Células "B38" e "G38").</t>
  </si>
  <si>
    <t xml:space="preserve"> - Incluir outros custos não previstos previamente, bem como descrevê-los, em caso de previsão legal, devendo ser apresentadas justificativas para a inserção. (Células "B39" e "G39").</t>
  </si>
  <si>
    <t xml:space="preserve"> - Informar o percentual relativo às Despesas Administrativas da licitante. (Células "G42").</t>
  </si>
  <si>
    <t xml:space="preserve"> - Informar o percentual relativo ao Lucro da licitante. (Células "G43").</t>
  </si>
  <si>
    <t xml:space="preserve"> - Informar a opção tributária da licitante (Células "F49") conforme legislação vigente, OBSERVANDO as instruções contantes na Célula "B48".</t>
  </si>
  <si>
    <t xml:space="preserve"> - Informar o percentual da alíquota COFINS (Células "G50") conforme legislação vigente, OBSERVANDO as instruções contantes na Célula "B48".</t>
  </si>
  <si>
    <t xml:space="preserve"> - Informar o percentual da alíquota PIS/PASEP (Células "G51") conforme legislação vigente, OBSERVANDO as instruções contantes na Célula "B48".</t>
  </si>
  <si>
    <t xml:space="preserve"> - Informar o percentual da alíquota ISSQN (Células "G52") conforme legislação vigente, OBSERVANDO as instruções contantes na Célula "B48".</t>
  </si>
  <si>
    <t xml:space="preserve"> - Informar o percentual da alíquota ISSQN (Células "G53") conforme legislação vigente, OBSERVANDO as instruções contantes na Célula "B48".</t>
  </si>
  <si>
    <t xml:space="preserve"> - Alterar SOMENTE aqueles destacados na COR AMARELA.</t>
  </si>
  <si>
    <t>3.3</t>
  </si>
  <si>
    <t>PREENCHIMENTO ABA "ENCARGOS"</t>
  </si>
  <si>
    <t xml:space="preserve"> - Informar os percentuais de encargos nas células destacadas em amarelo dispostas na "Coluna C", de acordo com sua descrição "Coluna B".</t>
  </si>
  <si>
    <t xml:space="preserve"> - Atentar-se às observações continuadas ao final do quadro de encargos (Célula "B59"), com as demais instruções cabíveis aos percentuais dispostos nesta Aba.</t>
  </si>
  <si>
    <t>3.4</t>
  </si>
  <si>
    <t>PREENCHIMENTO ABA "MATERIAIS"</t>
  </si>
  <si>
    <t xml:space="preserve"> - Informar os valores unitários de cada item nas células destacadas em amarelo dispostas na "Coluna G", de acordo com sua descrição "Colunas B:E".</t>
  </si>
  <si>
    <t xml:space="preserve"> - Atentar-se para o preenchimento de todos os quadros dispostos nesta Aba, sendo:</t>
  </si>
  <si>
    <t xml:space="preserve"> - Materiais de Limpeza (Células "G9:G34)</t>
  </si>
  <si>
    <t xml:space="preserve"> - Materiais de Copa (Células "G41:G43)</t>
  </si>
  <si>
    <t xml:space="preserve"> - O preenchimento das células da Coluna "H" está permitida somente para inserção de Observações, caso necessário.</t>
  </si>
  <si>
    <t>3.5</t>
  </si>
  <si>
    <t>PREENCHIMENTO ABA "EPI"</t>
  </si>
  <si>
    <t xml:space="preserve"> - Informar os valores unitários de cada item nas células destacadas em amarelo dispostas na "Coluna D", de acordo com sua descrição "Colunas B:C".</t>
  </si>
  <si>
    <t>3.6</t>
  </si>
  <si>
    <t>PREENCHIMENTO ABA "EQUIPAMENTOS"</t>
  </si>
  <si>
    <t>3.7</t>
  </si>
  <si>
    <t>PREENCHIMENTO ABA "UNIFORMES"</t>
  </si>
  <si>
    <t xml:space="preserve"> - Informar os valores unitários de cada peça de uniforme nas células destacadas em amarelo dispostas na "Coluna G", de acordo com sua descrição "Colunas B:F".</t>
  </si>
  <si>
    <t xml:space="preserve"> - Atentar-se às descrições complementares dispostas nas "Especificações" que visam melhor entendimento dos itens de uniforme solicitados.</t>
  </si>
  <si>
    <t>4.</t>
  </si>
  <si>
    <r>
      <rPr>
        <sz val="10"/>
        <rFont val="Calibri"/>
        <family val="2"/>
        <charset val="1"/>
      </rPr>
      <t xml:space="preserve">Destaca-se que após o preenchimento destas Abas (de acordo com as instruções contidas no item 3), os preços individuais das </t>
    </r>
    <r>
      <rPr>
        <b/>
        <sz val="10"/>
        <rFont val="Calibri"/>
        <family val="2"/>
        <charset val="1"/>
      </rPr>
      <t>categorias</t>
    </r>
    <r>
      <rPr>
        <sz val="10"/>
        <rFont val="Calibri"/>
        <family val="2"/>
        <charset val="1"/>
      </rPr>
      <t xml:space="preserve"> profissionais serão refletidos automaticamente para as suas abas correspondentes (Serv Ins, Serv, Copeira, Zel ac. e Aux).</t>
    </r>
  </si>
  <si>
    <t>4.1</t>
  </si>
  <si>
    <r>
      <rPr>
        <b/>
        <sz val="10"/>
        <rFont val="Calibri"/>
        <family val="2"/>
        <charset val="1"/>
      </rPr>
      <t>Não será necessário realizar nenhuma alteração nas abas contendo o detalhamento de custos de cada categoria profissional.</t>
    </r>
    <r>
      <rPr>
        <sz val="10"/>
        <rFont val="Calibri"/>
        <family val="2"/>
        <charset val="1"/>
      </rPr>
      <t xml:space="preserve"> Estas abas conterão apenas o reflexo dos dados preenchidos nas abas anteriores (conforme explicação nº 3).</t>
    </r>
  </si>
  <si>
    <t>4.2</t>
  </si>
  <si>
    <t>Estas abas estão destacadas na Cor Cinza.</t>
  </si>
  <si>
    <t>5.</t>
  </si>
  <si>
    <r>
      <rPr>
        <sz val="10"/>
        <rFont val="Calibri"/>
        <family val="2"/>
        <charset val="1"/>
      </rPr>
      <t>A Aba "</t>
    </r>
    <r>
      <rPr>
        <b/>
        <sz val="10"/>
        <rFont val="Calibri"/>
        <family val="2"/>
        <charset val="1"/>
      </rPr>
      <t>Resumo</t>
    </r>
    <r>
      <rPr>
        <sz val="10"/>
        <rFont val="Calibri"/>
        <family val="2"/>
        <charset val="1"/>
      </rPr>
      <t>" contém o detalhamento dos custos unitários por categoria profissional, além de conter o preço final da proposta.</t>
    </r>
  </si>
  <si>
    <t>5.1</t>
  </si>
  <si>
    <r>
      <rPr>
        <sz val="10"/>
        <rFont val="Calibri"/>
        <family val="2"/>
        <charset val="1"/>
      </rPr>
      <t xml:space="preserve">Para efeitos de lance/oferta, as licitantes devem considerar o valor da célula "T15", da Aba "Resumo", correspondente ao </t>
    </r>
    <r>
      <rPr>
        <b/>
        <sz val="10"/>
        <rFont val="Calibri"/>
        <family val="2"/>
        <charset val="1"/>
      </rPr>
      <t>VALOR MENSAL.</t>
    </r>
  </si>
  <si>
    <t>5.2</t>
  </si>
  <si>
    <t>Esta aba está destacada na Cor Azul.</t>
  </si>
  <si>
    <t>6.</t>
  </si>
  <si>
    <r>
      <rPr>
        <sz val="10"/>
        <rFont val="Calibri"/>
        <family val="2"/>
        <charset val="1"/>
      </rPr>
      <t>A Aba "</t>
    </r>
    <r>
      <rPr>
        <b/>
        <sz val="10"/>
        <rFont val="Calibri"/>
        <family val="2"/>
        <charset val="1"/>
      </rPr>
      <t>Custo Estimado Substituto</t>
    </r>
    <r>
      <rPr>
        <sz val="10"/>
        <rFont val="Calibri"/>
        <family val="2"/>
        <charset val="1"/>
      </rPr>
      <t>" contém valores estimados com os profissionais substitutos do titular em férias.</t>
    </r>
  </si>
  <si>
    <t>6.1</t>
  </si>
  <si>
    <t>Não será necessário realizar nenhuma alteração nesta aba, pois conterá apenas o reflexo dos dados preenchidos nas abas anteriores (conforme explicação nº 3).</t>
  </si>
  <si>
    <t>6.2</t>
  </si>
  <si>
    <t>ANEXO X - PLANILHA DE CUSTO E FORMAÇÃO DE PREÇO MENSAL ESTIMATIVO - PLANILHA DE DADOS</t>
  </si>
  <si>
    <t>Elemento de Despesa</t>
  </si>
  <si>
    <t>Quantidade de Postos</t>
  </si>
  <si>
    <t>Carga Horária
(Horas)</t>
  </si>
  <si>
    <t>*OBS 1 -
Salário Base I (Piso Para 220h/m)
(R$)</t>
  </si>
  <si>
    <t>Salário Base II
(Conforme Jornada Contratada)
(R$)</t>
  </si>
  <si>
    <t xml:space="preserve">
Insalubridade
Grau de Risco
(%)</t>
  </si>
  <si>
    <t>Valor Insalubridade
(R$)</t>
  </si>
  <si>
    <t>*OBS 2 -
Acúmulo de Função / Acréscimo Salarial
(%)</t>
  </si>
  <si>
    <t>*OBS 3 -
Tempo de Execução de Atividades em Acúmulo
(%)</t>
  </si>
  <si>
    <t>*OBS 4 -
Base Para Cálculo de Acúmulo de Função
(R$)</t>
  </si>
  <si>
    <t>Valor Acúmulo de Função
(R$)</t>
  </si>
  <si>
    <t>Remuneração Total
(Grupo A)
(R$)</t>
  </si>
  <si>
    <t>Uniforme
(R$)</t>
  </si>
  <si>
    <t>Material de Limpeza Rateado
(R$)</t>
  </si>
  <si>
    <t>Material de Copa Rateado
(R$)</t>
  </si>
  <si>
    <t>EPI</t>
  </si>
  <si>
    <t>Depreciação Rateada
(R$)</t>
  </si>
  <si>
    <t>CÓDIGO DE ELEMENTO DE DESPESA
(CONTROLE DA CONTRATANTE)</t>
  </si>
  <si>
    <t>RATEIO
INSUMOS</t>
  </si>
  <si>
    <t>333903702</t>
  </si>
  <si>
    <t>Servente de Limpeza 40% Insalubridade</t>
  </si>
  <si>
    <t>Auxiliar Administrativo</t>
  </si>
  <si>
    <t>OBS 1: Inserir piso salarial correspondente à jornada de 220h mensais.      OBS 2: Informar % de acúmulo de função.</t>
  </si>
  <si>
    <t>OBS 3: Informar % do tempo de acúmulo de função.   OBS 4: Informar salário base.</t>
  </si>
  <si>
    <t>TOTAL</t>
  </si>
  <si>
    <t>DADOS DA PROPOSTA</t>
  </si>
  <si>
    <t>Data de apresentação da proposta</t>
  </si>
  <si>
    <t>ABERTURA DA PROPOSTA</t>
  </si>
  <si>
    <t>Informar data de abertura do certame / data final para cadastro da proposta comercial.</t>
  </si>
  <si>
    <t>Sindicato utilizado</t>
  </si>
  <si>
    <t>SINTAPPI x SINSERHT</t>
  </si>
  <si>
    <t>Informar o sindicato utilizado pela Licitante.</t>
  </si>
  <si>
    <t>Número de registro da CCT - Código MTE</t>
  </si>
  <si>
    <t>MG002103/2024</t>
  </si>
  <si>
    <t>Informar o número de registro da Convenção Coletiva de Tralbalho utilizada no processo licitatório, junto ao Ministério do Trabalho e Emprego.</t>
  </si>
  <si>
    <t>Vigência da CCT utilizada</t>
  </si>
  <si>
    <t>2024/2025</t>
  </si>
  <si>
    <t>Informar a vigência da Convenção Coletiva de Trabalho utilizada no processo licitatório.</t>
  </si>
  <si>
    <t>Data base da categoria</t>
  </si>
  <si>
    <t>01° de Abril</t>
  </si>
  <si>
    <t>Informar a data base da Convenção Coletiva de Trabalho utilizada no processo licitatório.</t>
  </si>
  <si>
    <t>ENCARGOS SOCIAIS E TRABALHISTAS</t>
  </si>
  <si>
    <t>-</t>
  </si>
  <si>
    <t>Percentual de Encargos (TOTAL)</t>
  </si>
  <si>
    <t>SAT - Seguro Acidentes Trabalho</t>
  </si>
  <si>
    <t>RAT (Atividade Principal)</t>
  </si>
  <si>
    <t>Informar percentual correspondente à atividade preponderante da Licitante.</t>
  </si>
  <si>
    <t>FAP (Conforme FapWeb)</t>
  </si>
  <si>
    <t>Informar Fator extraído do documento FapWeb da Licitante.</t>
  </si>
  <si>
    <t>SALÁRIO BASE PARE CÁLCULO DE INSALUBRIDADE</t>
  </si>
  <si>
    <t xml:space="preserve">SALÁRIO MINÍMO NACIONAL </t>
  </si>
  <si>
    <t>Informar base salarial para fins de cálculo de Insalubridade.</t>
  </si>
  <si>
    <t>BENEFÍCIOS</t>
  </si>
  <si>
    <t>Seguro de Vida em Grupo</t>
  </si>
  <si>
    <t>Inserir valor unitário mensal.</t>
  </si>
  <si>
    <t>Programa de Assistência Familiar - PAF</t>
  </si>
  <si>
    <t>Vale Transporte</t>
  </si>
  <si>
    <t>Valor da tarifa</t>
  </si>
  <si>
    <t>Número de Tarifas por dia</t>
  </si>
  <si>
    <t>Inserir a quantidade de tarifas diárias.</t>
  </si>
  <si>
    <t>Número de dias para fornecimento</t>
  </si>
  <si>
    <t>Número de dias utilizados para a precificação. Número determinado em edital. Não será permitido alteração.</t>
  </si>
  <si>
    <t>Custeio do trabalhador (participação legal)</t>
  </si>
  <si>
    <t>Inserir percentual de participação do trabalhador.</t>
  </si>
  <si>
    <t>Vale Alimentação</t>
  </si>
  <si>
    <t>Valor Unitário do Ticket</t>
  </si>
  <si>
    <t>Inserir valor unitário do Ticket.</t>
  </si>
  <si>
    <t>Outros (inserir somente com a justificativa legal)</t>
  </si>
  <si>
    <t>Inserir valor unitário mensal, quando preenchido, e apresentar as justificativas legais para inclusão.</t>
  </si>
  <si>
    <t>MONTANTE C</t>
  </si>
  <si>
    <t>Despesas Administrativas</t>
  </si>
  <si>
    <t>Informar percentual da Licitante.</t>
  </si>
  <si>
    <t>Lucro</t>
  </si>
  <si>
    <t>MONTANTE D</t>
  </si>
  <si>
    <t>OBS:</t>
  </si>
  <si>
    <t>Opção Tributária</t>
  </si>
  <si>
    <t>LUCRO REAL</t>
  </si>
  <si>
    <t>Informar opção tributária da Licitante. Atentar-se às observações do "Montante D".</t>
  </si>
  <si>
    <t>COFINS</t>
  </si>
  <si>
    <t>Informar percentual da Licitante. Atentar-se às observações do "Montante D".</t>
  </si>
  <si>
    <t>PIS/PASEP</t>
  </si>
  <si>
    <t>ISSQN - Limpeza e Conservação</t>
  </si>
  <si>
    <t>Informar percentual do código tributário municipal, local da execução das atividades.</t>
  </si>
  <si>
    <t>ISSQN - Administrativo</t>
  </si>
  <si>
    <t>Informar o tipo de tributo e apresentar as justificativas legais para inclusão. Informar percentual da Licitante. Atentar-se às observações do "Montante D".</t>
  </si>
  <si>
    <t>Soma dos tributos</t>
  </si>
  <si>
    <t>PREVISÃO DE REAJUSTE IPCA - 12 (DOZE) MESES DE CONTRATO - INFORMATIVO PARA SER UTILIZADO DURANTE A GESTÃO CONTRATUAL</t>
  </si>
  <si>
    <t>UNIFORME</t>
  </si>
  <si>
    <t>MATERIAIS
DIVERSOS</t>
  </si>
  <si>
    <t>EPI COVID</t>
  </si>
  <si>
    <t>SEG VIDA</t>
  </si>
  <si>
    <t>FATOR DE APLICAÇÃO
(2 CASAS DECIMAIS)</t>
  </si>
  <si>
    <t>DATA DE APROVAÇÃO IPCA</t>
  </si>
  <si>
    <t>DOCUMENTO RELACIONADO ID</t>
  </si>
  <si>
    <t>1º REAJUSTE IPCA</t>
  </si>
  <si>
    <t>Percentual (%) aprovado</t>
  </si>
  <si>
    <t>Aplicar reajuste após solicitação da contratada?</t>
  </si>
  <si>
    <t>NÃO</t>
  </si>
  <si>
    <t>2º REAJUSTE IPCA</t>
  </si>
  <si>
    <t>3º REAJUSTE IPCA</t>
  </si>
  <si>
    <t>4º REAJUSTE IPCA</t>
  </si>
  <si>
    <t>5º REAJUSTE IPCA</t>
  </si>
  <si>
    <t>CONTROLE DE REAJUSTE IPCA - UNIFORME</t>
  </si>
  <si>
    <t>APLICAR
VALOR</t>
  </si>
  <si>
    <t>INICIAL</t>
  </si>
  <si>
    <t>CONTROLE DE REAJUSTE IPCA - MATERIAIS DIVERSOS</t>
  </si>
  <si>
    <t>CONTROLE DE REAJUSTE IPCA - EPI COVID</t>
  </si>
  <si>
    <t>CONTROLE DE REAJUSTE IPCA - SEGURO DE VIDA</t>
  </si>
  <si>
    <t>VALOR INICIAL DO CONTRATO</t>
  </si>
  <si>
    <t>1º REAJUSTE POR IPCA</t>
  </si>
  <si>
    <t>2º REAJUSTE POR IPCA</t>
  </si>
  <si>
    <t>3º REAJUSTE POR IPCA</t>
  </si>
  <si>
    <t>4º REAJUSTE POR IPCA</t>
  </si>
  <si>
    <t>5º REAJUSTE POR IPCA</t>
  </si>
  <si>
    <t>HISTÓRICO - CONTROLE DE CONTRATO - VERSÃO DE PLANILHA DE CUSTOS</t>
  </si>
  <si>
    <t>Planilha / Proposta comercial - Início do contrato (Licitação)</t>
  </si>
  <si>
    <t>PLANILHA - ID</t>
  </si>
  <si>
    <t>Obs: Planiha apresentada e aceita durante a fase de lances.</t>
  </si>
  <si>
    <t>1º Termo Aditivo</t>
  </si>
  <si>
    <t>Obs: Planilha ajustada com o acréscimo de 1 posto "X" - 200h.</t>
  </si>
  <si>
    <t>1º Termo de Apostilamento</t>
  </si>
  <si>
    <t>Obs: Repactuação CCT 2024 / Alteração do salário mínimo nacional.</t>
  </si>
  <si>
    <t>INFORMAR TERMO ADITIVO / APOSTILAMENTO / ALTERAÇÃO CONTRATUAL</t>
  </si>
  <si>
    <t>Obs: Descrever alerações. EX: Como é realizado no Extrato.</t>
  </si>
  <si>
    <t>Planilha de Encargos Sociais e Trabalhistas</t>
  </si>
  <si>
    <t>ANEXO X</t>
  </si>
  <si>
    <t>INSTRUÇÕES DE PREENCHIMENTO - Informar/Alterar somente as células destacadas na Cor Amarela, de acordo com o percentual da Licitante.</t>
  </si>
  <si>
    <t>QUADRO RESUMO</t>
  </si>
  <si>
    <t>DESCRIÇÃO</t>
  </si>
  <si>
    <t>PERCENTUAL</t>
  </si>
  <si>
    <t>Grupo A</t>
  </si>
  <si>
    <t>Encargos Previdenciários, FGTS e Outras Contribuições</t>
  </si>
  <si>
    <t>PREVIDÊNCIA SOCIAL - INSS</t>
  </si>
  <si>
    <t>SESI ou SESC</t>
  </si>
  <si>
    <t>SENAI ou SENAC</t>
  </si>
  <si>
    <t>INCRA</t>
  </si>
  <si>
    <t>Salário Educação</t>
  </si>
  <si>
    <t>FGTS</t>
  </si>
  <si>
    <t>SAT - Seguro Acidentes Trabalho - (RAT x FAP)</t>
  </si>
  <si>
    <t xml:space="preserve">  Alterar FAP e RAT na aba "DADOS"</t>
  </si>
  <si>
    <t>SEBRAE</t>
  </si>
  <si>
    <t>Total Grupo A - Encargos previdenciários, FGTS e Outras Contribuições</t>
  </si>
  <si>
    <t>Grupo B</t>
  </si>
  <si>
    <t>Grupo B.1</t>
  </si>
  <si>
    <t>13º Salário</t>
  </si>
  <si>
    <t>Adicional de Férias</t>
  </si>
  <si>
    <t>Subtotal</t>
  </si>
  <si>
    <t>Incidência do Grupo A sobre 13º salário e adicional de férias</t>
  </si>
  <si>
    <t>Total Grupo B.1 - 13º salário e adicional de férias</t>
  </si>
  <si>
    <t>Grupo B.2</t>
  </si>
  <si>
    <t>Afastamento Maternidade</t>
  </si>
  <si>
    <t>Licença Maternidade</t>
  </si>
  <si>
    <t>Incidência do Grupo A sobre o afastamento maternidade</t>
  </si>
  <si>
    <t>Total Grupo B.2 - Afastamento maternidade</t>
  </si>
  <si>
    <t>Grupo B.3</t>
  </si>
  <si>
    <t>Provisão para Rescisão</t>
  </si>
  <si>
    <t>Aviso Prévio Indenizado</t>
  </si>
  <si>
    <t>Incidência do FGTS sobre o Aviso Prévio Indenizado</t>
  </si>
  <si>
    <t>Multa do FGTS do Aviso Prévio Indenizado</t>
  </si>
  <si>
    <t>Aviso Prévio Trabalhado</t>
  </si>
  <si>
    <t xml:space="preserve">Incidência do Grupo A sobre o Aviso Prévio Trabalhado </t>
  </si>
  <si>
    <t xml:space="preserve">Multa do FGTS do Aviso Prévio Trabalhado </t>
  </si>
  <si>
    <t>Total Grupo B.3 - Provisão para rescisão</t>
  </si>
  <si>
    <t>Grupo B.4</t>
  </si>
  <si>
    <t>Composição do Custo de Reposição do Profissional Ausente</t>
  </si>
  <si>
    <t>Remuneração do profissional substituto</t>
  </si>
  <si>
    <t>Ausência por doença</t>
  </si>
  <si>
    <t>Licença Paternidade</t>
  </si>
  <si>
    <t>Ausências Legais</t>
  </si>
  <si>
    <t>Ausência por acidente de trabalho</t>
  </si>
  <si>
    <t>PERCENTUAIS PARA CONTINGENCIAMENTO DE ENCARGOS TRABALHISTAS A SEREM APLICADOS SOBRE A NOTA FISCAL (UTILIZAÇÃO DURANTE A VIGÊNCIA CONTRATUAL)</t>
  </si>
  <si>
    <t>Incidência do submódulo 4.1 sobre custo de reposição</t>
  </si>
  <si>
    <t>Total Grupo B.4 - Custo de reposição do profissional ausente</t>
  </si>
  <si>
    <t>Título</t>
  </si>
  <si>
    <t>VARIAÇÃO RAT AJUSTADO 0,50% A 6%</t>
  </si>
  <si>
    <t>Grupo C</t>
  </si>
  <si>
    <t>Outros (especificar)</t>
  </si>
  <si>
    <t>EMPRESAS</t>
  </si>
  <si>
    <t>Indenização Adicional</t>
  </si>
  <si>
    <t xml:space="preserve">Grupo </t>
  </si>
  <si>
    <t>Mínimo</t>
  </si>
  <si>
    <t>Máximo</t>
  </si>
  <si>
    <t>LICITANTE</t>
  </si>
  <si>
    <t>Total Grupo C - Indenização Adicional</t>
  </si>
  <si>
    <t>SUBMÓDULO E.1 - da IN 02/2008 MPOG:</t>
  </si>
  <si>
    <t>Quadro Resumo - Encargos Sociais e Trabalhistas</t>
  </si>
  <si>
    <t>SAT (RATxFAP):</t>
  </si>
  <si>
    <t>13º salário</t>
  </si>
  <si>
    <t>13º Salário + Adicional de Férias</t>
  </si>
  <si>
    <t>Férias</t>
  </si>
  <si>
    <t>1/3 constitucional</t>
  </si>
  <si>
    <t>Custo de Rescisão</t>
  </si>
  <si>
    <t>Custo de Reposição do profissional Ausente</t>
  </si>
  <si>
    <t>Incidência do Grupo A (*)</t>
  </si>
  <si>
    <t>Multa do FGTS</t>
  </si>
  <si>
    <t>Total dos Encargos Sociais Trabalhistas</t>
  </si>
  <si>
    <t>Encargos a contingenciar</t>
  </si>
  <si>
    <t>Taxa da conta-corrente vinculada (inciso II art. 2º IN 001/2013</t>
  </si>
  <si>
    <t>1. Não deverá haver alteração nos itens 9(9,09%), 10(3,03%), 13(3,49%) e 16(9,09%) dos percentuais acima, considerando que a Justiça Federal segue as diretrizes da IN 1/2016, de 20 de janeiro de 2016, do CJF, bem como o disposto no Art. 12 da Lei 13.932/2019, com vigência a partir de 01/01/2020.</t>
  </si>
  <si>
    <t>Total a contingenciar</t>
  </si>
  <si>
    <t>ANEXO X - CUSTO ESTIMATIVO DE MATERIAIS DE LIMPEZA</t>
  </si>
  <si>
    <t>INSTRUÇÕES DE PREENCHIMENTO - Informar/Alterar somente as células destacadas na Cor Amarela, de acordo com o valor unitário da Licitante.</t>
  </si>
  <si>
    <t>VALORES UNITÁRIOS DO CONTRATO, CORRIGIDOS PELO REAJUSTE DE IPCA.</t>
  </si>
  <si>
    <t>DESCRIÇÃO DO MATERIAL</t>
  </si>
  <si>
    <t>OBSERVAÇÕES</t>
  </si>
  <si>
    <t>REFERÊNCIA</t>
  </si>
  <si>
    <t>Quantidade</t>
  </si>
  <si>
    <t>Preço Unitário</t>
  </si>
  <si>
    <t>DIVISOR</t>
  </si>
  <si>
    <t>VALOR INICIAL DO CONTRATO
(Informar após o término da licitação)</t>
  </si>
  <si>
    <t>Alcool gel 70% - 5 litros galão - gel à base de álcool a 70% com ação antisséptica. Ideal para ser usado como complemento na higienização de mãos em hospitais, laboratórios, dentistas, clinicas, consultórios e indústria em geral. Composição: álcool etílico, polímero carboxílico, neutralizante, umectante, conservante, quelante e água deionizada. Prazo de validade: 24 meses a partir da data de fabricação.</t>
  </si>
  <si>
    <t>Galão</t>
  </si>
  <si>
    <t>Asseptgel</t>
  </si>
  <si>
    <t>Mensal</t>
  </si>
  <si>
    <t>Álcool Líquido 1 Litro: Etilico Hidratado, para limpeza em geral, teor alcoolico 70 inpm. Aprovação Anvisa; Produto devera estar de acordo com legislacao vigente</t>
  </si>
  <si>
    <t>Facilita</t>
  </si>
  <si>
    <t>Azulim-Limpa cerâmicas e Azulejos; Embalagem com 1L.</t>
  </si>
  <si>
    <t>Azulim</t>
  </si>
  <si>
    <t>Balde Material: Plástico , Material Alça: Arame Galvanizado, Capacidade: 10 L, Cor: Preta, Características Adicionais: Reforço Fundo E Borda</t>
  </si>
  <si>
    <t xml:space="preserve">	
Sanremo</t>
  </si>
  <si>
    <t>Semestral</t>
  </si>
  <si>
    <t>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t>
  </si>
  <si>
    <t>Cloro liquido concentrado com teor ativo de no mínimo 10 a 12% para limpeza pesada embalagem com 5 litros</t>
  </si>
  <si>
    <t>Desodorizador de ambiente com 360ml bom ar</t>
  </si>
  <si>
    <t>Glade</t>
  </si>
  <si>
    <t>Desinfetante concentrado líquido. Aroma floral. Embalagem com 5 litros.</t>
  </si>
  <si>
    <t>Mirax Floral Bouquet</t>
  </si>
  <si>
    <t>Detergente líquido para louça, neutro, embalagem de 500ml, com tampa Push Pool. Deverá conter glicerina e ser testado e aprovado por dermatologistas. Com fórmula biodegradável. Deve possuir registro na Anvisa/Ministério da Saúde, o qual deverá estar impresso no rótulo.</t>
  </si>
  <si>
    <t>Limpol</t>
  </si>
  <si>
    <t>Escova Sanitária Redonda em plástico Branco contendo 01 escova para vaso sanitário e 01 suporte redondo: Branco Tamanho: 14 x 42 cm</t>
  </si>
  <si>
    <t xml:space="preserve">	
Limpamania</t>
  </si>
  <si>
    <t>Esponja Para Lavagem De Louças E Limpeza Em Geral, Dupla Face Sintética, Um Lado Em Espuma Poliuretano E Outro Em Fibra Sintética Abrasiva, Antibacteriana, Formato Retangular, Medindo Aproximadamente 110mm X 75mm X 20mm De Espessura. Pacote com 4 unidades.</t>
  </si>
  <si>
    <t>Pacote</t>
  </si>
  <si>
    <t>Scotch-Brite</t>
  </si>
  <si>
    <t>Esponja de LÃ DE AÇO, composição básica: aço carbono abrasivo, p/ limpeza em geral, acondicionada em embalagem plástica original do fabricante, peso líquido aproximado de 60g, pacote c/ 08 unidades</t>
  </si>
  <si>
    <t>Bombril</t>
  </si>
  <si>
    <t>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t>
  </si>
  <si>
    <t>Intextil</t>
  </si>
  <si>
    <t>Limpa vidro 500ml (Veja ou similar)</t>
  </si>
  <si>
    <t>Veja</t>
  </si>
  <si>
    <t>Luva Segurança Com Forro. Material: 100% Látex Nitrílico , Tamanho: M ou G ,Aplicação: Manuseio Reagente Químico E Radioativo , Características Adicionais: Com Forro, Sem Talco, Pulso Com Bainha , Modelo: Palma Antiderrapante, Cor: Verde, Tipo: Ambidestra</t>
  </si>
  <si>
    <t>Par.</t>
  </si>
  <si>
    <t>Bettanin</t>
  </si>
  <si>
    <t>Papel higiênico branco, folha dupla, de alta qualidade, com dimensões 10cm X 30m, com a marca do fabricante e indicação na embalagem, absorvente e resistente, fardo com 4 rolos de 30 metros. Tipo Neve ou de melhor qualidade.</t>
  </si>
  <si>
    <t>Fardo com 4 rolos</t>
  </si>
  <si>
    <t>Neve</t>
  </si>
  <si>
    <t>Papel Toalha Interfolhado, 2 dobras, 100% fibras celulósicas, branco extra luxo, sem pintas ou outros tipos de sujidades, boa qualidade , medindo aproximadamente 23cm x 23 cm , acondicionado em caixa c/1000 folhas.</t>
  </si>
  <si>
    <t>Economy (Jofel) ou similar</t>
  </si>
  <si>
    <t>Pedra sanitária c/ 25g - com suporte para fixar no vaso sanitário. Desinfetante sanitário em pedra 25 g</t>
  </si>
  <si>
    <t>Harpic, Pato</t>
  </si>
  <si>
    <t>Rodo Plástico e borracha dupla expandida de 60cm, resistente e durável, que puxa e seca a água, feita em EVA e cepo em polipropileno com garras pontiagudas nas laterais para melhor fixar panos de chão.</t>
  </si>
  <si>
    <t>Brubalar</t>
  </si>
  <si>
    <t>Sabão em barra glicerinado - cor neutra. Pacote com 5 de 200g cada unidade.</t>
  </si>
  <si>
    <t>Minuano</t>
  </si>
  <si>
    <t>Sabão em Pó – Caixa de 0,8 a 1Kg. Sabão em pó, convencional, de primeira linha. Para lavar roupas e limpeza em geral.</t>
  </si>
  <si>
    <t>Cx</t>
  </si>
  <si>
    <t>Omo ou similar</t>
  </si>
  <si>
    <t>Sabonete líquido Concentrado, cremoso perolizado, pronto pra uso, aroma erva-doce, lavanda ou similar, galão de 05 litros.</t>
  </si>
  <si>
    <t>Nobre, Start, Ikebana</t>
  </si>
  <si>
    <t>Saco de Algodão Tipo: Alvejado, Tamanho: 60 X 80 CM, Cor: Branco, Características Adicionais: Dupla Face</t>
  </si>
  <si>
    <t>Santa Margarida</t>
  </si>
  <si>
    <t>Saco plástico reforçado para lixo em polietileno, com capacidade de 100 litros, com estanqueidade suficiente para que não haja vazamento de lixo líquido. com espessura mínima de 10 micra, na cor preta. Pacote com 100 unidades.</t>
  </si>
  <si>
    <t>Polisac</t>
  </si>
  <si>
    <t>Saco plástico reforçado para lixo em polietileno, com capacidade de 20 litros, com estanqueidade suficiente para que não haja vazamento de lixo líquido. com espessura mínima de 09 micra, na cor preta. Pacote com 100 unidades.</t>
  </si>
  <si>
    <t>Altaplast</t>
  </si>
  <si>
    <t>Vassoura Material Cerdas: Piaçava, Aplicação: Limpeza, Material Cepa: Madeira, Comprimento Cepa: 40 CM, Comprimento Cerdas: 13 CM, Largura Cepa: 5 CM, Altura Cepa: 4 CM, Material Cabo: Madeira</t>
  </si>
  <si>
    <t>Noviça</t>
  </si>
  <si>
    <t>ANEXO X - CUSTO ESTIMATIVO DE MATERIAIS DE LIMPEZA COPA</t>
  </si>
  <si>
    <t>Marca de Referência</t>
  </si>
  <si>
    <t>Guardanapo de limpeza, em papel absorvente, folha simples, na cor branca, não gofrado, 4 dobras, dimensões mínimas 33,5cm x 32,5cm, 100% fibras naturais, embalado em pacote com 50 unidades, com dados do fabricante, data de fabricação e prazo de validade. Produto fabricado de acordo com as normas da ABNT/NBR. Do tipo Coquetel, Santepel, Snob ou de melhor qualidade</t>
  </si>
  <si>
    <t>pct</t>
  </si>
  <si>
    <t>Santepel</t>
  </si>
  <si>
    <t>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t>
  </si>
  <si>
    <t>unid.</t>
  </si>
  <si>
    <t>Pano de copa aberto 100%  dimensões mínimas 40x60cm</t>
  </si>
  <si>
    <t>Karsten</t>
  </si>
  <si>
    <t>ANEXO X - CUSTO ESTIMATIVO DE EPI</t>
  </si>
  <si>
    <t>Valores em R$</t>
  </si>
  <si>
    <t>Item</t>
  </si>
  <si>
    <t>Especificação</t>
  </si>
  <si>
    <t>Quant.</t>
  </si>
  <si>
    <t>Valor Unitário</t>
  </si>
  <si>
    <t>Valor Total</t>
  </si>
  <si>
    <t>Repasse Mensal</t>
  </si>
  <si>
    <t>Observações</t>
  </si>
  <si>
    <t>RELAÇÃO DE EPI</t>
  </si>
  <si>
    <t>EPI Bota Segurança Material: Pvc - Cloreto De Polivinila , Material Sola: Antiderrapante , Cor: Preta , Tipo Cano: Longo Características Adicionais: Com Forro, Palmilha e Biqueira De Aço.</t>
  </si>
  <si>
    <t>Total de EPI de Servente</t>
  </si>
  <si>
    <t>ANEXO X - CUSTO ESTIMATIVO DE PREÇOS DE EQUIPAMENTOS</t>
  </si>
  <si>
    <t>Depreciação 10% ao Ano</t>
  </si>
  <si>
    <t xml:space="preserve">RELAÇÃO DE MÁQUINAS E EQUIPAMENTOS </t>
  </si>
  <si>
    <t>Total da Depreciação de Máquinas e Equipamentos</t>
  </si>
  <si>
    <t>ANEXO X - CUSTO ESTIMATIVO DE PREÇOS DOS UNIFORMES</t>
  </si>
  <si>
    <t>Serviços de Limpeza e Conservação</t>
  </si>
  <si>
    <t>CATEGORIA</t>
  </si>
  <si>
    <t>QUANT.</t>
  </si>
  <si>
    <t>DESCRIÇÃO DE UNIFORME</t>
  </si>
  <si>
    <t>CORES</t>
  </si>
  <si>
    <t>TOTAL DO QUANTITATIVO</t>
  </si>
  <si>
    <t>PREÇO UNITÁRIO</t>
  </si>
  <si>
    <t>Observação</t>
  </si>
  <si>
    <t>Servente (40%)/Servente com acúmulo de copeira</t>
  </si>
  <si>
    <t>Calça</t>
  </si>
  <si>
    <r>
      <rPr>
        <b/>
        <sz val="10"/>
        <color rgb="FF000000"/>
        <rFont val="Calibri"/>
        <family val="2"/>
        <charset val="1"/>
      </rPr>
      <t xml:space="preserve">Calça com elástico
</t>
    </r>
    <r>
      <rPr>
        <sz val="10"/>
        <color rgb="FF000000"/>
        <rFont val="Calibri"/>
        <family val="2"/>
        <charset val="1"/>
      </rPr>
      <t>Material: brim leve misto 67% Algodão / 33% Poliéster; Modelo: Unissex; Quantidade Bolsos: 2 Laterais E 2 Traseiros; Tipo Cós: Com Elástico E Pala; Modelo: unissex; características adicionais: com elástico e cordão na cintura, sem fecho, tamanhos PP, P, M, G, GG e EX.</t>
    </r>
  </si>
  <si>
    <t>Preta</t>
  </si>
  <si>
    <t>Camisa Polo</t>
  </si>
  <si>
    <r>
      <rPr>
        <b/>
        <sz val="10"/>
        <color rgb="FF000000"/>
        <rFont val="Calibri"/>
        <family val="2"/>
        <charset val="1"/>
      </rPr>
      <t>Camisa Polo</t>
    </r>
    <r>
      <rPr>
        <sz val="10"/>
        <color rgb="FF000000"/>
        <rFont val="Calibri"/>
        <family val="2"/>
        <charset val="1"/>
      </rPr>
      <t xml:space="preserve"> - Material: Piquet | Tipo Manga: Meia Manga | Tipo Colarinho: Gola Polo | Cor: Cinza Claro | Tamanho: P, M, G, GG. Confeccionada em malha Piquet ou similar, sendo 50% poliéster e 50% algodão, em tecido não transparente com gramatura entre 190 a 220g/m². Modelo gola: tipo colarinho, com pé de gola, pespontada, com um botão para fechamento. Manga curta simples, sem botões. Comprimento alongado para permitir colocar dentro da calça. Aviamento e botões na mesma cor do tecido. Logotipo da empresa bordado no lado esquerdo. Sem bolsos. Etiqueta de composição e identificação do tecido, confecção, tamanho da peça e instruções de lavagem, conforme determinação do INMETRO.</t>
    </r>
  </si>
  <si>
    <t>cinza ou azul claro</t>
  </si>
  <si>
    <t>Calçado</t>
  </si>
  <si>
    <t>Sapato de Segurança
Botina segurança - Material: Couro, Material Sola: Borracha, Modelo: Com Elástico nas Laterais, Características Adicionais: Biqueira Em Polipropileno, Tamanho: Sob Medida.</t>
  </si>
  <si>
    <t>TOTAL DE POSTOS</t>
  </si>
  <si>
    <t>Jaqueta</t>
  </si>
  <si>
    <t>Jaqueta forrada, gola padre, fechamento frontal com zíper aparente de nylon de primeira qualidade, punhos e cós com elástico, dois bolsos laterias embutidos fundos e grandes, acabamento retilíneo. Confeccionada em moletom, sendo 70% algodão e 30% poliéster. Características adicionais: sem capuz, aviamentos e zíper na mesma cor do tecido e logotipo da empresa bordado.</t>
  </si>
  <si>
    <t>Preta ou azul marinho</t>
  </si>
  <si>
    <t>Soma</t>
  </si>
  <si>
    <t xml:space="preserve">CÁLCULO VALOR DO REPASSE MENSAL SERVENTE DE LIMPEZA </t>
  </si>
  <si>
    <t>Servente ac. Copeira</t>
  </si>
  <si>
    <t>Avental</t>
  </si>
  <si>
    <t>Avental de cozinheiro - 1,20 x 0,60 m (Tecido Oxford). Características Adicionais: 2 Bolsos Dianteiros , Tamanho: Longo.</t>
  </si>
  <si>
    <t>Branco</t>
  </si>
  <si>
    <t>Touca</t>
  </si>
  <si>
    <t>Touca com aba para uso de cozinha, cor branca, tecido 100% sintético. Aba na parte inferior da touca confeccionada em tecido de algodão e finalizado por um tirante elástico para ajustamento à cabeça. Tamanho: único.</t>
  </si>
  <si>
    <t>Branca</t>
  </si>
  <si>
    <t>CÁLCULO VALOR DO REPASSE MENSAL ACÚMULO COPEIRA</t>
  </si>
  <si>
    <r>
      <rPr>
        <sz val="10"/>
        <color rgb="FF000000"/>
        <rFont val="Calibri"/>
        <family val="2"/>
        <charset val="1"/>
      </rPr>
      <t xml:space="preserve">	
</t>
    </r>
    <r>
      <rPr>
        <b/>
        <sz val="10"/>
        <color rgb="FF000000"/>
        <rFont val="Calibri"/>
        <family val="2"/>
        <charset val="1"/>
      </rPr>
      <t>Calça Social
Feminino:</t>
    </r>
    <r>
      <rPr>
        <sz val="10"/>
        <color rgb="FF000000"/>
        <rFont val="Calibri"/>
        <family val="2"/>
        <charset val="1"/>
      </rPr>
      <t xml:space="preserve"> Modelo social, confeccionada em tecido Gabardine com elastano (lado interno acetinado), 95% poliéster, 5% elastano, 1ª qualidade ou confeccionada em tecido plano encorpado 74% Poliéster, 20% Viscose, 6% Elastano. Modelo: Sem pregas, com cós alto. Frente: fechável por zíper comum de nylon fino trava automática, com 01(um) botão no cós na cor do tecido para fechamento, e gancho metálico interno. Cós no próprio tecido entretelado com 6 passadores. Traseira: 2 (dois) pences. Barra: Máquina reta. Aviamento e botões na mesma cor do tecido. Etiqueta de composição e identificação do tecido, forro, confecção, tamanho da peça e instruções de lavagem, conforme determinação do INMETRO.
</t>
    </r>
    <r>
      <rPr>
        <b/>
        <sz val="10"/>
        <color rgb="FF000000"/>
        <rFont val="Calibri"/>
        <family val="2"/>
        <charset val="1"/>
      </rPr>
      <t>Masculino:</t>
    </r>
    <r>
      <rPr>
        <sz val="10"/>
        <color rgb="FF000000"/>
        <rFont val="Calibri"/>
        <family val="2"/>
        <charset val="1"/>
      </rPr>
      <t xml:space="preserve"> Modelo social, confeccionada em Microfibra 100% poliéster maquinetada, sem pregas, 2 bolsos na frente tipo faca, 2 bolsos traseiros sendo um bolso do lado direito e um do lado esquerdo, embutidos sem portinhola, cerzidos, 1 pinchal em cada, fechamento por caseado e 1 botão. Ziper de nylon 18 cm trava automática; Cós no próprio tecido entretelado, fechável por gancho metálico e 1 botão na extensão, com 8 passantes de 1 cm; forro de bolso: 50% poliéster e 50% algodão na cor do tecido. Aviamento e botões na mesma cor do tecido. Etiqueta de composição e identificação do tecido, forro, confecção, tamanho da peça e instruções de lavagem, conforme determinação do INMETRO.</t>
    </r>
  </si>
  <si>
    <t>Camisa Social</t>
  </si>
  <si>
    <r>
      <rPr>
        <b/>
        <sz val="10"/>
        <color rgb="FF000000"/>
        <rFont val="Calibri"/>
        <family val="2"/>
        <charset val="1"/>
      </rPr>
      <t>Camisa Social
Feminino</t>
    </r>
    <r>
      <rPr>
        <sz val="10"/>
        <color rgb="FF000000"/>
        <rFont val="Calibri"/>
        <family val="2"/>
        <charset val="1"/>
      </rPr>
      <t xml:space="preserve">: modelo social, confeccionada em tricoline com elastano, sendo 3% elastano e no mínimo 40% algodão, tecido não transparente. Modelo Gola: Tipo colarinho, com pé de gola, entretelado, pespontada, com um botão para fechamento. Manga longa e punho entretelado, abotoamento com 02 (dois) botões.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sem pence. Traseira: 2 pences. Aviamento e botões na mesma cor do tecido. Etiqueta de composição e instrução de lavagem conforme determinação do INMETRO.
</t>
    </r>
    <r>
      <rPr>
        <b/>
        <sz val="10"/>
        <color rgb="FF000000"/>
        <rFont val="Calibri"/>
        <family val="2"/>
        <charset val="1"/>
      </rPr>
      <t>Masculino:</t>
    </r>
    <r>
      <rPr>
        <sz val="10"/>
        <color rgb="FF000000"/>
        <rFont val="Calibri"/>
        <family val="2"/>
        <charset val="1"/>
      </rPr>
      <t xml:space="preserve"> modelo social, confeccionada em tecido tricoline 60% poliéster e 40% algodão. Modelo Gola: Tipo colarinho, com pé de gola, entretelado, pespontada, com um botão para fechamento. Manga longa e punho entretelado, abotoamento com 02 (dois) botões.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Aviamento e botões na mesma cor do tecido. Etiqueta de composição e instrução de lavagem conforme determinação do INMETRO.</t>
    </r>
  </si>
  <si>
    <t>Cinza</t>
  </si>
  <si>
    <t>Sapato</t>
  </si>
  <si>
    <r>
      <rPr>
        <b/>
        <sz val="10"/>
        <rFont val="Calibri"/>
        <family val="2"/>
        <charset val="1"/>
      </rPr>
      <t>Sapato Feminino:</t>
    </r>
    <r>
      <rPr>
        <sz val="10"/>
        <rFont val="Calibri"/>
        <family val="2"/>
        <charset val="1"/>
      </rPr>
      <t xml:space="preserve"> Sapatilha Feminina material sintético; sola antiderrapante, confeccionado em couro na cor Preto, palmilha em EVA recoberta com tecido antimicrobiano. Tamanho: Sob Medida (R$ 81,35)
</t>
    </r>
    <r>
      <rPr>
        <b/>
        <sz val="10"/>
        <rFont val="Calibri"/>
        <family val="2"/>
        <charset val="1"/>
      </rPr>
      <t>Sapato Masculino:</t>
    </r>
    <r>
      <rPr>
        <sz val="10"/>
        <rFont val="Calibri"/>
        <family val="2"/>
        <charset val="1"/>
      </rPr>
      <t xml:space="preserve"> Modelo social de couro, tipo esporte fino masculino, cabedal em couro natural, com cadarço, palmilha almofadada, acolchoado, contraforte, solado em borracga, costurado e colado, sistema anti-impacto para o joelho e antiderrapante. Cor: preto. (R$ 149,14). Cotação total utilizada: média dos dois valores.</t>
    </r>
  </si>
  <si>
    <t>Preto</t>
  </si>
  <si>
    <t>CÁLCULO VALOR DO REPASSE MENSAL AUXILIAR ADMINISTRATIVO</t>
  </si>
  <si>
    <t>Planilha de Custo e Formação de Preço Mensal Por Categoria Profissional</t>
  </si>
  <si>
    <t>COM MATERIAL</t>
  </si>
  <si>
    <t>SEM MATERIAL</t>
  </si>
  <si>
    <t>CUSTO DE VALE ALIMENTAÇÃO</t>
  </si>
  <si>
    <t>CUSTO DE VALE-TRANSPORTE</t>
  </si>
  <si>
    <t>CUSTO INSALUBRIDADE</t>
  </si>
  <si>
    <t>33390.37.02 - Limpeza e Conservação</t>
  </si>
  <si>
    <t>MONTANTE "A" - Mão de Obra</t>
  </si>
  <si>
    <t>Função</t>
  </si>
  <si>
    <t>Carga Horária Mensal</t>
  </si>
  <si>
    <t xml:space="preserve"> Salário Base</t>
  </si>
  <si>
    <t>Adicional de Insalubridade</t>
  </si>
  <si>
    <t>Adicional Acúmulo de Função</t>
  </si>
  <si>
    <t>TOTAL DA REMUNERAÇÃO</t>
  </si>
  <si>
    <t xml:space="preserve">Encargos sociais e trabalhistas                         </t>
  </si>
  <si>
    <t>Total do Montante "A" ( Mão de Obra)</t>
  </si>
  <si>
    <t>MONTANTE "B" - INSUMOS</t>
  </si>
  <si>
    <t>Itens</t>
  </si>
  <si>
    <t>Valores Unitários</t>
  </si>
  <si>
    <t>Uniforme</t>
  </si>
  <si>
    <t xml:space="preserve">Seguro de vida  </t>
  </si>
  <si>
    <t>Material de Limpeza</t>
  </si>
  <si>
    <t>Material de Copa</t>
  </si>
  <si>
    <t>Depreciação de Equipamentos</t>
  </si>
  <si>
    <t>Total do Montante "B" (Insumos)</t>
  </si>
  <si>
    <t>Montante "A" + Montante "B"</t>
  </si>
  <si>
    <t>MONTANTE "C" - DEMAIS COMPONENTES</t>
  </si>
  <si>
    <t>ITENS</t>
  </si>
  <si>
    <t>Percentual</t>
  </si>
  <si>
    <t>Despesas administrativas/operacionais</t>
  </si>
  <si>
    <t>Base de cálculo do lucro</t>
  </si>
  <si>
    <t>Total do Montante "C" (Demais componentes)</t>
  </si>
  <si>
    <t>Montante "A" + Montante "B" + Montante "C"</t>
  </si>
  <si>
    <t>MONTANTE "D" - TRIBUTOS</t>
  </si>
  <si>
    <t>Total do Montante "D" (Tributos)</t>
  </si>
  <si>
    <t>FATOR K</t>
  </si>
  <si>
    <t>Deslocamento Insalubridade</t>
  </si>
  <si>
    <t>Valores Unitarios</t>
  </si>
  <si>
    <t>33390.37.01 - Serviços Administrativos</t>
  </si>
  <si>
    <t xml:space="preserve">ANEXO X - PLANILHA DE CUSTO E FORMAÇÃO DE PREÇO MENSAL ESTIMATIVO DO PROFISSIONAL SUBSTITUTO DO TITULAR EM FÉRIAS </t>
  </si>
  <si>
    <t xml:space="preserve">DESCRIÇÃO </t>
  </si>
  <si>
    <t>4.5</t>
  </si>
  <si>
    <t>Valor em R$</t>
  </si>
  <si>
    <t>Módulo 1 - Total da Remuneração</t>
  </si>
  <si>
    <t>A</t>
  </si>
  <si>
    <t>G</t>
  </si>
  <si>
    <t>Total do Custo MENSAL de Reposição do Profissional Ausente em Férias</t>
  </si>
  <si>
    <t>Total do Custo ANUAL de Reposição do Profissional Ausente em Férias</t>
  </si>
  <si>
    <t>Módulo 2 - Benefícios Mensais e Diários</t>
  </si>
  <si>
    <t>Vale-Alimentação</t>
  </si>
  <si>
    <t>B</t>
  </si>
  <si>
    <t>Vale-Transporte</t>
  </si>
  <si>
    <t>C</t>
  </si>
  <si>
    <t>Outros (sem concessão do intervalo intrajornada)</t>
  </si>
  <si>
    <t>Total de Benefícios Mensais e Diários</t>
  </si>
  <si>
    <t>Módulo 5 - Custos Indiretos, Lucros e Tributos</t>
  </si>
  <si>
    <t>Custos Indiretos (Despesas Operacionais e Administrativas)</t>
  </si>
  <si>
    <t>Tributos</t>
  </si>
  <si>
    <t>C.1</t>
  </si>
  <si>
    <t>Tributos Federais (PIS E COFINS)</t>
  </si>
  <si>
    <t>C.2</t>
  </si>
  <si>
    <t>Tributos Estaduais (especificar)</t>
  </si>
  <si>
    <t>C.3</t>
  </si>
  <si>
    <t>C.4</t>
  </si>
  <si>
    <t>Total dos Custos Indiretos e Tributos</t>
  </si>
  <si>
    <t>CUSTO TOTAL DO PROFISSIONAL SUBSTITUTO</t>
  </si>
  <si>
    <t>Resumo do Custo Por Empregado Substituto do Titular em Férias</t>
  </si>
  <si>
    <t>Mão de Obra Vinculada à Execução Contratual  (Valor Por Empregado)</t>
  </si>
  <si>
    <t>Módulo 1 - Composição Remuneração * 12 (Anual)</t>
  </si>
  <si>
    <t>Subtotal (A+B)</t>
  </si>
  <si>
    <t>E</t>
  </si>
  <si>
    <t>Módulo 5 - Custos Indiretos, Tributos e Lucro</t>
  </si>
  <si>
    <t xml:space="preserve">Valor Total Mensal Por Empregado Substituto do Titular em Férias </t>
  </si>
  <si>
    <t>ANEXO X - PLANILHA DE CUSTO E FORMAÇÃO DE PREÇO MENSAL ESTIMATIVO INTEGRAL - RESUMO</t>
  </si>
  <si>
    <t xml:space="preserve">MÊS: </t>
  </si>
  <si>
    <t>VALORES EM R$</t>
  </si>
  <si>
    <t>ELEMENTO DE DESPESA</t>
  </si>
  <si>
    <t>CATEGORIA PROFISSIONAL</t>
  </si>
  <si>
    <t>TOTAL DO FATURAMENTO MENSAL</t>
  </si>
  <si>
    <t>CUSTO MENSAL</t>
  </si>
  <si>
    <t>GLOSA VALE TRANSPORTE</t>
  </si>
  <si>
    <t>GLOSA DE ATRASOS, FALTAS E DESCONTO DO TITULAR EM FÉRIAS (sem material)</t>
  </si>
  <si>
    <t>GLOSA VALE ALIMENTAÇÃO</t>
  </si>
  <si>
    <t>TOTAL GLOSAS</t>
  </si>
  <si>
    <t>ACRÉSCIMO DE INSALUBRIDADE</t>
  </si>
  <si>
    <t>Homem-Mês</t>
  </si>
  <si>
    <t>Custo Mensal  do vale-transporte da categoria com Encargos</t>
  </si>
  <si>
    <t xml:space="preserve">GLOSA </t>
  </si>
  <si>
    <t>Glosa de Atrasos e Faltas</t>
  </si>
  <si>
    <t>Desconto Mensal do Titular em Férias sem substituição</t>
  </si>
  <si>
    <t>Desconto de Vale Alimentação em recesso forense ou ponto facultativo.</t>
  </si>
  <si>
    <t>Total da Glosa de Atrasos, Faltas, Desconto do Titular em Férias sem substituição e Desconto de V.A para recessos.</t>
  </si>
  <si>
    <t>PAGAMENTO INSALUBRIDADE EM SUBSTITUIÇÃO</t>
  </si>
  <si>
    <t>Custo Unitário da categoria</t>
  </si>
  <si>
    <t>Custo Mensal da categoria</t>
  </si>
  <si>
    <t>Dias de afastamento</t>
  </si>
  <si>
    <t>Valor da Glosa do vale transporte da categoria</t>
  </si>
  <si>
    <t>Custo Homem-Mês               (sem material)</t>
  </si>
  <si>
    <t>Valor da Glosa de Atrasos e Faltas</t>
  </si>
  <si>
    <t>Custo Unitário da categoria Planilha de Férias</t>
  </si>
  <si>
    <t xml:space="preserve">Valor do Desconto Mensal </t>
  </si>
  <si>
    <t>Custo Mensal  do vale alimentação da categoria com Encargos</t>
  </si>
  <si>
    <t>Dias de Recesso e/ou ponto facultativo</t>
  </si>
  <si>
    <t>Valor da Glosa do vale alimentação da categoria</t>
  </si>
  <si>
    <t>Valor Insalubridade por dia</t>
  </si>
  <si>
    <t>Quantidade de Dias</t>
  </si>
  <si>
    <t>Valor Devido</t>
  </si>
  <si>
    <t xml:space="preserve">TOTAL DO FATURAMENTO MENSAL </t>
  </si>
  <si>
    <t>Valor para Lance - Registro de oferta</t>
  </si>
  <si>
    <t>VALOR DO MATERIAL</t>
  </si>
  <si>
    <t>TOTAL DO FATURAMENTO ANUAL</t>
  </si>
  <si>
    <t>FUNÇÃO / CATEGORIA</t>
  </si>
  <si>
    <t>SALÁRIO ESTIMADO
 (ADMINISTRAÇÃO)</t>
  </si>
  <si>
    <t>VALE TRANSPORTE - TARIFA UNITÁRIA</t>
  </si>
  <si>
    <t>ISSQN - Limpeza</t>
  </si>
  <si>
    <t>ISSQN - Mão de Obra</t>
  </si>
  <si>
    <t>Parâmetros Análise de Materiais</t>
  </si>
  <si>
    <t>Percentual variação de custos menor aceitável</t>
  </si>
  <si>
    <t>Texto para observações:</t>
  </si>
  <si>
    <t>Justificar preço/apresentar NF.</t>
  </si>
  <si>
    <t>CUSTO ESTIMATIVO DE MATERIAIS DE LIMPEZA COPA</t>
  </si>
  <si>
    <t>UNIFORME SERVENTE</t>
  </si>
  <si>
    <t>Brim leve misto 67% Algodão / 33% Poliéster; Modelo: Unissex;  Quantidade Bolsos: 2 Laterais E 2 Traseiros; Tipo Cós: Com Elástico E Pala; Modelo: unissex;  características adicionais: com elástico e cordão na cintura, sem fecho, tamanhos PP, P, M, G, GG e EX. Cor Preta.</t>
  </si>
  <si>
    <t>Camisa</t>
  </si>
  <si>
    <t xml:space="preserve">Camisa Polo - Material: Piquet | Tipo Manga: Meia Manga | Tipo Colarinho: Gola Polo | Cor: Cinza Claro | Tamanho: P, M, G, GG. Confeccionada em malha Piquet ou similar, sendo 50% poliéster e 50% algodão, em tecido não transparente com gramatura entre 190 a 220g/m². Modelo gola: tipo colarinho, com pé de gola, pespontada, com um botão para fechamento. Manga curta simples, sem botões. Comprimento alongado para permitir colocar dentro da calça. Aviamento e botões na mesma cor do tecido. Logotipo da empresa bordado no lado esquerdo. Sem bolsos. Etiqueta de composição e identificação do tecido, confecção, tamanho da peça e instruções de lavagem, conforme determinação do INMETRO.
</t>
  </si>
  <si>
    <t>Botina segurança - Material: Couro, Material Sola: Borracha, Modelo: Com Elástico nas Laterais, Características Adicionais: Biqueira Em Polipropileno, Tamanho: Sob Medida</t>
  </si>
  <si>
    <t>UNIFORME - ACÚMULO COPEIRA</t>
  </si>
  <si>
    <t>Avental de cozinheiro - 1,20 x 0,60 m (Tecido Oxford).  Cor: Preta , Características Adicionais: 2 Bolsos Dianteiros , Tamanho: Longo.
Cor: branca.</t>
  </si>
  <si>
    <t>UNIFORME AUXILIAR ADMINISTRATIVO</t>
  </si>
  <si>
    <t>Feminino: Modelo social, confeccionada em tecido Gabardine com elastano (lado interno acetinado), 95% poliéster, 5% elastano, 1ª qualidade ou confeccionada em tecido plano encorpado 74% Poliéster, 20% Viscose, 6% Elastano. Modelo: Sem pregas, com cós alto. Frente: fechável por zíper comum de nylon fino trava automática, com 01(um) botão no cós na cor do tecido para fechamento, e gancho metálico interno. Cós no próprio tecido entretelado com 6 passadores. Traseira: 2 (dois) pences. Barra: Máquina reta. Aviamento e botões na mesma cor do tecido. Etiqueta de composição e identificação do tecido, forro, confecção, tamanho da peça e instruções de lavagem, conforme determinação do INMETRO.
Masculino: Modelo social, confeccionada em Microfibra 100% poliéster maquinetada, sem pregas, 2 bolsos na frente tipo faca, 2 bolsos traseiros sendo um bolso do lado direito e um do lado esquerdo, embutidos sem portinhola, cerzidos, 1 pinchal em cada, fechamento por caseado e 1 botão. Ziper de nylon 18 cm trava automática; Cós no próprio tecido entretelado, fechável por gancho metálico e 1 botão na extensão, com 8 passantes de 1 cm; forro de bolso: 50% poliéster e 50% algodão na cor do tecido. Aviamento e botões na mesma cor do tecido. Etiqueta de composição e identificação do tecido, forro, confecção, tamanho da peça e instruções de lavagem, conforme determinação do INMETRO.
Cor: preta.</t>
  </si>
  <si>
    <t>Feminino: modelo social, confeccionada em tricoline com elastano, sendo 3% elastano e no mínimo 40% algodão, tecido não transparente. Modelo Gola: Tipo colarinho, com pé de gola, entretelado, pespontada, com um botão para fechamento. Manga longa e punho entretelado, abotoamento com 02 (dois) botões.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sem pence. Traseira: 2 pences. Aviamento e botões na mesma cor do tecido. Etiqueta de composição e instrução de lavagem conforme determinação do INMETRO.
Masculino: modelo social, confeccionada em tecido tricoline 60% poliéster e 40% algodão. Modelo Gola: Tipo colarinho, com pé de gola, entretelado, pespontada, com um botão para fechamento. Manga longa e punho entretelado, abotoamento com 02 (dois) botões.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Aviamento e botões na mesma cor do tecido. Etiqueta de composição e instrução de lavagem conforme determinação do INMETRO</t>
  </si>
  <si>
    <t>Feminino: Sapatilha Feminina material sintético; sola antiderrapante, confeccionado em couro na cor Preto, palmilha em EVA recoberta com tecido antimicrobiano. Tamanho: Sob Medida
Masculino: modelo social de couro, tipo esporte fino masculino, cabedal em couro natural, com cadarço, palmilha almofadada acolchoado, contraforte, solado em borracha, costurado e colado, sistema anti-impacto para o joelho e antiderrapante.</t>
  </si>
  <si>
    <t>Subseção Judiciária de Sete Lagoas</t>
  </si>
  <si>
    <t>Período:</t>
  </si>
  <si>
    <t xml:space="preserve">ÍNDICE </t>
  </si>
  <si>
    <t>IPCA/ IBGE</t>
  </si>
  <si>
    <t>DIAS</t>
  </si>
  <si>
    <t>Pró-rata</t>
  </si>
  <si>
    <t>VALOR ATUAL</t>
  </si>
  <si>
    <t>ANO</t>
  </si>
  <si>
    <t>MÊS</t>
  </si>
  <si>
    <t>ÍNDICE %</t>
  </si>
  <si>
    <t>%</t>
  </si>
  <si>
    <t>AGO</t>
  </si>
  <si>
    <t>SET</t>
  </si>
  <si>
    <t>OUT</t>
  </si>
  <si>
    <t>NOV</t>
  </si>
  <si>
    <t>DEZ</t>
  </si>
  <si>
    <t>JAN</t>
  </si>
  <si>
    <t>FEV</t>
  </si>
  <si>
    <t>MAR</t>
  </si>
  <si>
    <t>ABR</t>
  </si>
  <si>
    <t>MAI</t>
  </si>
  <si>
    <t>JUN</t>
  </si>
  <si>
    <t>JUL</t>
  </si>
  <si>
    <t>INDICE ACUMULADO</t>
  </si>
  <si>
    <t>Obs: Informar a jornada de trabalho do posto analisado. Em sequência, informar as horas completas faltantes e posteriormente os minutos. Ex: 10:25h faltantes - Lançar 10 na célula "D18" e lançar 25 na célula "E18".
Lançar o resultado convertido na coluna "H".</t>
  </si>
  <si>
    <t>2. Na célula “N12” deverá ser informado a quantidade de dias em que o trabalho insalubre foi realizado por outra servente do quadro, durante as férias da Servente de Limpeza 40% insalubre - titular.</t>
  </si>
  <si>
    <t>333903701</t>
  </si>
  <si>
    <t>2. Na célula “R13” deverá ser informado a quantidade de dias em que o trabalho insalubre foi realizado por outra servente do quadro, durante as férias da titular.</t>
  </si>
  <si>
    <t>Servente de Limpeza acúmulo função Copeira</t>
  </si>
</sst>
</file>

<file path=xl/styles.xml><?xml version="1.0" encoding="utf-8"?>
<styleSheet xmlns="http://schemas.openxmlformats.org/spreadsheetml/2006/main">
  <numFmts count="7">
    <numFmt numFmtId="164" formatCode="_-* #,##0.00_-;\-* #,##0.00_-;_-* \-??_-;_-@_-"/>
    <numFmt numFmtId="165" formatCode="_-&quot;R$ &quot;* #,##0.00_-;&quot;-R$ &quot;* #,##0.00_-;_-&quot;R$ &quot;* \-??_-;_-@_-"/>
    <numFmt numFmtId="166" formatCode="#,##0_ ;\-#,##0\ "/>
    <numFmt numFmtId="167" formatCode="d/m/yyyy"/>
    <numFmt numFmtId="168" formatCode="0.0000"/>
    <numFmt numFmtId="169" formatCode="_(* #,##0.00_);_(* \(#,##0.00\);_(* \-??_);_(@_)"/>
    <numFmt numFmtId="170" formatCode="* #,##0.00\ ;* \(#,##0.00\);* \-#\ ;@\ "/>
  </numFmts>
  <fonts count="47">
    <font>
      <sz val="11"/>
      <color rgb="FF000000"/>
      <name val="Calibri"/>
      <family val="2"/>
      <charset val="1"/>
    </font>
    <font>
      <sz val="11"/>
      <name val="Calibri"/>
      <family val="2"/>
      <charset val="1"/>
    </font>
    <font>
      <sz val="10"/>
      <color rgb="FF333333"/>
      <name val="Calibri"/>
      <family val="2"/>
      <charset val="1"/>
    </font>
    <font>
      <b/>
      <sz val="18"/>
      <name val="Calibri"/>
      <family val="2"/>
      <charset val="1"/>
    </font>
    <font>
      <b/>
      <sz val="16"/>
      <name val="Calibri"/>
      <family val="2"/>
      <charset val="1"/>
    </font>
    <font>
      <b/>
      <sz val="11"/>
      <name val="Calibri"/>
      <family val="2"/>
      <charset val="1"/>
    </font>
    <font>
      <sz val="12"/>
      <name val="Calibri"/>
      <family val="2"/>
      <charset val="1"/>
    </font>
    <font>
      <b/>
      <sz val="10"/>
      <name val="Calibri"/>
      <family val="2"/>
      <charset val="1"/>
    </font>
    <font>
      <b/>
      <sz val="10"/>
      <color rgb="FFFF0000"/>
      <name val="Calibri"/>
      <family val="2"/>
      <charset val="1"/>
    </font>
    <font>
      <sz val="10"/>
      <name val="Calibri"/>
      <family val="2"/>
      <charset val="1"/>
    </font>
    <font>
      <sz val="9"/>
      <name val="Calibri"/>
      <family val="2"/>
      <charset val="1"/>
    </font>
    <font>
      <sz val="10"/>
      <color rgb="FFFF0000"/>
      <name val="Calibri"/>
      <family val="2"/>
      <charset val="1"/>
    </font>
    <font>
      <sz val="11"/>
      <color rgb="FF808080"/>
      <name val="Calibri"/>
      <family val="2"/>
      <charset val="1"/>
    </font>
    <font>
      <b/>
      <i/>
      <u/>
      <sz val="11"/>
      <name val="Calibri"/>
      <family val="2"/>
      <charset val="1"/>
    </font>
    <font>
      <sz val="11"/>
      <color rgb="FFFF0000"/>
      <name val="Calibri"/>
      <family val="2"/>
      <charset val="1"/>
    </font>
    <font>
      <b/>
      <u/>
      <sz val="10"/>
      <name val="Calibri"/>
      <family val="2"/>
      <charset val="1"/>
    </font>
    <font>
      <sz val="10"/>
      <color rgb="FF000000"/>
      <name val="Calibri"/>
      <family val="2"/>
      <charset val="1"/>
    </font>
    <font>
      <sz val="8"/>
      <name val="Calibri"/>
      <family val="2"/>
      <charset val="1"/>
    </font>
    <font>
      <b/>
      <sz val="12"/>
      <name val="Calibri"/>
      <family val="2"/>
      <charset val="1"/>
    </font>
    <font>
      <sz val="10"/>
      <color rgb="FFFFFFFF"/>
      <name val="Calibri"/>
      <family val="2"/>
      <charset val="1"/>
    </font>
    <font>
      <b/>
      <sz val="14"/>
      <name val="Calibri"/>
      <family val="2"/>
      <charset val="1"/>
    </font>
    <font>
      <b/>
      <sz val="11"/>
      <color rgb="FF000000"/>
      <name val="Calibri"/>
      <family val="2"/>
      <charset val="1"/>
    </font>
    <font>
      <b/>
      <sz val="11"/>
      <color rgb="FFFF0000"/>
      <name val="Calibri"/>
      <family val="2"/>
      <charset val="1"/>
    </font>
    <font>
      <b/>
      <sz val="12"/>
      <color rgb="FF333333"/>
      <name val="Calibri"/>
      <family val="2"/>
      <charset val="1"/>
    </font>
    <font>
      <b/>
      <sz val="11"/>
      <color rgb="FF333333"/>
      <name val="Calibri"/>
      <family val="2"/>
      <charset val="1"/>
    </font>
    <font>
      <b/>
      <sz val="9"/>
      <color rgb="FF333333"/>
      <name val="Calibri"/>
      <family val="2"/>
      <charset val="1"/>
    </font>
    <font>
      <b/>
      <sz val="9"/>
      <name val="Calibri"/>
      <family val="2"/>
      <charset val="1"/>
    </font>
    <font>
      <b/>
      <sz val="10"/>
      <color rgb="FF000000"/>
      <name val="Calibri"/>
      <family val="2"/>
      <charset val="1"/>
    </font>
    <font>
      <b/>
      <sz val="8"/>
      <name val="Calibri"/>
      <family val="2"/>
      <charset val="1"/>
    </font>
    <font>
      <b/>
      <sz val="9"/>
      <color rgb="FFFF0000"/>
      <name val="Calibri"/>
      <family val="2"/>
      <charset val="1"/>
    </font>
    <font>
      <b/>
      <sz val="6"/>
      <name val="Calibri"/>
      <family val="2"/>
      <charset val="1"/>
    </font>
    <font>
      <sz val="11"/>
      <color rgb="FF000000"/>
      <name val="Times New Roman"/>
      <family val="1"/>
      <charset val="1"/>
    </font>
    <font>
      <b/>
      <sz val="12"/>
      <color rgb="FFBFBFBF"/>
      <name val="Calibri"/>
      <family val="2"/>
      <charset val="1"/>
    </font>
    <font>
      <b/>
      <sz val="10"/>
      <color rgb="FFC00000"/>
      <name val="Calibri"/>
      <family val="2"/>
      <charset val="1"/>
    </font>
    <font>
      <b/>
      <sz val="7"/>
      <name val="Calibri"/>
      <family val="2"/>
      <charset val="1"/>
    </font>
    <font>
      <sz val="10"/>
      <color rgb="FFC00000"/>
      <name val="Calibri"/>
      <family val="2"/>
      <charset val="1"/>
    </font>
    <font>
      <b/>
      <sz val="12"/>
      <name val="Times New Roman"/>
      <family val="1"/>
      <charset val="1"/>
    </font>
    <font>
      <b/>
      <sz val="28"/>
      <name val="Calibri"/>
      <family val="2"/>
      <charset val="1"/>
    </font>
    <font>
      <b/>
      <sz val="12"/>
      <color rgb="FF000000"/>
      <name val="Calibri"/>
      <family val="2"/>
      <charset val="1"/>
    </font>
    <font>
      <b/>
      <sz val="9"/>
      <color rgb="FF000000"/>
      <name val="Calibri"/>
      <family val="2"/>
      <charset val="1"/>
    </font>
    <font>
      <b/>
      <sz val="10"/>
      <color rgb="FFFFFFFF"/>
      <name val="Calibri"/>
      <family val="2"/>
      <charset val="1"/>
    </font>
    <font>
      <sz val="10"/>
      <name val="Times New Roman"/>
      <family val="1"/>
      <charset val="1"/>
    </font>
    <font>
      <sz val="14"/>
      <name val="Calibri"/>
      <family val="2"/>
      <charset val="1"/>
    </font>
    <font>
      <b/>
      <sz val="12.5"/>
      <name val="Calibri"/>
      <family val="2"/>
      <charset val="1"/>
    </font>
    <font>
      <sz val="10"/>
      <color rgb="FF000000"/>
      <name val="Calibri"/>
      <family val="2"/>
    </font>
    <font>
      <b/>
      <sz val="8"/>
      <color rgb="FFFF0000"/>
      <name val="Calibri"/>
      <family val="2"/>
      <charset val="1"/>
    </font>
    <font>
      <sz val="11"/>
      <color rgb="FF000000"/>
      <name val="Calibri"/>
      <family val="2"/>
      <charset val="1"/>
    </font>
  </fonts>
  <fills count="21">
    <fill>
      <patternFill patternType="none"/>
    </fill>
    <fill>
      <patternFill patternType="gray125"/>
    </fill>
    <fill>
      <patternFill patternType="solid">
        <fgColor rgb="FFFFFF99"/>
        <bgColor rgb="FFFFFFCC"/>
      </patternFill>
    </fill>
    <fill>
      <patternFill patternType="solid">
        <fgColor rgb="FFF8CBAD"/>
        <bgColor rgb="FFFFC7CE"/>
      </patternFill>
    </fill>
    <fill>
      <patternFill patternType="solid">
        <fgColor rgb="FFFFFFCC"/>
        <bgColor rgb="FFFFF2CC"/>
      </patternFill>
    </fill>
    <fill>
      <patternFill patternType="solid">
        <fgColor rgb="FFDCE6F2"/>
        <bgColor rgb="FFDEEBF7"/>
      </patternFill>
    </fill>
    <fill>
      <patternFill patternType="solid">
        <fgColor rgb="FFF2DCDB"/>
        <bgColor rgb="FFD9D9D9"/>
      </patternFill>
    </fill>
    <fill>
      <patternFill patternType="solid">
        <fgColor rgb="FF606060"/>
        <bgColor rgb="FF808080"/>
      </patternFill>
    </fill>
    <fill>
      <patternFill patternType="solid">
        <fgColor rgb="FFFFFFFF"/>
        <bgColor rgb="FFF2F2F2"/>
      </patternFill>
    </fill>
    <fill>
      <patternFill patternType="solid">
        <fgColor rgb="FFF2F2F2"/>
        <bgColor rgb="FFDEEBF7"/>
      </patternFill>
    </fill>
    <fill>
      <patternFill patternType="solid">
        <fgColor rgb="FF3366CC"/>
        <bgColor rgb="FF0070C0"/>
      </patternFill>
    </fill>
    <fill>
      <patternFill patternType="solid">
        <fgColor rgb="FFD9D9D9"/>
        <bgColor rgb="FFDCE6F2"/>
      </patternFill>
    </fill>
    <fill>
      <patternFill patternType="solid">
        <fgColor rgb="FFDEEBF7"/>
        <bgColor rgb="FFDCE6F2"/>
      </patternFill>
    </fill>
    <fill>
      <patternFill patternType="solid">
        <fgColor rgb="FF10243E"/>
        <bgColor rgb="FF333333"/>
      </patternFill>
    </fill>
    <fill>
      <patternFill patternType="solid">
        <fgColor rgb="FFBDD7EE"/>
        <bgColor rgb="FFD9D9D9"/>
      </patternFill>
    </fill>
    <fill>
      <patternFill patternType="solid">
        <fgColor rgb="FFC0C0C0"/>
        <bgColor rgb="FFBFBFBF"/>
      </patternFill>
    </fill>
    <fill>
      <patternFill patternType="solid">
        <fgColor rgb="FFFFF2CC"/>
        <bgColor rgb="FFFFFFCC"/>
      </patternFill>
    </fill>
    <fill>
      <patternFill patternType="solid">
        <fgColor rgb="FF808080"/>
        <bgColor rgb="FF969696"/>
      </patternFill>
    </fill>
    <fill>
      <patternFill patternType="solid">
        <fgColor rgb="FFADB9CA"/>
        <bgColor rgb="FFBFBFBF"/>
      </patternFill>
    </fill>
    <fill>
      <patternFill patternType="solid">
        <fgColor rgb="FF00B0F0"/>
        <bgColor rgb="FF33CCCC"/>
      </patternFill>
    </fill>
    <fill>
      <patternFill patternType="solid">
        <fgColor theme="7" tint="0.79998168889431442"/>
        <bgColor rgb="FFFFFFCC"/>
      </patternFill>
    </fill>
  </fills>
  <borders count="7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diagonal/>
    </border>
    <border>
      <left style="medium">
        <color auto="1"/>
      </left>
      <right/>
      <top style="thin">
        <color auto="1"/>
      </top>
      <bottom style="medium">
        <color auto="1"/>
      </bottom>
      <diagonal/>
    </border>
    <border>
      <left/>
      <right/>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style="medium">
        <color auto="1"/>
      </top>
      <bottom style="medium">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medium">
        <color auto="1"/>
      </left>
      <right style="medium">
        <color auto="1"/>
      </right>
      <top style="thin">
        <color auto="1"/>
      </top>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bottom/>
      <diagonal/>
    </border>
  </borders>
  <cellStyleXfs count="5">
    <xf numFmtId="0" fontId="0" fillId="0" borderId="0"/>
    <xf numFmtId="164" fontId="46" fillId="0" borderId="0" applyBorder="0" applyProtection="0"/>
    <xf numFmtId="165" fontId="46" fillId="0" borderId="0" applyBorder="0" applyProtection="0"/>
    <xf numFmtId="9" fontId="46" fillId="0" borderId="0" applyBorder="0" applyProtection="0"/>
    <xf numFmtId="170" fontId="41" fillId="0" borderId="0" applyBorder="0" applyProtection="0"/>
  </cellStyleXfs>
  <cellXfs count="70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xf numFmtId="0" fontId="2" fillId="0" borderId="2" xfId="0" applyFont="1" applyBorder="1" applyAlignment="1">
      <alignment horizontal="left" vertical="center"/>
    </xf>
    <xf numFmtId="0" fontId="3" fillId="0" borderId="0" xfId="0" applyFont="1" applyAlignment="1">
      <alignment vertical="center"/>
    </xf>
    <xf numFmtId="0" fontId="1" fillId="0" borderId="3" xfId="0" applyFont="1" applyBorder="1" applyAlignment="1">
      <alignment vertical="top"/>
    </xf>
    <xf numFmtId="0" fontId="2" fillId="0" borderId="0" xfId="0" applyFont="1" applyAlignment="1">
      <alignment horizontal="left" vertical="center"/>
    </xf>
    <xf numFmtId="0" fontId="3"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xf>
    <xf numFmtId="0" fontId="2" fillId="0" borderId="0" xfId="0" applyFont="1" applyAlignment="1">
      <alignment horizontal="left" vertical="top"/>
    </xf>
    <xf numFmtId="0" fontId="5" fillId="2" borderId="4" xfId="0" applyFont="1" applyFill="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 fillId="0" borderId="4"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1" fontId="9" fillId="0" borderId="17" xfId="0" applyNumberFormat="1" applyFont="1" applyBorder="1" applyAlignment="1">
      <alignment horizontal="center" vertical="center"/>
    </xf>
    <xf numFmtId="0" fontId="9" fillId="0" borderId="4" xfId="0" applyFont="1" applyBorder="1" applyAlignment="1">
      <alignment vertical="center" wrapText="1"/>
    </xf>
    <xf numFmtId="1" fontId="9" fillId="0" borderId="4" xfId="0" applyNumberFormat="1" applyFont="1" applyBorder="1" applyAlignment="1">
      <alignment horizontal="center" vertical="center"/>
    </xf>
    <xf numFmtId="0" fontId="11" fillId="6" borderId="18"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2" fontId="11" fillId="6" borderId="17" xfId="0" applyNumberFormat="1" applyFont="1" applyFill="1" applyBorder="1" applyAlignment="1" applyProtection="1">
      <alignment horizontal="center" vertical="center"/>
      <protection locked="0"/>
    </xf>
    <xf numFmtId="2" fontId="9" fillId="0" borderId="19" xfId="0" applyNumberFormat="1" applyFont="1" applyBorder="1" applyAlignment="1">
      <alignment horizontal="center" vertical="center"/>
    </xf>
    <xf numFmtId="0" fontId="11" fillId="6" borderId="20" xfId="0" applyFont="1" applyFill="1" applyBorder="1" applyAlignment="1" applyProtection="1">
      <alignment horizontal="center" vertical="center"/>
      <protection locked="0"/>
    </xf>
    <xf numFmtId="164" fontId="12" fillId="7" borderId="20" xfId="0" applyNumberFormat="1" applyFont="1" applyFill="1" applyBorder="1" applyAlignment="1">
      <alignment horizontal="center" vertical="center"/>
    </xf>
    <xf numFmtId="164" fontId="9" fillId="0" borderId="21" xfId="0" applyNumberFormat="1" applyFont="1" applyBorder="1" applyAlignment="1">
      <alignment horizontal="center" vertical="center"/>
    </xf>
    <xf numFmtId="164" fontId="12" fillId="7" borderId="4" xfId="0" applyNumberFormat="1" applyFont="1" applyFill="1" applyBorder="1" applyAlignment="1">
      <alignment horizontal="center" vertical="center"/>
    </xf>
    <xf numFmtId="165" fontId="9" fillId="0" borderId="4" xfId="0" applyNumberFormat="1" applyFont="1" applyBorder="1" applyAlignment="1">
      <alignment horizontal="center" vertical="center"/>
    </xf>
    <xf numFmtId="4" fontId="9" fillId="0" borderId="19" xfId="0" applyNumberFormat="1" applyFont="1" applyBorder="1" applyAlignment="1">
      <alignment vertical="center"/>
    </xf>
    <xf numFmtId="0" fontId="9" fillId="0" borderId="4" xfId="0" applyFont="1" applyBorder="1" applyAlignment="1">
      <alignment horizontal="center" vertical="center"/>
    </xf>
    <xf numFmtId="165" fontId="9" fillId="0" borderId="4" xfId="2" applyFont="1" applyBorder="1" applyAlignment="1" applyProtection="1">
      <alignment horizontal="center" vertical="center"/>
    </xf>
    <xf numFmtId="165" fontId="9" fillId="0" borderId="19" xfId="2" applyFont="1" applyBorder="1" applyAlignment="1" applyProtection="1">
      <alignment horizontal="center" vertical="center"/>
    </xf>
    <xf numFmtId="1" fontId="9" fillId="0" borderId="22" xfId="0" applyNumberFormat="1" applyFont="1" applyBorder="1" applyAlignment="1">
      <alignment horizontal="center" vertical="center"/>
    </xf>
    <xf numFmtId="1" fontId="9" fillId="0" borderId="23" xfId="0" applyNumberFormat="1" applyFont="1" applyBorder="1" applyAlignment="1">
      <alignment horizontal="center" vertical="center"/>
    </xf>
    <xf numFmtId="0" fontId="11" fillId="6" borderId="23"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2" fontId="11" fillId="6" borderId="22" xfId="0" applyNumberFormat="1" applyFont="1" applyFill="1" applyBorder="1" applyAlignment="1" applyProtection="1">
      <alignment horizontal="center" vertical="center"/>
      <protection locked="0"/>
    </xf>
    <xf numFmtId="2" fontId="9" fillId="0" borderId="25" xfId="0" applyNumberFormat="1" applyFont="1" applyBorder="1" applyAlignment="1">
      <alignment horizontal="center" vertical="center"/>
    </xf>
    <xf numFmtId="0" fontId="11" fillId="6" borderId="26" xfId="0" applyFont="1" applyFill="1" applyBorder="1" applyAlignment="1" applyProtection="1">
      <alignment horizontal="center" vertical="center"/>
      <protection locked="0"/>
    </xf>
    <xf numFmtId="0" fontId="9" fillId="0" borderId="21" xfId="0" applyFont="1" applyBorder="1" applyAlignment="1">
      <alignment horizontal="center" vertical="center"/>
    </xf>
    <xf numFmtId="0" fontId="7" fillId="5" borderId="27" xfId="0" applyFont="1" applyFill="1" applyBorder="1" applyAlignment="1">
      <alignment horizontal="center" vertical="center" wrapText="1"/>
    </xf>
    <xf numFmtId="4" fontId="7" fillId="5" borderId="2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2" xfId="0" applyFont="1" applyFill="1" applyBorder="1" applyAlignment="1">
      <alignment vertical="center" wrapText="1"/>
    </xf>
    <xf numFmtId="0" fontId="9" fillId="0" borderId="0" xfId="0" applyFont="1" applyAlignment="1">
      <alignment vertical="center"/>
    </xf>
    <xf numFmtId="0" fontId="13"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left" vertical="center" wrapText="1"/>
    </xf>
    <xf numFmtId="0" fontId="7" fillId="5" borderId="4" xfId="0" applyFont="1" applyFill="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pplyProtection="1">
      <alignment horizontal="center" vertical="center"/>
      <protection locked="0"/>
    </xf>
    <xf numFmtId="2" fontId="9" fillId="0" borderId="4" xfId="0" applyNumberFormat="1" applyFont="1" applyBorder="1" applyAlignment="1" applyProtection="1">
      <alignment horizontal="center" vertical="center"/>
      <protection locked="0"/>
    </xf>
    <xf numFmtId="165" fontId="1" fillId="0" borderId="0" xfId="2" applyFont="1" applyBorder="1" applyAlignment="1" applyProtection="1">
      <alignment horizontal="left" vertical="center"/>
    </xf>
    <xf numFmtId="0" fontId="7" fillId="0" borderId="0" xfId="0" applyFont="1" applyAlignment="1">
      <alignment horizontal="center" vertical="center" wrapText="1"/>
    </xf>
    <xf numFmtId="0" fontId="9" fillId="0" borderId="0" xfId="0" applyFont="1"/>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16" fillId="0" borderId="4" xfId="0" applyFont="1" applyBorder="1" applyAlignment="1">
      <alignment wrapText="1"/>
    </xf>
    <xf numFmtId="0" fontId="9" fillId="0" borderId="4" xfId="0" applyFont="1" applyBorder="1" applyAlignment="1">
      <alignment horizontal="center" vertical="center" wrapText="1"/>
    </xf>
    <xf numFmtId="0" fontId="11" fillId="6" borderId="12" xfId="0" applyFont="1" applyFill="1" applyBorder="1" applyAlignment="1" applyProtection="1">
      <alignment horizontal="center" vertical="center"/>
      <protection locked="0"/>
    </xf>
    <xf numFmtId="0" fontId="9" fillId="0" borderId="14" xfId="0" applyFont="1" applyBorder="1" applyAlignment="1">
      <alignment vertical="center"/>
    </xf>
    <xf numFmtId="0" fontId="10" fillId="0" borderId="11" xfId="0" applyFont="1" applyBorder="1" applyAlignment="1">
      <alignment horizontal="center" vertical="center" wrapText="1"/>
    </xf>
    <xf numFmtId="166" fontId="9" fillId="0" borderId="1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1" fontId="2" fillId="0" borderId="17" xfId="0" applyNumberFormat="1" applyFont="1" applyBorder="1" applyAlignment="1">
      <alignment horizontal="center" vertical="center" wrapText="1"/>
    </xf>
    <xf numFmtId="1" fontId="2" fillId="8" borderId="17" xfId="0" applyNumberFormat="1" applyFont="1" applyFill="1" applyBorder="1" applyAlignment="1">
      <alignment horizontal="center" vertical="center" wrapText="1"/>
    </xf>
    <xf numFmtId="165" fontId="7" fillId="5" borderId="14" xfId="2" applyFont="1" applyFill="1" applyBorder="1" applyAlignment="1" applyProtection="1">
      <alignment horizontal="center" vertical="center" wrapText="1"/>
    </xf>
    <xf numFmtId="10" fontId="7" fillId="5" borderId="21" xfId="0" applyNumberFormat="1" applyFont="1" applyFill="1" applyBorder="1" applyAlignment="1">
      <alignment horizontal="center" vertical="center" wrapText="1"/>
    </xf>
    <xf numFmtId="165" fontId="7" fillId="5" borderId="19" xfId="2" applyFont="1" applyFill="1" applyBorder="1" applyAlignment="1" applyProtection="1">
      <alignment horizontal="center" vertical="center" wrapText="1"/>
    </xf>
    <xf numFmtId="165" fontId="7" fillId="5" borderId="25" xfId="2" applyFont="1" applyFill="1" applyBorder="1" applyAlignment="1" applyProtection="1">
      <alignment horizontal="center" vertical="center" wrapText="1"/>
    </xf>
    <xf numFmtId="1" fontId="9" fillId="0" borderId="17"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65" fontId="7" fillId="5" borderId="34" xfId="2" applyFont="1" applyFill="1" applyBorder="1" applyAlignment="1" applyProtection="1">
      <alignment horizontal="center" vertical="center" wrapText="1"/>
    </xf>
    <xf numFmtId="0" fontId="1" fillId="0" borderId="4" xfId="0" applyFont="1" applyBorder="1"/>
    <xf numFmtId="3" fontId="1" fillId="0" borderId="18" xfId="0" applyNumberFormat="1"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left"/>
    </xf>
    <xf numFmtId="0" fontId="9" fillId="0" borderId="0" xfId="0" applyFont="1" applyAlignment="1">
      <alignment horizontal="left"/>
    </xf>
    <xf numFmtId="0" fontId="17" fillId="0" borderId="1" xfId="0" applyFont="1" applyBorder="1"/>
    <xf numFmtId="0" fontId="2" fillId="0" borderId="2" xfId="0" applyFont="1" applyBorder="1" applyAlignment="1">
      <alignment vertical="center"/>
    </xf>
    <xf numFmtId="0" fontId="17" fillId="0" borderId="3" xfId="0" applyFont="1" applyBorder="1"/>
    <xf numFmtId="0" fontId="2" fillId="0" borderId="0" xfId="0" applyFont="1" applyAlignment="1">
      <alignment vertical="center"/>
    </xf>
    <xf numFmtId="0" fontId="18" fillId="0" borderId="0" xfId="0" applyFont="1" applyAlignment="1">
      <alignment horizontal="center" vertical="center"/>
    </xf>
    <xf numFmtId="0" fontId="7" fillId="0" borderId="0" xfId="0" applyFont="1" applyAlignment="1">
      <alignment horizontal="center" vertical="center"/>
    </xf>
    <xf numFmtId="0" fontId="15" fillId="0" borderId="0" xfId="0" applyFont="1" applyAlignment="1">
      <alignment horizontal="left"/>
    </xf>
    <xf numFmtId="0" fontId="9" fillId="2" borderId="9" xfId="0" applyFont="1" applyFill="1" applyBorder="1" applyAlignment="1">
      <alignment horizontal="left"/>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xf>
    <xf numFmtId="0" fontId="9" fillId="2" borderId="0" xfId="0" applyFont="1" applyFill="1"/>
    <xf numFmtId="0" fontId="7" fillId="0" borderId="0" xfId="0" applyFont="1"/>
    <xf numFmtId="0" fontId="9" fillId="9" borderId="0" xfId="0" applyFont="1" applyFill="1"/>
    <xf numFmtId="0" fontId="19" fillId="10" borderId="0" xfId="0" applyFont="1" applyFill="1"/>
    <xf numFmtId="0" fontId="9" fillId="9" borderId="0" xfId="0" applyFont="1" applyFill="1" applyAlignment="1">
      <alignment vertical="center"/>
    </xf>
    <xf numFmtId="0" fontId="9" fillId="8" borderId="0" xfId="0" applyFont="1" applyFill="1" applyAlignment="1">
      <alignment vertical="center"/>
    </xf>
    <xf numFmtId="0" fontId="2" fillId="0" borderId="0" xfId="0" applyFont="1"/>
    <xf numFmtId="0" fontId="9" fillId="0" borderId="0" xfId="0" applyFont="1" applyAlignment="1">
      <alignment horizontal="center"/>
    </xf>
    <xf numFmtId="0" fontId="20" fillId="0" borderId="0" xfId="0" applyFont="1" applyAlignment="1">
      <alignment horizontal="left" vertical="center"/>
    </xf>
    <xf numFmtId="0" fontId="1" fillId="0" borderId="0" xfId="0" applyFont="1" applyAlignment="1">
      <alignment vertical="center"/>
    </xf>
    <xf numFmtId="167" fontId="5" fillId="0" borderId="0" xfId="0" applyNumberFormat="1" applyFont="1" applyAlignment="1">
      <alignment horizontal="left" vertical="center"/>
    </xf>
    <xf numFmtId="0" fontId="5" fillId="0" borderId="0" xfId="0" applyFont="1" applyAlignment="1">
      <alignment vertical="center" wrapText="1"/>
    </xf>
    <xf numFmtId="0" fontId="9" fillId="11"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168" fontId="6" fillId="0" borderId="0" xfId="0" applyNumberFormat="1" applyFont="1" applyAlignment="1">
      <alignment vertical="center"/>
    </xf>
    <xf numFmtId="0" fontId="5" fillId="0" borderId="4" xfId="0" applyFont="1" applyBorder="1" applyAlignment="1">
      <alignment horizontal="center"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wrapText="1"/>
    </xf>
    <xf numFmtId="4" fontId="1" fillId="2" borderId="4" xfId="1" applyNumberFormat="1" applyFont="1" applyFill="1" applyBorder="1" applyAlignment="1" applyProtection="1">
      <alignment horizontal="center" vertical="center"/>
      <protection locked="0"/>
    </xf>
    <xf numFmtId="4" fontId="1" fillId="0" borderId="4" xfId="1" applyNumberFormat="1" applyFont="1" applyBorder="1" applyAlignment="1" applyProtection="1">
      <alignment horizontal="center" vertical="center"/>
    </xf>
    <xf numFmtId="10" fontId="1" fillId="0" borderId="4" xfId="3" applyNumberFormat="1" applyFont="1" applyBorder="1" applyAlignment="1" applyProtection="1">
      <alignment horizontal="center" vertical="center"/>
    </xf>
    <xf numFmtId="4" fontId="5" fillId="0" borderId="4" xfId="1" applyNumberFormat="1" applyFont="1" applyBorder="1" applyAlignment="1" applyProtection="1">
      <alignment horizontal="center" vertical="center"/>
    </xf>
    <xf numFmtId="3" fontId="1" fillId="0" borderId="4" xfId="0" applyNumberFormat="1" applyFont="1" applyBorder="1" applyAlignment="1">
      <alignment horizontal="center" vertical="center"/>
    </xf>
    <xf numFmtId="164" fontId="12" fillId="7" borderId="4" xfId="1" applyFont="1" applyFill="1" applyBorder="1" applyAlignment="1" applyProtection="1">
      <alignment horizontal="center" vertical="center"/>
    </xf>
    <xf numFmtId="10" fontId="1" fillId="2" borderId="4" xfId="3" applyNumberFormat="1" applyFont="1" applyFill="1" applyBorder="1" applyAlignment="1" applyProtection="1">
      <alignment horizontal="center" vertical="center"/>
      <protection locked="0"/>
    </xf>
    <xf numFmtId="2" fontId="1" fillId="0" borderId="4" xfId="3" applyNumberFormat="1" applyFont="1" applyBorder="1" applyAlignment="1" applyProtection="1">
      <alignment horizontal="center" vertical="center"/>
    </xf>
    <xf numFmtId="0" fontId="5" fillId="0" borderId="0" xfId="0" applyFont="1" applyAlignment="1">
      <alignment vertical="center"/>
    </xf>
    <xf numFmtId="0" fontId="5" fillId="0" borderId="12" xfId="0" applyFont="1" applyBorder="1" applyAlignment="1">
      <alignment horizontal="center" vertical="center"/>
    </xf>
    <xf numFmtId="4" fontId="5" fillId="0" borderId="12" xfId="1" applyNumberFormat="1" applyFont="1" applyBorder="1" applyAlignment="1" applyProtection="1">
      <alignment horizontal="center" vertical="center"/>
    </xf>
    <xf numFmtId="0" fontId="5" fillId="11"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41" xfId="0" applyFont="1" applyBorder="1" applyAlignment="1">
      <alignment vertical="center"/>
    </xf>
    <xf numFmtId="10" fontId="5" fillId="0" borderId="4" xfId="3" applyNumberFormat="1" applyFont="1" applyBorder="1" applyAlignment="1" applyProtection="1">
      <alignment horizontal="center" vertical="center"/>
    </xf>
    <xf numFmtId="2" fontId="1" fillId="2" borderId="4" xfId="0" applyNumberFormat="1" applyFont="1" applyFill="1" applyBorder="1" applyAlignment="1" applyProtection="1">
      <alignment horizontal="center" vertical="center"/>
      <protection locked="0"/>
    </xf>
    <xf numFmtId="0" fontId="1" fillId="0" borderId="18" xfId="0" applyFont="1" applyBorder="1" applyAlignment="1">
      <alignment vertical="center"/>
    </xf>
    <xf numFmtId="0" fontId="1" fillId="0" borderId="42" xfId="0" applyFont="1" applyBorder="1" applyAlignment="1">
      <alignment vertical="center"/>
    </xf>
    <xf numFmtId="164" fontId="1" fillId="0" borderId="21" xfId="1" applyFont="1" applyBorder="1" applyAlignment="1" applyProtection="1">
      <alignment vertical="center"/>
    </xf>
    <xf numFmtId="0" fontId="1" fillId="2" borderId="4" xfId="0" applyFont="1" applyFill="1" applyBorder="1" applyAlignment="1" applyProtection="1">
      <alignment horizontal="center" vertical="center"/>
      <protection locked="0"/>
    </xf>
    <xf numFmtId="0" fontId="1" fillId="0" borderId="41" xfId="0" applyFont="1" applyBorder="1" applyAlignment="1">
      <alignment horizontal="center" vertical="center"/>
    </xf>
    <xf numFmtId="2" fontId="1" fillId="2" borderId="4" xfId="0" applyNumberFormat="1" applyFont="1" applyFill="1" applyBorder="1" applyAlignment="1" applyProtection="1">
      <alignment horizontal="center" vertical="center" wrapText="1"/>
      <protection locked="0"/>
    </xf>
    <xf numFmtId="4" fontId="21" fillId="0" borderId="4" xfId="0" applyNumberFormat="1" applyFont="1" applyBorder="1" applyAlignment="1">
      <alignment horizontal="center" vertical="center"/>
    </xf>
    <xf numFmtId="10" fontId="1" fillId="2" borderId="4" xfId="0"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64" fontId="1" fillId="0" borderId="0" xfId="1" applyFont="1" applyBorder="1" applyProtection="1"/>
    <xf numFmtId="10"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167" fontId="1" fillId="0" borderId="4" xfId="0" applyNumberFormat="1" applyFont="1" applyBorder="1" applyAlignment="1">
      <alignment horizontal="center" vertical="center"/>
    </xf>
    <xf numFmtId="2" fontId="1" fillId="0" borderId="4" xfId="0" applyNumberFormat="1" applyFont="1" applyBorder="1" applyAlignment="1">
      <alignment horizontal="center" vertical="center"/>
    </xf>
    <xf numFmtId="0" fontId="1" fillId="0" borderId="0" xfId="0" applyFont="1" applyAlignment="1">
      <alignment horizontal="left"/>
    </xf>
    <xf numFmtId="0" fontId="22" fillId="11" borderId="4" xfId="0" applyFont="1" applyFill="1" applyBorder="1" applyAlignment="1">
      <alignment horizontal="center" vertical="center" wrapText="1"/>
    </xf>
    <xf numFmtId="0" fontId="1" fillId="0" borderId="33" xfId="0" applyFont="1" applyBorder="1"/>
    <xf numFmtId="0" fontId="1" fillId="0" borderId="12" xfId="0" applyFont="1" applyBorder="1"/>
    <xf numFmtId="0" fontId="2" fillId="0" borderId="1" xfId="0" applyFont="1" applyBorder="1"/>
    <xf numFmtId="0" fontId="2" fillId="0" borderId="44" xfId="0" applyFont="1" applyBorder="1" applyAlignment="1">
      <alignment vertical="center"/>
    </xf>
    <xf numFmtId="0" fontId="2" fillId="0" borderId="3" xfId="0" applyFont="1" applyBorder="1"/>
    <xf numFmtId="0" fontId="2" fillId="0" borderId="45" xfId="0" applyFont="1" applyBorder="1" applyAlignment="1">
      <alignment vertical="center"/>
    </xf>
    <xf numFmtId="0" fontId="10" fillId="0" borderId="3" xfId="0" applyFont="1" applyBorder="1"/>
    <xf numFmtId="0" fontId="24" fillId="0" borderId="17" xfId="0" applyFont="1" applyBorder="1" applyAlignment="1">
      <alignment horizontal="center"/>
    </xf>
    <xf numFmtId="0" fontId="24" fillId="0" borderId="4" xfId="0" applyFont="1" applyBorder="1" applyAlignment="1">
      <alignment horizontal="center"/>
    </xf>
    <xf numFmtId="0" fontId="24" fillId="0" borderId="19" xfId="0" applyFont="1" applyBorder="1" applyAlignment="1">
      <alignment horizontal="center"/>
    </xf>
    <xf numFmtId="0" fontId="25" fillId="11"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vertical="center"/>
    </xf>
    <xf numFmtId="10" fontId="10" fillId="2" borderId="19" xfId="0" applyNumberFormat="1" applyFont="1" applyFill="1" applyBorder="1" applyAlignment="1" applyProtection="1">
      <alignment horizontal="center" vertical="center"/>
      <protection locked="0"/>
    </xf>
    <xf numFmtId="10" fontId="10" fillId="0" borderId="19" xfId="0" applyNumberFormat="1" applyFont="1" applyBorder="1" applyAlignment="1">
      <alignment horizontal="center" vertical="center"/>
    </xf>
    <xf numFmtId="2" fontId="0" fillId="0" borderId="0" xfId="0" applyNumberFormat="1"/>
    <xf numFmtId="10" fontId="25" fillId="11" borderId="19" xfId="0" applyNumberFormat="1" applyFont="1" applyFill="1" applyBorder="1" applyAlignment="1">
      <alignment horizontal="center" vertical="center"/>
    </xf>
    <xf numFmtId="0" fontId="10" fillId="0" borderId="18" xfId="0" applyFont="1" applyBorder="1" applyAlignment="1">
      <alignment vertical="center"/>
    </xf>
    <xf numFmtId="10" fontId="19" fillId="13" borderId="19" xfId="3" applyNumberFormat="1" applyFont="1" applyFill="1" applyBorder="1" applyAlignment="1" applyProtection="1">
      <alignment horizontal="center" vertical="center"/>
    </xf>
    <xf numFmtId="10" fontId="26" fillId="0" borderId="19" xfId="0" applyNumberFormat="1" applyFont="1" applyBorder="1" applyAlignment="1">
      <alignment horizontal="center" vertical="center"/>
    </xf>
    <xf numFmtId="10" fontId="16" fillId="0" borderId="14" xfId="0" applyNumberFormat="1" applyFont="1" applyBorder="1" applyAlignment="1">
      <alignment horizontal="center" vertical="center"/>
    </xf>
    <xf numFmtId="10" fontId="27" fillId="0" borderId="19" xfId="0" applyNumberFormat="1" applyFont="1" applyBorder="1" applyAlignment="1">
      <alignment horizontal="center" vertical="center"/>
    </xf>
    <xf numFmtId="0" fontId="26" fillId="0" borderId="17" xfId="0" applyFont="1" applyBorder="1" applyAlignment="1">
      <alignment horizontal="center" vertical="center"/>
    </xf>
    <xf numFmtId="0" fontId="26" fillId="0" borderId="4" xfId="0" applyFont="1" applyBorder="1" applyAlignment="1">
      <alignment horizontal="left" vertical="center"/>
    </xf>
    <xf numFmtId="0" fontId="9" fillId="14" borderId="17"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8" fillId="14" borderId="19" xfId="0" applyFont="1" applyFill="1" applyBorder="1" applyAlignment="1">
      <alignment horizontal="center" vertical="center" wrapText="1"/>
    </xf>
    <xf numFmtId="10" fontId="9" fillId="14" borderId="4" xfId="0" applyNumberFormat="1" applyFont="1" applyFill="1" applyBorder="1" applyAlignment="1">
      <alignment horizontal="center" vertical="center" wrapText="1"/>
    </xf>
    <xf numFmtId="10" fontId="11" fillId="14" borderId="19" xfId="0" applyNumberFormat="1" applyFont="1" applyFill="1" applyBorder="1" applyAlignment="1">
      <alignment horizontal="center" vertical="center" wrapText="1"/>
    </xf>
    <xf numFmtId="0" fontId="10" fillId="0" borderId="17" xfId="0"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0" borderId="19" xfId="0" applyNumberFormat="1" applyFont="1" applyBorder="1" applyAlignment="1">
      <alignment horizontal="center" vertical="center" wrapText="1"/>
    </xf>
    <xf numFmtId="0" fontId="26" fillId="14" borderId="17" xfId="0" applyFont="1" applyFill="1" applyBorder="1" applyAlignment="1">
      <alignment horizontal="center" vertical="center" wrapText="1"/>
    </xf>
    <xf numFmtId="10" fontId="26" fillId="14" borderId="4" xfId="0" applyNumberFormat="1" applyFont="1" applyFill="1" applyBorder="1" applyAlignment="1">
      <alignment horizontal="center" vertical="center" wrapText="1"/>
    </xf>
    <xf numFmtId="10" fontId="26" fillId="14" borderId="19" xfId="0" applyNumberFormat="1" applyFont="1" applyFill="1" applyBorder="1" applyAlignment="1">
      <alignment horizontal="center" vertical="center" wrapText="1"/>
    </xf>
    <xf numFmtId="10" fontId="10" fillId="0" borderId="47" xfId="0" applyNumberFormat="1" applyFont="1" applyBorder="1" applyAlignment="1">
      <alignment horizontal="center" vertical="center" wrapText="1"/>
    </xf>
    <xf numFmtId="0" fontId="26" fillId="0" borderId="17" xfId="0" applyFont="1" applyBorder="1" applyAlignment="1">
      <alignment horizontal="center" vertical="center" wrapText="1"/>
    </xf>
    <xf numFmtId="10" fontId="26" fillId="0" borderId="4" xfId="0" applyNumberFormat="1" applyFont="1" applyBorder="1" applyAlignment="1">
      <alignment horizontal="center" vertical="center" wrapText="1"/>
    </xf>
    <xf numFmtId="10" fontId="29" fillId="0" borderId="47" xfId="0" applyNumberFormat="1" applyFont="1" applyBorder="1" applyAlignment="1">
      <alignment horizontal="center" vertical="center" wrapText="1"/>
    </xf>
    <xf numFmtId="0" fontId="19" fillId="13" borderId="3" xfId="0" applyFont="1" applyFill="1" applyBorder="1" applyAlignment="1">
      <alignment horizontal="left" vertical="center"/>
    </xf>
    <xf numFmtId="0" fontId="19" fillId="13" borderId="0" xfId="0" applyFont="1" applyFill="1"/>
    <xf numFmtId="0" fontId="19" fillId="13" borderId="45" xfId="0" applyFont="1" applyFill="1" applyBorder="1"/>
    <xf numFmtId="0" fontId="26" fillId="14" borderId="22" xfId="0" applyFont="1" applyFill="1" applyBorder="1" applyAlignment="1">
      <alignment horizontal="center" vertical="center" wrapText="1"/>
    </xf>
    <xf numFmtId="10" fontId="26" fillId="14" borderId="23" xfId="0" applyNumberFormat="1" applyFont="1" applyFill="1" applyBorder="1" applyAlignment="1">
      <alignment horizontal="center" vertical="center" wrapText="1"/>
    </xf>
    <xf numFmtId="10" fontId="29" fillId="14" borderId="25" xfId="0" applyNumberFormat="1" applyFont="1" applyFill="1" applyBorder="1" applyAlignment="1">
      <alignment horizontal="center" vertical="center" wrapText="1"/>
    </xf>
    <xf numFmtId="0" fontId="9" fillId="0" borderId="1" xfId="0" applyFont="1" applyBorder="1"/>
    <xf numFmtId="0" fontId="9" fillId="0" borderId="2" xfId="0" applyFont="1" applyBorder="1"/>
    <xf numFmtId="0" fontId="9" fillId="0" borderId="44" xfId="0" applyFont="1" applyBorder="1"/>
    <xf numFmtId="0" fontId="9" fillId="0" borderId="3" xfId="0" applyFont="1" applyBorder="1"/>
    <xf numFmtId="0" fontId="9" fillId="0" borderId="45" xfId="0" applyFont="1" applyBorder="1"/>
    <xf numFmtId="0" fontId="20" fillId="0" borderId="0" xfId="0" applyFont="1" applyAlignment="1">
      <alignment horizontal="center" vertical="center"/>
    </xf>
    <xf numFmtId="0" fontId="5" fillId="0" borderId="0" xfId="0" applyFont="1" applyAlignment="1">
      <alignment horizontal="center" vertical="center"/>
    </xf>
    <xf numFmtId="0" fontId="7" fillId="11" borderId="4"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26" fillId="11" borderId="4"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8" fillId="5" borderId="11" xfId="0" applyFont="1" applyFill="1" applyBorder="1" applyAlignment="1">
      <alignment horizontal="center" vertical="center" wrapText="1"/>
    </xf>
    <xf numFmtId="1" fontId="2" fillId="0" borderId="4" xfId="0" applyNumberFormat="1" applyFont="1" applyBorder="1" applyAlignment="1">
      <alignment horizontal="center" vertical="center" wrapText="1"/>
    </xf>
    <xf numFmtId="2" fontId="9" fillId="2" borderId="4" xfId="0" applyNumberFormat="1" applyFont="1" applyFill="1" applyBorder="1" applyAlignment="1" applyProtection="1">
      <alignment horizontal="center" vertical="center"/>
      <protection locked="0"/>
    </xf>
    <xf numFmtId="0" fontId="9" fillId="2" borderId="19" xfId="0" applyFont="1" applyFill="1" applyBorder="1" applyAlignment="1" applyProtection="1">
      <alignment vertical="center" wrapText="1"/>
      <protection locked="0"/>
    </xf>
    <xf numFmtId="2" fontId="9" fillId="0" borderId="4" xfId="0" applyNumberFormat="1" applyFont="1" applyBorder="1" applyAlignment="1">
      <alignment horizontal="center" vertical="center" wrapText="1"/>
    </xf>
    <xf numFmtId="0" fontId="11" fillId="0" borderId="17" xfId="0" applyFont="1" applyBorder="1" applyAlignment="1">
      <alignment horizontal="center" vertical="center"/>
    </xf>
    <xf numFmtId="0" fontId="16" fillId="0" borderId="4" xfId="0" applyFont="1" applyBorder="1" applyAlignment="1">
      <alignment horizontal="justify" vertical="center" wrapText="1"/>
    </xf>
    <xf numFmtId="0" fontId="16" fillId="0" borderId="4" xfId="0" applyFont="1" applyBorder="1" applyAlignment="1">
      <alignment horizontal="center" vertical="center" wrapText="1"/>
    </xf>
    <xf numFmtId="0" fontId="16" fillId="0" borderId="4" xfId="0" applyFont="1" applyBorder="1" applyAlignment="1">
      <alignment vertical="center" wrapText="1"/>
    </xf>
    <xf numFmtId="0" fontId="16" fillId="0" borderId="4" xfId="0" applyFont="1" applyBorder="1" applyAlignment="1">
      <alignment horizontal="left" vertical="center" wrapText="1"/>
    </xf>
    <xf numFmtId="0" fontId="9" fillId="0" borderId="4" xfId="0" applyFont="1" applyBorder="1" applyAlignment="1">
      <alignment horizontal="center" wrapText="1"/>
    </xf>
    <xf numFmtId="169" fontId="7" fillId="11" borderId="25" xfId="0" applyNumberFormat="1" applyFont="1" applyFill="1" applyBorder="1" applyAlignment="1">
      <alignment vertical="center"/>
    </xf>
    <xf numFmtId="0" fontId="18" fillId="11" borderId="4" xfId="0" applyFont="1" applyFill="1" applyBorder="1" applyAlignment="1">
      <alignment horizontal="center" vertical="center"/>
    </xf>
    <xf numFmtId="2" fontId="18" fillId="11" borderId="4" xfId="0" applyNumberFormat="1" applyFont="1" applyFill="1" applyBorder="1" applyAlignment="1">
      <alignment horizontal="center" vertical="center"/>
    </xf>
    <xf numFmtId="0" fontId="11" fillId="0" borderId="0" xfId="0" applyFont="1" applyAlignment="1">
      <alignment horizontal="center" vertical="center"/>
    </xf>
    <xf numFmtId="0" fontId="9" fillId="0" borderId="3" xfId="0" applyFont="1" applyBorder="1" applyAlignment="1">
      <alignment horizontal="center" vertical="center"/>
    </xf>
    <xf numFmtId="0" fontId="0" fillId="0" borderId="45" xfId="0" applyBorder="1"/>
    <xf numFmtId="0" fontId="7" fillId="0" borderId="3" xfId="0" applyFont="1" applyBorder="1" applyAlignment="1">
      <alignment horizontal="center" vertical="center"/>
    </xf>
    <xf numFmtId="0" fontId="7" fillId="0" borderId="45" xfId="0" applyFont="1" applyBorder="1" applyAlignment="1">
      <alignment horizontal="center" vertical="center"/>
    </xf>
    <xf numFmtId="0" fontId="26" fillId="15" borderId="12" xfId="0" applyFont="1" applyFill="1" applyBorder="1" applyAlignment="1">
      <alignment horizontal="center" vertical="center" wrapText="1"/>
    </xf>
    <xf numFmtId="0" fontId="7" fillId="2" borderId="19" xfId="0" applyFont="1" applyFill="1" applyBorder="1" applyAlignment="1" applyProtection="1">
      <alignment horizontal="center" vertical="center" wrapText="1"/>
      <protection locked="0"/>
    </xf>
    <xf numFmtId="0" fontId="14" fillId="0" borderId="17" xfId="0" applyFont="1" applyBorder="1" applyAlignment="1">
      <alignment horizontal="center" vertical="center"/>
    </xf>
    <xf numFmtId="0" fontId="16" fillId="0" borderId="19" xfId="0" applyFont="1" applyBorder="1" applyAlignment="1">
      <alignment horizontal="justify" wrapText="1"/>
    </xf>
    <xf numFmtId="0" fontId="31" fillId="0" borderId="4" xfId="0" applyFont="1" applyBorder="1" applyAlignment="1">
      <alignment horizontal="center" vertical="center" wrapText="1"/>
    </xf>
    <xf numFmtId="169" fontId="7" fillId="0" borderId="25" xfId="0" applyNumberFormat="1" applyFont="1" applyBorder="1" applyAlignment="1">
      <alignment vertical="center"/>
    </xf>
    <xf numFmtId="0" fontId="18" fillId="11" borderId="4" xfId="0" applyFont="1" applyFill="1" applyBorder="1" applyAlignment="1">
      <alignment horizontal="center"/>
    </xf>
    <xf numFmtId="2" fontId="18" fillId="11" borderId="4" xfId="0" applyNumberFormat="1" applyFont="1" applyFill="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44" xfId="0" applyFont="1" applyBorder="1"/>
    <xf numFmtId="0" fontId="6" fillId="0" borderId="0" xfId="0" applyFont="1" applyAlignment="1">
      <alignment horizontal="center"/>
    </xf>
    <xf numFmtId="0" fontId="6" fillId="0" borderId="0" xfId="0" applyFont="1"/>
    <xf numFmtId="0" fontId="6" fillId="0" borderId="45" xfId="0" applyFont="1" applyBorder="1"/>
    <xf numFmtId="0" fontId="18" fillId="0" borderId="3" xfId="0" applyFont="1" applyBorder="1" applyAlignment="1">
      <alignment horizontal="center" vertical="center"/>
    </xf>
    <xf numFmtId="9" fontId="32" fillId="0" borderId="45" xfId="0" applyNumberFormat="1" applyFont="1" applyBorder="1" applyAlignment="1">
      <alignment horizontal="center" vertical="center"/>
    </xf>
    <xf numFmtId="0" fontId="7" fillId="11" borderId="17" xfId="0" applyFont="1" applyFill="1" applyBorder="1" applyAlignment="1">
      <alignment horizontal="center" vertical="center" wrapText="1"/>
    </xf>
    <xf numFmtId="4" fontId="7" fillId="11" borderId="4" xfId="0" applyNumberFormat="1" applyFont="1" applyFill="1" applyBorder="1" applyAlignment="1">
      <alignment horizontal="center" vertical="center" wrapText="1"/>
    </xf>
    <xf numFmtId="4" fontId="7" fillId="11" borderId="19" xfId="0" applyNumberFormat="1" applyFont="1" applyFill="1" applyBorder="1" applyAlignment="1">
      <alignment horizontal="center" vertical="center" wrapText="1"/>
    </xf>
    <xf numFmtId="0" fontId="9" fillId="0" borderId="4" xfId="0" applyFont="1" applyBorder="1"/>
    <xf numFmtId="0" fontId="7" fillId="0" borderId="17" xfId="1" applyNumberFormat="1" applyFont="1" applyBorder="1" applyAlignment="1" applyProtection="1">
      <alignment horizontal="center" vertical="center"/>
    </xf>
    <xf numFmtId="164" fontId="16" fillId="0" borderId="4" xfId="1" applyFont="1" applyBorder="1" applyAlignment="1" applyProtection="1">
      <alignment wrapText="1"/>
    </xf>
    <xf numFmtId="0" fontId="9" fillId="0" borderId="4" xfId="1" applyNumberFormat="1" applyFont="1" applyBorder="1" applyAlignment="1" applyProtection="1">
      <alignment horizontal="center" vertical="center"/>
    </xf>
    <xf numFmtId="4" fontId="9" fillId="2" borderId="4" xfId="1" applyNumberFormat="1" applyFont="1" applyFill="1" applyBorder="1" applyAlignment="1" applyProtection="1">
      <alignment horizontal="center" vertical="center" wrapText="1"/>
      <protection locked="0"/>
    </xf>
    <xf numFmtId="4" fontId="9" fillId="0" borderId="4" xfId="1" applyNumberFormat="1" applyFont="1" applyBorder="1" applyAlignment="1" applyProtection="1">
      <alignment horizontal="center" vertical="center"/>
    </xf>
    <xf numFmtId="4" fontId="9" fillId="0" borderId="18" xfId="1" applyNumberFormat="1" applyFont="1" applyBorder="1" applyAlignment="1" applyProtection="1">
      <alignment horizontal="center" vertical="center"/>
    </xf>
    <xf numFmtId="4" fontId="27" fillId="11" borderId="25" xfId="1" applyNumberFormat="1" applyFont="1" applyFill="1" applyBorder="1" applyAlignment="1" applyProtection="1">
      <alignment horizontal="center" vertical="center"/>
    </xf>
    <xf numFmtId="4" fontId="9" fillId="2" borderId="4" xfId="1" applyNumberFormat="1" applyFont="1" applyFill="1" applyBorder="1" applyAlignment="1" applyProtection="1">
      <alignment horizontal="center" vertical="center"/>
      <protection locked="0"/>
    </xf>
    <xf numFmtId="4" fontId="9" fillId="0" borderId="19" xfId="1" applyNumberFormat="1" applyFont="1" applyBorder="1" applyAlignment="1" applyProtection="1">
      <alignment horizontal="center" vertical="center"/>
    </xf>
    <xf numFmtId="1" fontId="1" fillId="0" borderId="0" xfId="0" applyNumberFormat="1" applyFont="1" applyAlignment="1">
      <alignment horizontal="center"/>
    </xf>
    <xf numFmtId="2" fontId="1" fillId="0" borderId="0" xfId="0" applyNumberFormat="1" applyFont="1" applyAlignment="1">
      <alignment horizontal="center"/>
    </xf>
    <xf numFmtId="4" fontId="1" fillId="0" borderId="0" xfId="0" applyNumberFormat="1" applyFont="1" applyAlignment="1">
      <alignment horizontal="center"/>
    </xf>
    <xf numFmtId="0" fontId="0" fillId="0" borderId="0" xfId="0" applyAlignment="1">
      <alignment horizontal="center"/>
    </xf>
    <xf numFmtId="0" fontId="17" fillId="0" borderId="50" xfId="0" applyFont="1" applyBorder="1" applyAlignment="1">
      <alignment horizontal="left" vertical="center"/>
    </xf>
    <xf numFmtId="0" fontId="17" fillId="0" borderId="31" xfId="0" applyFont="1" applyBorder="1" applyAlignment="1">
      <alignment horizontal="left"/>
    </xf>
    <xf numFmtId="1" fontId="17" fillId="0" borderId="31" xfId="0" applyNumberFormat="1" applyFont="1" applyBorder="1" applyAlignment="1">
      <alignment horizontal="center"/>
    </xf>
    <xf numFmtId="0" fontId="17" fillId="0" borderId="31" xfId="0" applyFont="1" applyBorder="1"/>
    <xf numFmtId="0" fontId="1" fillId="0" borderId="31" xfId="0" applyFont="1" applyBorder="1"/>
    <xf numFmtId="1" fontId="1" fillId="0" borderId="31" xfId="0" applyNumberFormat="1" applyFont="1" applyBorder="1" applyAlignment="1">
      <alignment horizontal="center"/>
    </xf>
    <xf numFmtId="2" fontId="1" fillId="0" borderId="31" xfId="0" applyNumberFormat="1" applyFont="1" applyBorder="1" applyAlignment="1">
      <alignment horizontal="center"/>
    </xf>
    <xf numFmtId="4" fontId="1" fillId="0" borderId="31" xfId="0" applyNumberFormat="1" applyFont="1" applyBorder="1" applyAlignment="1">
      <alignment horizontal="center"/>
    </xf>
    <xf numFmtId="0" fontId="1" fillId="0" borderId="51" xfId="0" applyFont="1" applyBorder="1"/>
    <xf numFmtId="0" fontId="1" fillId="0" borderId="3" xfId="0" applyFont="1" applyBorder="1"/>
    <xf numFmtId="0" fontId="17" fillId="0" borderId="3" xfId="0" applyFont="1" applyBorder="1" applyAlignment="1">
      <alignment horizontal="left" vertical="center"/>
    </xf>
    <xf numFmtId="0" fontId="17" fillId="0" borderId="0" xfId="0" applyFont="1" applyAlignment="1">
      <alignment horizontal="left"/>
    </xf>
    <xf numFmtId="1" fontId="17" fillId="0" borderId="0" xfId="0" applyNumberFormat="1" applyFont="1" applyAlignment="1">
      <alignment horizontal="center"/>
    </xf>
    <xf numFmtId="0" fontId="17" fillId="0" borderId="0" xfId="0" applyFont="1"/>
    <xf numFmtId="0" fontId="17" fillId="0" borderId="0" xfId="0" applyFont="1" applyAlignment="1">
      <alignment horizontal="left" vertical="center"/>
    </xf>
    <xf numFmtId="1" fontId="17" fillId="0" borderId="0" xfId="0" applyNumberFormat="1" applyFont="1" applyAlignment="1">
      <alignment horizontal="center" vertical="center"/>
    </xf>
    <xf numFmtId="0" fontId="17" fillId="0" borderId="0" xfId="0" applyFont="1" applyAlignment="1">
      <alignment vertical="center"/>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4" fontId="1" fillId="0" borderId="0" xfId="0" applyNumberFormat="1" applyFont="1" applyAlignment="1">
      <alignment horizontal="center" vertical="center"/>
    </xf>
    <xf numFmtId="0" fontId="1" fillId="0" borderId="52" xfId="0" applyFont="1" applyBorder="1" applyAlignment="1">
      <alignment vertical="center"/>
    </xf>
    <xf numFmtId="0" fontId="1" fillId="0" borderId="3" xfId="0" applyFont="1" applyBorder="1" applyAlignment="1">
      <alignment vertical="center"/>
    </xf>
    <xf numFmtId="0" fontId="6" fillId="11" borderId="10" xfId="0" applyFont="1" applyFill="1" applyBorder="1"/>
    <xf numFmtId="0" fontId="6" fillId="0" borderId="3" xfId="0" applyFont="1" applyBorder="1"/>
    <xf numFmtId="0" fontId="1" fillId="5" borderId="43" xfId="0" applyFont="1" applyFill="1" applyBorder="1"/>
    <xf numFmtId="0" fontId="1" fillId="0" borderId="16" xfId="0" applyFont="1" applyBorder="1"/>
    <xf numFmtId="0" fontId="7" fillId="0" borderId="4" xfId="0" applyFont="1" applyBorder="1" applyAlignment="1">
      <alignment horizontal="center" vertical="center"/>
    </xf>
    <xf numFmtId="0" fontId="30" fillId="0" borderId="4" xfId="0" applyFont="1" applyBorder="1" applyAlignment="1">
      <alignment horizontal="center" vertical="center"/>
    </xf>
    <xf numFmtId="1" fontId="30" fillId="0" borderId="4" xfId="0" applyNumberFormat="1" applyFont="1" applyBorder="1" applyAlignment="1">
      <alignment horizontal="center" vertical="center"/>
    </xf>
    <xf numFmtId="1" fontId="34"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4" fontId="7" fillId="0" borderId="4" xfId="0" applyNumberFormat="1" applyFont="1" applyBorder="1" applyAlignment="1">
      <alignment horizontal="center" vertical="center"/>
    </xf>
    <xf numFmtId="1" fontId="9" fillId="0" borderId="4" xfId="1" applyNumberFormat="1" applyFont="1" applyBorder="1" applyAlignment="1" applyProtection="1">
      <alignment horizontal="center" vertical="center"/>
    </xf>
    <xf numFmtId="0" fontId="27" fillId="0" borderId="4" xfId="0" applyFont="1" applyBorder="1" applyAlignment="1">
      <alignment vertical="center" wrapText="1"/>
    </xf>
    <xf numFmtId="2" fontId="1" fillId="16" borderId="4" xfId="0" applyNumberFormat="1" applyFont="1" applyFill="1" applyBorder="1" applyAlignment="1" applyProtection="1">
      <alignment horizontal="center" vertical="center"/>
      <protection locked="0"/>
    </xf>
    <xf numFmtId="0" fontId="35" fillId="0" borderId="21" xfId="0" applyFont="1" applyBorder="1" applyAlignment="1">
      <alignment horizontal="center" vertical="center"/>
    </xf>
    <xf numFmtId="0" fontId="16" fillId="0" borderId="55" xfId="0" applyFont="1" applyBorder="1" applyAlignment="1">
      <alignment vertical="center" wrapText="1"/>
    </xf>
    <xf numFmtId="0" fontId="16" fillId="0" borderId="0" xfId="0" applyFont="1" applyAlignment="1">
      <alignment vertical="center" wrapText="1"/>
    </xf>
    <xf numFmtId="1" fontId="4" fillId="0" borderId="4" xfId="0" applyNumberFormat="1" applyFont="1" applyBorder="1" applyAlignment="1">
      <alignment horizontal="center" vertical="center" wrapText="1"/>
    </xf>
    <xf numFmtId="4" fontId="7" fillId="0" borderId="4" xfId="1" applyNumberFormat="1" applyFont="1" applyBorder="1" applyAlignment="1" applyProtection="1">
      <alignment horizontal="center" vertical="center"/>
    </xf>
    <xf numFmtId="0" fontId="1" fillId="0" borderId="4" xfId="0" applyFont="1" applyBorder="1" applyAlignment="1">
      <alignment vertical="center"/>
    </xf>
    <xf numFmtId="4" fontId="36" fillId="11" borderId="4" xfId="1" applyNumberFormat="1" applyFont="1" applyFill="1" applyBorder="1" applyAlignment="1" applyProtection="1">
      <alignment horizontal="center" vertical="center"/>
    </xf>
    <xf numFmtId="0" fontId="1" fillId="11" borderId="4" xfId="0" applyFont="1" applyFill="1" applyBorder="1" applyAlignment="1">
      <alignment vertical="center"/>
    </xf>
    <xf numFmtId="0" fontId="33" fillId="5" borderId="56" xfId="0" applyFont="1" applyFill="1" applyBorder="1" applyAlignment="1">
      <alignment horizontal="center" vertical="center" wrapText="1"/>
    </xf>
    <xf numFmtId="0" fontId="7" fillId="5" borderId="40" xfId="0" applyFont="1" applyFill="1" applyBorder="1" applyAlignment="1">
      <alignment horizontal="center" vertical="center" wrapText="1"/>
    </xf>
    <xf numFmtId="1" fontId="37" fillId="0" borderId="4" xfId="0" applyNumberFormat="1" applyFont="1" applyBorder="1" applyAlignment="1">
      <alignment horizontal="center" vertical="center"/>
    </xf>
    <xf numFmtId="0" fontId="0" fillId="0" borderId="4" xfId="0" applyBorder="1" applyAlignment="1">
      <alignment horizontal="center" vertical="center"/>
    </xf>
    <xf numFmtId="0" fontId="27" fillId="0" borderId="4" xfId="0" applyFont="1" applyBorder="1" applyAlignment="1">
      <alignment horizontal="left" vertical="center" wrapText="1"/>
    </xf>
    <xf numFmtId="0" fontId="7" fillId="0" borderId="4" xfId="0" applyFont="1" applyBorder="1" applyAlignment="1">
      <alignment vertical="center" wrapText="1"/>
    </xf>
    <xf numFmtId="1" fontId="37" fillId="0" borderId="4" xfId="0" applyNumberFormat="1" applyFont="1" applyBorder="1" applyAlignment="1">
      <alignment horizontal="center" vertical="center" wrapText="1"/>
    </xf>
    <xf numFmtId="0" fontId="16" fillId="0" borderId="4" xfId="0" applyFont="1" applyBorder="1" applyAlignment="1">
      <alignment vertical="top" wrapText="1"/>
    </xf>
    <xf numFmtId="4" fontId="0" fillId="0" borderId="4" xfId="0" applyNumberFormat="1" applyBorder="1" applyAlignment="1">
      <alignment horizontal="center"/>
    </xf>
    <xf numFmtId="0" fontId="0" fillId="0" borderId="4" xfId="0" applyBorder="1"/>
    <xf numFmtId="0" fontId="0" fillId="11" borderId="4" xfId="0" applyFill="1" applyBorder="1"/>
    <xf numFmtId="4" fontId="9" fillId="0" borderId="0" xfId="0" applyNumberFormat="1" applyFont="1" applyAlignment="1">
      <alignment horizontal="center"/>
    </xf>
    <xf numFmtId="0" fontId="2" fillId="0" borderId="1" xfId="0" applyFont="1" applyBorder="1" applyAlignment="1">
      <alignment vertical="center"/>
    </xf>
    <xf numFmtId="0" fontId="9" fillId="0" borderId="2" xfId="0" applyFont="1" applyBorder="1" applyAlignment="1">
      <alignment vertical="center"/>
    </xf>
    <xf numFmtId="4" fontId="9" fillId="0" borderId="2" xfId="0" applyNumberFormat="1" applyFont="1" applyBorder="1" applyAlignment="1">
      <alignment horizontal="center" vertical="center"/>
    </xf>
    <xf numFmtId="4" fontId="9" fillId="0" borderId="2" xfId="0" applyNumberFormat="1" applyFont="1" applyBorder="1" applyAlignment="1">
      <alignment horizontal="center"/>
    </xf>
    <xf numFmtId="4" fontId="9" fillId="0" borderId="44" xfId="0" applyNumberFormat="1" applyFont="1" applyBorder="1" applyAlignment="1">
      <alignment horizontal="center"/>
    </xf>
    <xf numFmtId="0" fontId="2" fillId="0" borderId="3" xfId="0" applyFont="1" applyBorder="1" applyAlignment="1">
      <alignment vertical="center"/>
    </xf>
    <xf numFmtId="4" fontId="9" fillId="0" borderId="0" xfId="0" applyNumberFormat="1" applyFont="1" applyAlignment="1">
      <alignment horizontal="center" vertical="center"/>
    </xf>
    <xf numFmtId="4" fontId="9" fillId="0" borderId="45" xfId="0" applyNumberFormat="1" applyFont="1" applyBorder="1" applyAlignment="1">
      <alignment horizontal="center"/>
    </xf>
    <xf numFmtId="0" fontId="10" fillId="0" borderId="0" xfId="0" applyFont="1"/>
    <xf numFmtId="0" fontId="9" fillId="11" borderId="58" xfId="0" applyFont="1" applyFill="1" applyBorder="1" applyAlignment="1">
      <alignment vertical="center" wrapText="1"/>
    </xf>
    <xf numFmtId="0" fontId="10" fillId="0" borderId="4" xfId="0" applyFont="1" applyBorder="1" applyAlignment="1">
      <alignment horizontal="center" vertical="center" wrapText="1"/>
    </xf>
    <xf numFmtId="0" fontId="10" fillId="0" borderId="59" xfId="0" applyFont="1" applyBorder="1" applyAlignment="1">
      <alignment horizontal="center" vertical="center"/>
    </xf>
    <xf numFmtId="0" fontId="9" fillId="0" borderId="48" xfId="0" applyFont="1" applyBorder="1" applyAlignment="1">
      <alignment horizontal="center" vertical="center"/>
    </xf>
    <xf numFmtId="4" fontId="9" fillId="11" borderId="4" xfId="0" applyNumberFormat="1" applyFont="1" applyFill="1" applyBorder="1" applyAlignment="1">
      <alignment horizontal="center" vertical="center"/>
    </xf>
    <xf numFmtId="4" fontId="9" fillId="0" borderId="4" xfId="0" applyNumberFormat="1" applyFont="1" applyBorder="1" applyAlignment="1">
      <alignment horizontal="center" vertical="center"/>
    </xf>
    <xf numFmtId="4" fontId="9" fillId="0" borderId="19" xfId="0" applyNumberFormat="1" applyFont="1" applyBorder="1" applyAlignment="1">
      <alignment horizontal="center" vertical="center"/>
    </xf>
    <xf numFmtId="10" fontId="9" fillId="0" borderId="4" xfId="0" applyNumberFormat="1" applyFont="1" applyBorder="1" applyAlignment="1">
      <alignment horizontal="center" vertical="center"/>
    </xf>
    <xf numFmtId="0" fontId="9" fillId="0" borderId="40" xfId="0" applyFont="1" applyBorder="1" applyAlignment="1">
      <alignment vertical="center" wrapText="1"/>
    </xf>
    <xf numFmtId="10" fontId="9" fillId="0" borderId="40" xfId="0" applyNumberFormat="1" applyFont="1" applyBorder="1" applyAlignment="1">
      <alignment horizontal="center" vertical="center" wrapText="1"/>
    </xf>
    <xf numFmtId="4" fontId="9" fillId="11" borderId="40" xfId="0" applyNumberFormat="1" applyFont="1" applyFill="1" applyBorder="1" applyAlignment="1">
      <alignment horizontal="center" vertical="center"/>
    </xf>
    <xf numFmtId="4" fontId="9" fillId="0" borderId="40" xfId="0" applyNumberFormat="1" applyFont="1" applyBorder="1" applyAlignment="1">
      <alignment horizontal="center" vertical="center"/>
    </xf>
    <xf numFmtId="4" fontId="9" fillId="0" borderId="60" xfId="0" applyNumberFormat="1" applyFont="1" applyBorder="1" applyAlignment="1">
      <alignment horizontal="center" vertical="center"/>
    </xf>
    <xf numFmtId="4" fontId="7" fillId="11" borderId="4" xfId="0" applyNumberFormat="1" applyFont="1" applyFill="1" applyBorder="1" applyAlignment="1">
      <alignment horizontal="center" vertical="center"/>
    </xf>
    <xf numFmtId="4" fontId="7" fillId="11" borderId="19" xfId="0" applyNumberFormat="1" applyFont="1" applyFill="1" applyBorder="1" applyAlignment="1">
      <alignment horizontal="center" vertical="center"/>
    </xf>
    <xf numFmtId="10" fontId="9" fillId="0" borderId="12" xfId="0" applyNumberFormat="1" applyFont="1" applyBorder="1" applyAlignment="1">
      <alignment horizontal="center" vertical="center"/>
    </xf>
    <xf numFmtId="4" fontId="7" fillId="11" borderId="7" xfId="0" applyNumberFormat="1" applyFont="1" applyFill="1" applyBorder="1" applyAlignment="1">
      <alignment horizontal="center" vertical="center"/>
    </xf>
    <xf numFmtId="4" fontId="7" fillId="11" borderId="8" xfId="0" applyNumberFormat="1" applyFont="1" applyFill="1" applyBorder="1" applyAlignment="1">
      <alignment horizontal="center" vertical="center"/>
    </xf>
    <xf numFmtId="0" fontId="9" fillId="0" borderId="17" xfId="0" applyFont="1" applyBorder="1" applyAlignment="1">
      <alignment horizontal="center" vertical="center"/>
    </xf>
    <xf numFmtId="0" fontId="9" fillId="0" borderId="17" xfId="0" applyFont="1" applyBorder="1" applyAlignment="1">
      <alignment horizontal="left" vertical="center"/>
    </xf>
    <xf numFmtId="2" fontId="9" fillId="0" borderId="4" xfId="0" applyNumberFormat="1" applyFont="1" applyBorder="1" applyAlignment="1">
      <alignment horizontal="center" vertical="center"/>
    </xf>
    <xf numFmtId="2" fontId="9" fillId="0" borderId="4" xfId="1" applyNumberFormat="1" applyFont="1" applyBorder="1" applyAlignment="1" applyProtection="1">
      <alignment horizontal="center" vertical="center"/>
    </xf>
    <xf numFmtId="10" fontId="9" fillId="0" borderId="4" xfId="3" applyNumberFormat="1" applyFont="1" applyBorder="1" applyAlignment="1" applyProtection="1">
      <alignment horizontal="center" vertical="center"/>
    </xf>
    <xf numFmtId="0" fontId="9" fillId="0" borderId="4" xfId="0" applyFont="1" applyBorder="1" applyAlignment="1">
      <alignment horizontal="left" vertical="center"/>
    </xf>
    <xf numFmtId="2" fontId="9" fillId="0" borderId="40" xfId="1" applyNumberFormat="1" applyFont="1" applyBorder="1" applyAlignment="1" applyProtection="1">
      <alignment horizontal="center" vertical="center"/>
    </xf>
    <xf numFmtId="2" fontId="9" fillId="0" borderId="40" xfId="0" applyNumberFormat="1" applyFont="1" applyBorder="1" applyAlignment="1">
      <alignment horizontal="center" vertical="center"/>
    </xf>
    <xf numFmtId="0" fontId="9" fillId="0" borderId="37" xfId="0" applyFont="1" applyBorder="1" applyAlignment="1">
      <alignment vertical="center"/>
    </xf>
    <xf numFmtId="0" fontId="9" fillId="0" borderId="62" xfId="0" applyFont="1" applyBorder="1" applyAlignment="1">
      <alignment vertical="center"/>
    </xf>
    <xf numFmtId="4" fontId="9" fillId="0" borderId="62" xfId="0" applyNumberFormat="1" applyFont="1" applyBorder="1" applyAlignment="1">
      <alignment vertical="center"/>
    </xf>
    <xf numFmtId="0" fontId="9" fillId="0" borderId="50" xfId="0" applyFont="1" applyBorder="1" applyAlignment="1">
      <alignment vertical="center"/>
    </xf>
    <xf numFmtId="0" fontId="9" fillId="0" borderId="31" xfId="0" applyFont="1" applyBorder="1" applyAlignment="1">
      <alignment vertical="center"/>
    </xf>
    <xf numFmtId="10" fontId="9" fillId="0" borderId="40" xfId="0" applyNumberFormat="1" applyFont="1" applyBorder="1" applyAlignment="1">
      <alignment horizontal="center" vertical="center"/>
    </xf>
    <xf numFmtId="4" fontId="9" fillId="0" borderId="31" xfId="0" applyNumberFormat="1" applyFont="1" applyBorder="1" applyAlignment="1">
      <alignment vertical="center"/>
    </xf>
    <xf numFmtId="0" fontId="7" fillId="11" borderId="53" xfId="0" applyFont="1" applyFill="1" applyBorder="1" applyAlignment="1">
      <alignment vertical="center"/>
    </xf>
    <xf numFmtId="0" fontId="7" fillId="11" borderId="63" xfId="0" applyFont="1" applyFill="1" applyBorder="1" applyAlignment="1">
      <alignment vertical="center"/>
    </xf>
    <xf numFmtId="10" fontId="7" fillId="11" borderId="7" xfId="0" applyNumberFormat="1" applyFont="1" applyFill="1" applyBorder="1" applyAlignment="1">
      <alignment horizontal="center" vertical="center"/>
    </xf>
    <xf numFmtId="4" fontId="7" fillId="11" borderId="7" xfId="0" applyNumberFormat="1" applyFont="1" applyFill="1" applyBorder="1" applyAlignment="1">
      <alignment vertical="center"/>
    </xf>
    <xf numFmtId="4" fontId="7" fillId="11" borderId="65" xfId="0" applyNumberFormat="1" applyFont="1" applyFill="1" applyBorder="1" applyAlignment="1">
      <alignment horizontal="center" vertical="center"/>
    </xf>
    <xf numFmtId="4" fontId="7" fillId="11" borderId="29" xfId="0" applyNumberFormat="1" applyFont="1" applyFill="1" applyBorder="1" applyAlignment="1">
      <alignment horizontal="center" vertical="center"/>
    </xf>
    <xf numFmtId="10" fontId="7" fillId="11" borderId="40" xfId="0" applyNumberFormat="1" applyFont="1" applyFill="1" applyBorder="1" applyAlignment="1">
      <alignment horizontal="center" vertical="center"/>
    </xf>
    <xf numFmtId="4" fontId="7" fillId="11" borderId="40" xfId="0" applyNumberFormat="1" applyFont="1" applyFill="1" applyBorder="1" applyAlignment="1">
      <alignment horizontal="center" vertical="center"/>
    </xf>
    <xf numFmtId="4" fontId="7" fillId="11" borderId="61" xfId="0" applyNumberFormat="1" applyFont="1" applyFill="1" applyBorder="1" applyAlignment="1">
      <alignment horizontal="center" vertical="center"/>
    </xf>
    <xf numFmtId="4" fontId="7" fillId="11" borderId="66" xfId="0" applyNumberFormat="1" applyFont="1" applyFill="1" applyBorder="1" applyAlignment="1">
      <alignment horizontal="center" vertical="center"/>
    </xf>
    <xf numFmtId="4" fontId="18" fillId="11" borderId="4" xfId="0" applyNumberFormat="1" applyFont="1" applyFill="1" applyBorder="1" applyAlignment="1">
      <alignment horizontal="center" vertical="center"/>
    </xf>
    <xf numFmtId="4" fontId="18" fillId="11" borderId="19" xfId="0" applyNumberFormat="1" applyFont="1" applyFill="1" applyBorder="1" applyAlignment="1">
      <alignment horizontal="center" vertical="center"/>
    </xf>
    <xf numFmtId="164" fontId="9" fillId="0" borderId="0" xfId="0" applyNumberFormat="1" applyFont="1"/>
    <xf numFmtId="2" fontId="18" fillId="11" borderId="23" xfId="0" applyNumberFormat="1" applyFont="1" applyFill="1" applyBorder="1" applyAlignment="1">
      <alignment horizontal="center" vertical="center"/>
    </xf>
    <xf numFmtId="165" fontId="7" fillId="12" borderId="25" xfId="2" applyFont="1" applyFill="1" applyBorder="1" applyAlignment="1" applyProtection="1">
      <alignment horizontal="center" vertical="center"/>
    </xf>
    <xf numFmtId="164" fontId="9" fillId="0" borderId="4" xfId="0" applyNumberFormat="1" applyFont="1" applyBorder="1" applyAlignment="1">
      <alignment horizontal="center" vertical="center"/>
    </xf>
    <xf numFmtId="0" fontId="10" fillId="0" borderId="45" xfId="0" applyFont="1" applyBorder="1"/>
    <xf numFmtId="0" fontId="38" fillId="0" borderId="0" xfId="0" applyFont="1" applyAlignment="1">
      <alignment vertical="center" wrapText="1"/>
    </xf>
    <xf numFmtId="49" fontId="39" fillId="8" borderId="10" xfId="0" applyNumberFormat="1" applyFont="1" applyFill="1" applyBorder="1" applyAlignment="1">
      <alignment horizontal="center" vertical="center" wrapText="1"/>
    </xf>
    <xf numFmtId="49" fontId="26" fillId="0" borderId="7"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0" fontId="26" fillId="0" borderId="0" xfId="0" applyFont="1" applyAlignment="1">
      <alignment vertical="center"/>
    </xf>
    <xf numFmtId="0" fontId="27" fillId="8" borderId="3" xfId="0" applyFont="1" applyFill="1" applyBorder="1" applyAlignment="1">
      <alignment horizontal="center" vertical="center"/>
    </xf>
    <xf numFmtId="0" fontId="39" fillId="8" borderId="36" xfId="0" applyFont="1" applyFill="1" applyBorder="1" applyAlignment="1">
      <alignment vertical="center"/>
    </xf>
    <xf numFmtId="0" fontId="40" fillId="17" borderId="5" xfId="0" applyFont="1" applyFill="1" applyBorder="1" applyAlignment="1">
      <alignment horizontal="center" vertical="center"/>
    </xf>
    <xf numFmtId="4" fontId="40" fillId="17" borderId="7" xfId="0" applyNumberFormat="1" applyFont="1" applyFill="1" applyBorder="1" applyAlignment="1">
      <alignment vertical="center"/>
    </xf>
    <xf numFmtId="4" fontId="40" fillId="17" borderId="8" xfId="0" applyNumberFormat="1" applyFont="1" applyFill="1" applyBorder="1" applyAlignment="1">
      <alignment vertical="center"/>
    </xf>
    <xf numFmtId="0" fontId="9" fillId="0" borderId="11" xfId="0" applyFont="1" applyBorder="1" applyAlignment="1">
      <alignment horizontal="center" vertical="center"/>
    </xf>
    <xf numFmtId="4" fontId="9" fillId="8" borderId="12" xfId="4" applyNumberFormat="1" applyFont="1" applyFill="1" applyBorder="1" applyAlignment="1" applyProtection="1">
      <alignment vertical="center"/>
    </xf>
    <xf numFmtId="4" fontId="9" fillId="8" borderId="14" xfId="4" applyNumberFormat="1" applyFont="1" applyFill="1" applyBorder="1" applyAlignment="1" applyProtection="1">
      <alignment vertical="center"/>
    </xf>
    <xf numFmtId="10" fontId="16" fillId="0" borderId="4" xfId="0" applyNumberFormat="1" applyFont="1" applyBorder="1" applyAlignment="1">
      <alignment horizontal="center" vertical="center"/>
    </xf>
    <xf numFmtId="4" fontId="9" fillId="8" borderId="4" xfId="4" applyNumberFormat="1" applyFont="1" applyFill="1" applyBorder="1" applyAlignment="1" applyProtection="1">
      <alignment vertical="center"/>
    </xf>
    <xf numFmtId="4" fontId="9" fillId="8" borderId="19" xfId="4" applyNumberFormat="1" applyFont="1" applyFill="1" applyBorder="1" applyAlignment="1" applyProtection="1">
      <alignment vertical="center"/>
    </xf>
    <xf numFmtId="10" fontId="27" fillId="0" borderId="4" xfId="0" applyNumberFormat="1" applyFont="1" applyBorder="1" applyAlignment="1">
      <alignment horizontal="center" vertical="center"/>
    </xf>
    <xf numFmtId="4" fontId="7" fillId="8" borderId="4" xfId="4" applyNumberFormat="1" applyFont="1" applyFill="1" applyBorder="1" applyAlignment="1" applyProtection="1">
      <alignment horizontal="right" vertical="center"/>
    </xf>
    <xf numFmtId="4" fontId="7" fillId="8" borderId="19" xfId="4" applyNumberFormat="1" applyFont="1" applyFill="1" applyBorder="1" applyAlignment="1" applyProtection="1">
      <alignment horizontal="right" vertical="center"/>
    </xf>
    <xf numFmtId="0" fontId="27" fillId="11" borderId="17" xfId="0" applyFont="1" applyFill="1" applyBorder="1" applyAlignment="1">
      <alignment horizontal="center" vertical="center"/>
    </xf>
    <xf numFmtId="0" fontId="27" fillId="11" borderId="4" xfId="0" applyFont="1" applyFill="1" applyBorder="1" applyAlignment="1">
      <alignment vertical="center"/>
    </xf>
    <xf numFmtId="0" fontId="27" fillId="11" borderId="19" xfId="0" applyFont="1" applyFill="1" applyBorder="1" applyAlignment="1">
      <alignment vertical="center"/>
    </xf>
    <xf numFmtId="0" fontId="9" fillId="0" borderId="4" xfId="0" applyFont="1" applyBorder="1" applyAlignment="1">
      <alignment vertical="center"/>
    </xf>
    <xf numFmtId="4" fontId="9" fillId="0" borderId="4" xfId="0" applyNumberFormat="1" applyFont="1" applyBorder="1" applyAlignment="1">
      <alignment vertical="center"/>
    </xf>
    <xf numFmtId="4" fontId="27" fillId="0" borderId="4" xfId="0" applyNumberFormat="1" applyFont="1" applyBorder="1" applyAlignment="1">
      <alignment vertical="center"/>
    </xf>
    <xf numFmtId="4" fontId="27" fillId="0" borderId="19" xfId="0" applyNumberFormat="1" applyFont="1" applyBorder="1" applyAlignment="1">
      <alignment vertical="center"/>
    </xf>
    <xf numFmtId="10" fontId="27" fillId="11" borderId="4" xfId="0" applyNumberFormat="1" applyFont="1" applyFill="1" applyBorder="1" applyAlignment="1">
      <alignment horizontal="center" vertical="center"/>
    </xf>
    <xf numFmtId="10" fontId="9" fillId="0" borderId="4" xfId="0" applyNumberFormat="1" applyFont="1" applyBorder="1" applyAlignment="1">
      <alignment vertical="center" wrapText="1"/>
    </xf>
    <xf numFmtId="4" fontId="9" fillId="8" borderId="4" xfId="0" applyNumberFormat="1" applyFont="1" applyFill="1" applyBorder="1" applyAlignment="1">
      <alignment horizontal="right" vertical="center"/>
    </xf>
    <xf numFmtId="4" fontId="9" fillId="8" borderId="19" xfId="0" applyNumberFormat="1" applyFont="1" applyFill="1" applyBorder="1" applyAlignment="1">
      <alignment horizontal="right" vertical="center"/>
    </xf>
    <xf numFmtId="0" fontId="27" fillId="0" borderId="17" xfId="0" applyFont="1" applyBorder="1" applyAlignment="1">
      <alignment horizontal="center" vertical="center"/>
    </xf>
    <xf numFmtId="10" fontId="27" fillId="0" borderId="4" xfId="0" applyNumberFormat="1" applyFont="1" applyBorder="1" applyAlignment="1">
      <alignment vertical="center" wrapText="1"/>
    </xf>
    <xf numFmtId="4" fontId="27" fillId="8" borderId="4" xfId="0" applyNumberFormat="1" applyFont="1" applyFill="1" applyBorder="1" applyAlignment="1">
      <alignment horizontal="right" vertical="center"/>
    </xf>
    <xf numFmtId="4" fontId="27" fillId="8" borderId="19" xfId="0" applyNumberFormat="1" applyFont="1" applyFill="1" applyBorder="1" applyAlignment="1">
      <alignment horizontal="right" vertical="center"/>
    </xf>
    <xf numFmtId="0" fontId="9" fillId="8" borderId="17" xfId="0" applyFont="1" applyFill="1" applyBorder="1" applyAlignment="1">
      <alignment horizontal="center" vertical="center"/>
    </xf>
    <xf numFmtId="0" fontId="27" fillId="0" borderId="48" xfId="0" applyFont="1" applyBorder="1" applyAlignment="1">
      <alignment vertical="center"/>
    </xf>
    <xf numFmtId="4" fontId="27" fillId="0" borderId="40" xfId="0" applyNumberFormat="1" applyFont="1" applyBorder="1" applyAlignment="1">
      <alignment horizontal="right" vertical="center"/>
    </xf>
    <xf numFmtId="4" fontId="27" fillId="0" borderId="60" xfId="0" applyNumberFormat="1" applyFont="1" applyBorder="1" applyAlignment="1">
      <alignment horizontal="right" vertical="center"/>
    </xf>
    <xf numFmtId="0" fontId="27" fillId="11" borderId="11" xfId="0" applyFont="1" applyFill="1" applyBorder="1" applyAlignment="1">
      <alignment vertical="center"/>
    </xf>
    <xf numFmtId="0" fontId="27" fillId="11" borderId="12" xfId="0" applyFont="1" applyFill="1" applyBorder="1" applyAlignment="1">
      <alignment vertical="center"/>
    </xf>
    <xf numFmtId="0" fontId="27" fillId="11" borderId="14" xfId="0" applyFont="1" applyFill="1" applyBorder="1" applyAlignment="1">
      <alignment vertical="center"/>
    </xf>
    <xf numFmtId="4" fontId="16" fillId="8" borderId="4" xfId="0" applyNumberFormat="1" applyFont="1" applyFill="1" applyBorder="1" applyAlignment="1">
      <alignment vertical="center"/>
    </xf>
    <xf numFmtId="4" fontId="16" fillId="8" borderId="18" xfId="0" applyNumberFormat="1" applyFont="1" applyFill="1" applyBorder="1" applyAlignment="1">
      <alignment vertical="center"/>
    </xf>
    <xf numFmtId="4" fontId="16" fillId="8" borderId="19" xfId="0" applyNumberFormat="1" applyFont="1" applyFill="1" applyBorder="1" applyAlignment="1">
      <alignment vertical="center"/>
    </xf>
    <xf numFmtId="0" fontId="27" fillId="0" borderId="4" xfId="0" applyFont="1" applyBorder="1" applyAlignment="1">
      <alignment vertical="center"/>
    </xf>
    <xf numFmtId="4" fontId="27" fillId="8" borderId="4" xfId="0" applyNumberFormat="1" applyFont="1" applyFill="1" applyBorder="1" applyAlignment="1">
      <alignment vertical="center"/>
    </xf>
    <xf numFmtId="4" fontId="27" fillId="8" borderId="18" xfId="0" applyNumberFormat="1" applyFont="1" applyFill="1" applyBorder="1" applyAlignment="1">
      <alignment vertical="center"/>
    </xf>
    <xf numFmtId="4" fontId="27" fillId="8" borderId="19" xfId="0" applyNumberFormat="1" applyFont="1" applyFill="1" applyBorder="1" applyAlignment="1">
      <alignment vertical="center"/>
    </xf>
    <xf numFmtId="0" fontId="9" fillId="0" borderId="40" xfId="0" applyFont="1" applyBorder="1" applyAlignment="1">
      <alignment vertical="center"/>
    </xf>
    <xf numFmtId="4" fontId="16" fillId="8" borderId="40" xfId="0" applyNumberFormat="1" applyFont="1" applyFill="1" applyBorder="1" applyAlignment="1">
      <alignment vertical="center"/>
    </xf>
    <xf numFmtId="4" fontId="16" fillId="8" borderId="59" xfId="0" applyNumberFormat="1" applyFont="1" applyFill="1" applyBorder="1" applyAlignment="1">
      <alignment vertical="center"/>
    </xf>
    <xf numFmtId="4" fontId="16" fillId="8" borderId="60" xfId="0" applyNumberFormat="1" applyFont="1" applyFill="1" applyBorder="1" applyAlignment="1">
      <alignment vertical="center"/>
    </xf>
    <xf numFmtId="0" fontId="27" fillId="11" borderId="5" xfId="0" applyFont="1" applyFill="1" applyBorder="1" applyAlignment="1">
      <alignment vertical="center"/>
    </xf>
    <xf numFmtId="0" fontId="27" fillId="11" borderId="7" xfId="0" applyFont="1" applyFill="1" applyBorder="1" applyAlignment="1">
      <alignment vertical="center"/>
    </xf>
    <xf numFmtId="4" fontId="27" fillId="11" borderId="7" xfId="0" applyNumberFormat="1" applyFont="1" applyFill="1" applyBorder="1" applyAlignment="1">
      <alignment vertical="center"/>
    </xf>
    <xf numFmtId="4" fontId="27" fillId="11" borderId="6" xfId="0" applyNumberFormat="1" applyFont="1" applyFill="1" applyBorder="1" applyAlignment="1">
      <alignment vertical="center"/>
    </xf>
    <xf numFmtId="4" fontId="27" fillId="11" borderId="8" xfId="0" applyNumberFormat="1" applyFont="1" applyFill="1" applyBorder="1" applyAlignment="1">
      <alignment vertical="center"/>
    </xf>
    <xf numFmtId="0" fontId="2" fillId="0" borderId="2" xfId="0" applyFont="1" applyBorder="1"/>
    <xf numFmtId="0" fontId="1" fillId="0" borderId="2" xfId="0" applyFont="1" applyBorder="1"/>
    <xf numFmtId="0" fontId="1" fillId="0" borderId="44" xfId="0" applyFont="1" applyBorder="1"/>
    <xf numFmtId="0" fontId="1" fillId="0" borderId="45" xfId="0" applyFont="1" applyBorder="1"/>
    <xf numFmtId="0" fontId="42" fillId="0" borderId="0" xfId="0" applyFont="1" applyAlignment="1">
      <alignment vertical="center"/>
    </xf>
    <xf numFmtId="0" fontId="6" fillId="11" borderId="53" xfId="0" applyFont="1" applyFill="1" applyBorder="1" applyAlignment="1">
      <alignment vertical="center"/>
    </xf>
    <xf numFmtId="0" fontId="43" fillId="11" borderId="63" xfId="0" applyFont="1" applyFill="1" applyBorder="1" applyAlignment="1">
      <alignment vertical="center" wrapText="1"/>
    </xf>
    <xf numFmtId="0" fontId="20" fillId="11" borderId="63" xfId="0" applyFont="1" applyFill="1" applyBorder="1" applyAlignment="1">
      <alignment vertical="center"/>
    </xf>
    <xf numFmtId="0" fontId="18" fillId="11" borderId="63" xfId="0" applyFont="1" applyFill="1" applyBorder="1" applyAlignment="1">
      <alignment vertical="center"/>
    </xf>
    <xf numFmtId="0" fontId="6" fillId="11" borderId="63" xfId="0" applyFont="1" applyFill="1" applyBorder="1" applyAlignment="1">
      <alignment vertical="center"/>
    </xf>
    <xf numFmtId="0" fontId="5" fillId="11" borderId="2"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9" fillId="11" borderId="22" xfId="0" applyFont="1" applyFill="1" applyBorder="1" applyAlignment="1">
      <alignment horizontal="center" vertical="center"/>
    </xf>
    <xf numFmtId="0" fontId="9" fillId="11" borderId="23"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1" borderId="40" xfId="0" applyFont="1" applyFill="1" applyBorder="1" applyAlignment="1">
      <alignment horizontal="center" vertical="center" wrapText="1"/>
    </xf>
    <xf numFmtId="0" fontId="9" fillId="11" borderId="60" xfId="0" applyFont="1" applyFill="1" applyBorder="1" applyAlignment="1">
      <alignment horizontal="center" vertical="center" wrapText="1"/>
    </xf>
    <xf numFmtId="0" fontId="9" fillId="11" borderId="56" xfId="0" applyFont="1" applyFill="1" applyBorder="1" applyAlignment="1">
      <alignment horizontal="center" vertical="center" wrapText="1"/>
    </xf>
    <xf numFmtId="0" fontId="9" fillId="11" borderId="59"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1" fillId="0" borderId="12" xfId="0" applyFont="1" applyBorder="1" applyAlignment="1">
      <alignment vertical="center" wrapText="1"/>
    </xf>
    <xf numFmtId="1" fontId="1" fillId="0" borderId="12" xfId="0" applyNumberFormat="1" applyFont="1" applyBorder="1" applyAlignment="1">
      <alignment horizontal="center" vertical="center"/>
    </xf>
    <xf numFmtId="1" fontId="1" fillId="0" borderId="11"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1" fillId="0" borderId="32" xfId="0" applyNumberFormat="1" applyFont="1" applyBorder="1" applyAlignment="1">
      <alignment horizontal="center" vertical="center"/>
    </xf>
    <xf numFmtId="164" fontId="5" fillId="0" borderId="33" xfId="1" applyFont="1" applyBorder="1" applyAlignment="1" applyProtection="1">
      <alignment horizontal="center" vertical="center"/>
    </xf>
    <xf numFmtId="164" fontId="5" fillId="0" borderId="34" xfId="1" applyFont="1" applyBorder="1" applyAlignment="1" applyProtection="1">
      <alignment horizontal="center" vertical="center"/>
    </xf>
    <xf numFmtId="4" fontId="1" fillId="0" borderId="43" xfId="0" applyNumberFormat="1" applyFont="1" applyBorder="1" applyAlignment="1">
      <alignment horizontal="center" vertical="center"/>
    </xf>
    <xf numFmtId="4" fontId="1" fillId="0" borderId="16" xfId="0" applyNumberFormat="1" applyFont="1" applyBorder="1" applyAlignment="1">
      <alignment horizontal="center" vertical="center"/>
    </xf>
    <xf numFmtId="164" fontId="5" fillId="0" borderId="12" xfId="1" applyFont="1" applyBorder="1" applyAlignment="1" applyProtection="1">
      <alignment horizontal="center" vertical="center"/>
    </xf>
    <xf numFmtId="164" fontId="5" fillId="0" borderId="13" xfId="1" applyFont="1" applyBorder="1" applyAlignment="1" applyProtection="1">
      <alignment horizontal="center" vertical="center"/>
    </xf>
    <xf numFmtId="164" fontId="1" fillId="0" borderId="11" xfId="1" applyFont="1" applyBorder="1" applyAlignment="1" applyProtection="1">
      <alignment horizontal="center" vertical="center"/>
    </xf>
    <xf numFmtId="164" fontId="1" fillId="0" borderId="12" xfId="1" applyFont="1" applyBorder="1" applyAlignment="1" applyProtection="1">
      <alignment horizontal="center" vertical="center"/>
    </xf>
    <xf numFmtId="164" fontId="5" fillId="0" borderId="70" xfId="1" applyFont="1" applyBorder="1" applyAlignment="1" applyProtection="1">
      <alignment horizontal="center" vertical="center"/>
    </xf>
    <xf numFmtId="164" fontId="5" fillId="11" borderId="11" xfId="1" applyFont="1" applyFill="1" applyBorder="1" applyAlignment="1" applyProtection="1">
      <alignment horizontal="center" vertical="center"/>
    </xf>
    <xf numFmtId="164" fontId="5" fillId="11" borderId="12" xfId="1" applyFont="1" applyFill="1" applyBorder="1" applyAlignment="1" applyProtection="1">
      <alignment horizontal="center" vertical="center"/>
    </xf>
    <xf numFmtId="164" fontId="5" fillId="11" borderId="14" xfId="1" applyFont="1" applyFill="1" applyBorder="1" applyAlignment="1" applyProtection="1">
      <alignment horizontal="center" vertical="center"/>
    </xf>
    <xf numFmtId="165" fontId="1" fillId="0" borderId="71" xfId="2" applyFont="1" applyBorder="1" applyAlignment="1" applyProtection="1">
      <alignment horizontal="right" vertical="center"/>
    </xf>
    <xf numFmtId="4" fontId="1" fillId="0" borderId="17" xfId="0" applyNumberFormat="1" applyFont="1" applyBorder="1" applyAlignment="1">
      <alignment horizontal="center" vertical="center"/>
    </xf>
    <xf numFmtId="164" fontId="5" fillId="0" borderId="4" xfId="1" applyFont="1" applyBorder="1" applyAlignment="1" applyProtection="1">
      <alignment horizontal="center" vertical="center"/>
    </xf>
    <xf numFmtId="164" fontId="5" fillId="0" borderId="19" xfId="1" applyFont="1" applyBorder="1" applyAlignment="1" applyProtection="1">
      <alignment horizontal="center" vertical="center"/>
    </xf>
    <xf numFmtId="4" fontId="1" fillId="0" borderId="21" xfId="0" applyNumberFormat="1" applyFont="1" applyBorder="1" applyAlignment="1">
      <alignment horizontal="center" vertical="center"/>
    </xf>
    <xf numFmtId="164" fontId="5" fillId="0" borderId="18" xfId="1" applyFont="1" applyBorder="1" applyAlignment="1" applyProtection="1">
      <alignment horizontal="center" vertical="center"/>
    </xf>
    <xf numFmtId="164" fontId="1" fillId="0" borderId="17" xfId="1" applyFont="1" applyBorder="1" applyAlignment="1" applyProtection="1">
      <alignment horizontal="center" vertical="center"/>
    </xf>
    <xf numFmtId="164" fontId="1" fillId="0" borderId="4" xfId="1" applyFont="1" applyBorder="1" applyAlignment="1" applyProtection="1">
      <alignment horizontal="center" vertical="center"/>
    </xf>
    <xf numFmtId="164" fontId="5" fillId="0" borderId="37" xfId="1" applyFont="1" applyBorder="1" applyAlignment="1" applyProtection="1">
      <alignment horizontal="center" vertical="center"/>
    </xf>
    <xf numFmtId="164" fontId="1" fillId="0" borderId="19" xfId="1" applyFont="1" applyBorder="1" applyAlignment="1" applyProtection="1">
      <alignment horizontal="center" vertical="center"/>
    </xf>
    <xf numFmtId="0" fontId="5" fillId="0" borderId="61" xfId="0" applyFont="1" applyBorder="1" applyAlignment="1">
      <alignment horizontal="center" vertical="center" wrapText="1"/>
    </xf>
    <xf numFmtId="0" fontId="1" fillId="0" borderId="61" xfId="0" applyFont="1" applyBorder="1" applyAlignment="1">
      <alignment vertical="center" wrapText="1"/>
    </xf>
    <xf numFmtId="1" fontId="1" fillId="0" borderId="61" xfId="0" applyNumberFormat="1" applyFont="1" applyBorder="1" applyAlignment="1">
      <alignment horizontal="center" vertical="center"/>
    </xf>
    <xf numFmtId="1" fontId="1" fillId="0" borderId="72" xfId="0" applyNumberFormat="1" applyFont="1" applyBorder="1" applyAlignment="1">
      <alignment horizontal="center" vertical="center"/>
    </xf>
    <xf numFmtId="4" fontId="1" fillId="0" borderId="61" xfId="0" applyNumberFormat="1" applyFont="1" applyBorder="1" applyAlignment="1">
      <alignment horizontal="center" vertical="center"/>
    </xf>
    <xf numFmtId="4" fontId="1" fillId="0" borderId="41" xfId="0" applyNumberFormat="1" applyFont="1" applyBorder="1" applyAlignment="1">
      <alignment horizontal="center" vertical="center"/>
    </xf>
    <xf numFmtId="4" fontId="1" fillId="0" borderId="48" xfId="0" applyNumberFormat="1" applyFont="1" applyBorder="1" applyAlignment="1">
      <alignment horizontal="center" vertical="center"/>
    </xf>
    <xf numFmtId="164" fontId="5" fillId="0" borderId="40" xfId="1" applyFont="1" applyBorder="1" applyAlignment="1" applyProtection="1">
      <alignment horizontal="center" vertical="center"/>
    </xf>
    <xf numFmtId="164" fontId="5" fillId="0" borderId="60" xfId="1" applyFont="1" applyBorder="1" applyAlignment="1" applyProtection="1">
      <alignment horizontal="center" vertical="center"/>
    </xf>
    <xf numFmtId="4" fontId="1" fillId="0" borderId="56" xfId="0" applyNumberFormat="1" applyFont="1" applyBorder="1" applyAlignment="1">
      <alignment horizontal="center" vertical="center"/>
    </xf>
    <xf numFmtId="164" fontId="5" fillId="0" borderId="59" xfId="1" applyFont="1" applyBorder="1" applyAlignment="1" applyProtection="1">
      <alignment horizontal="center" vertical="center"/>
    </xf>
    <xf numFmtId="164" fontId="1" fillId="0" borderId="48" xfId="1" applyFont="1" applyBorder="1" applyAlignment="1" applyProtection="1">
      <alignment horizontal="center" vertical="center"/>
    </xf>
    <xf numFmtId="164" fontId="1" fillId="0" borderId="40" xfId="1" applyFont="1" applyBorder="1" applyAlignment="1" applyProtection="1">
      <alignment horizontal="center" vertical="center"/>
    </xf>
    <xf numFmtId="164" fontId="5" fillId="0" borderId="50" xfId="1" applyFont="1" applyBorder="1" applyAlignment="1" applyProtection="1">
      <alignment horizontal="center" vertical="center"/>
    </xf>
    <xf numFmtId="164" fontId="5" fillId="11" borderId="48" xfId="1" applyFont="1" applyFill="1" applyBorder="1" applyAlignment="1" applyProtection="1">
      <alignment horizontal="center" vertical="center"/>
    </xf>
    <xf numFmtId="164" fontId="5" fillId="11" borderId="40" xfId="1" applyFont="1" applyFill="1" applyBorder="1" applyAlignment="1" applyProtection="1">
      <alignment horizontal="center" vertical="center"/>
    </xf>
    <xf numFmtId="164" fontId="5" fillId="11" borderId="60" xfId="1" applyFont="1" applyFill="1" applyBorder="1" applyAlignment="1" applyProtection="1">
      <alignment horizontal="center" vertical="center"/>
    </xf>
    <xf numFmtId="165" fontId="1" fillId="0" borderId="45" xfId="2" applyFont="1" applyBorder="1" applyAlignment="1" applyProtection="1">
      <alignment horizontal="right" vertical="center"/>
    </xf>
    <xf numFmtId="1" fontId="18" fillId="11" borderId="5" xfId="0" applyNumberFormat="1" applyFont="1" applyFill="1" applyBorder="1" applyAlignment="1">
      <alignment horizontal="center" vertical="center"/>
    </xf>
    <xf numFmtId="4" fontId="18" fillId="11" borderId="7" xfId="0" applyNumberFormat="1" applyFont="1" applyFill="1" applyBorder="1" applyAlignment="1">
      <alignment horizontal="center" vertical="center"/>
    </xf>
    <xf numFmtId="4" fontId="18" fillId="11" borderId="6" xfId="0" applyNumberFormat="1" applyFont="1" applyFill="1" applyBorder="1" applyAlignment="1">
      <alignment horizontal="center" vertical="center"/>
    </xf>
    <xf numFmtId="4" fontId="18" fillId="11" borderId="5" xfId="0" applyNumberFormat="1" applyFont="1" applyFill="1" applyBorder="1" applyAlignment="1">
      <alignment horizontal="center" vertical="center"/>
    </xf>
    <xf numFmtId="4" fontId="18" fillId="11" borderId="8" xfId="0" applyNumberFormat="1" applyFont="1" applyFill="1" applyBorder="1" applyAlignment="1">
      <alignment horizontal="center" vertical="center"/>
    </xf>
    <xf numFmtId="164" fontId="18" fillId="11" borderId="10" xfId="1" applyFont="1" applyFill="1" applyBorder="1" applyAlignment="1" applyProtection="1">
      <alignment horizontal="center" vertical="center"/>
    </xf>
    <xf numFmtId="4" fontId="18" fillId="11" borderId="10" xfId="0" applyNumberFormat="1" applyFont="1" applyFill="1" applyBorder="1" applyAlignment="1">
      <alignment horizontal="center" vertical="center"/>
    </xf>
    <xf numFmtId="164" fontId="18" fillId="11" borderId="53" xfId="1" applyFont="1" applyFill="1" applyBorder="1" applyAlignment="1" applyProtection="1">
      <alignment horizontal="center" vertical="center"/>
    </xf>
    <xf numFmtId="164" fontId="18" fillId="11" borderId="5" xfId="1" applyFont="1" applyFill="1" applyBorder="1" applyAlignment="1" applyProtection="1">
      <alignment horizontal="center" vertical="center"/>
    </xf>
    <xf numFmtId="165" fontId="18" fillId="19" borderId="68" xfId="2" applyFont="1" applyFill="1" applyBorder="1" applyAlignment="1" applyProtection="1">
      <alignment horizontal="center" vertical="center"/>
    </xf>
    <xf numFmtId="0" fontId="7" fillId="0" borderId="3" xfId="0" applyFont="1" applyBorder="1" applyAlignment="1">
      <alignment vertical="center"/>
    </xf>
    <xf numFmtId="165" fontId="6" fillId="11" borderId="49" xfId="2" applyFont="1" applyFill="1" applyBorder="1" applyAlignment="1" applyProtection="1">
      <alignment vertical="center"/>
    </xf>
    <xf numFmtId="165" fontId="18" fillId="11" borderId="9" xfId="2" applyFont="1" applyFill="1" applyBorder="1" applyAlignment="1" applyProtection="1">
      <alignment vertical="center"/>
    </xf>
    <xf numFmtId="0" fontId="9" fillId="0" borderId="0" xfId="0" applyFont="1" applyAlignment="1">
      <alignment vertical="top"/>
    </xf>
    <xf numFmtId="4" fontId="0" fillId="0" borderId="4" xfId="0" applyNumberFormat="1" applyBorder="1"/>
    <xf numFmtId="10" fontId="46" fillId="0" borderId="4" xfId="3" applyNumberFormat="1" applyBorder="1" applyProtection="1"/>
    <xf numFmtId="0" fontId="0" fillId="0" borderId="4" xfId="0" applyBorder="1" applyAlignment="1">
      <alignment wrapText="1"/>
    </xf>
    <xf numFmtId="2" fontId="0" fillId="0" borderId="4" xfId="0" applyNumberFormat="1" applyBorder="1" applyAlignment="1">
      <alignment horizontal="center" vertical="center"/>
    </xf>
    <xf numFmtId="0" fontId="20" fillId="0" borderId="0" xfId="0" applyFont="1" applyAlignment="1">
      <alignment vertical="center"/>
    </xf>
    <xf numFmtId="0" fontId="18" fillId="0" borderId="0" xfId="0" applyFont="1" applyAlignment="1">
      <alignment vertical="center"/>
    </xf>
    <xf numFmtId="0" fontId="44" fillId="0" borderId="4" xfId="0" applyFont="1" applyBorder="1" applyAlignment="1">
      <alignment wrapText="1"/>
    </xf>
    <xf numFmtId="0" fontId="26" fillId="0" borderId="18" xfId="0" applyFont="1" applyBorder="1" applyAlignment="1">
      <alignment horizontal="right" vertical="center"/>
    </xf>
    <xf numFmtId="0" fontId="28" fillId="15" borderId="4" xfId="0" applyFont="1" applyFill="1" applyBorder="1" applyAlignment="1">
      <alignment horizontal="center" vertical="center"/>
    </xf>
    <xf numFmtId="0" fontId="5" fillId="15" borderId="4" xfId="0" applyFont="1" applyFill="1" applyBorder="1" applyAlignment="1">
      <alignment horizontal="center" vertical="center"/>
    </xf>
    <xf numFmtId="0" fontId="17" fillId="0" borderId="4" xfId="0" applyFont="1" applyBorder="1" applyAlignment="1">
      <alignment horizontal="center" vertical="center"/>
    </xf>
    <xf numFmtId="10"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4" fontId="1" fillId="0" borderId="4" xfId="0" applyNumberFormat="1" applyFont="1" applyBorder="1" applyAlignment="1">
      <alignment horizontal="center"/>
    </xf>
    <xf numFmtId="0" fontId="17" fillId="0" borderId="12" xfId="0" applyFont="1" applyBorder="1" applyAlignment="1">
      <alignment horizontal="center" vertical="center"/>
    </xf>
    <xf numFmtId="10" fontId="28" fillId="0" borderId="12" xfId="0" applyNumberFormat="1" applyFont="1" applyBorder="1" applyAlignment="1">
      <alignment horizontal="center" vertical="center"/>
    </xf>
    <xf numFmtId="0" fontId="28" fillId="0" borderId="12" xfId="0" applyFont="1" applyBorder="1" applyAlignment="1">
      <alignment horizontal="center" vertical="center"/>
    </xf>
    <xf numFmtId="10" fontId="45" fillId="8" borderId="4" xfId="0" applyNumberFormat="1" applyFont="1" applyFill="1" applyBorder="1" applyAlignment="1">
      <alignment horizontal="center" vertical="center"/>
    </xf>
    <xf numFmtId="2" fontId="1" fillId="20" borderId="4" xfId="0" applyNumberFormat="1" applyFont="1" applyFill="1" applyBorder="1" applyAlignment="1" applyProtection="1">
      <alignment horizontal="center" vertical="center"/>
      <protection locked="0"/>
    </xf>
    <xf numFmtId="49" fontId="5" fillId="0" borderId="4" xfId="0" applyNumberFormat="1" applyFont="1" applyBorder="1" applyAlignment="1">
      <alignment vertical="center"/>
    </xf>
    <xf numFmtId="0" fontId="7" fillId="5" borderId="37" xfId="0" applyFont="1" applyFill="1" applyBorder="1" applyAlignment="1">
      <alignment horizontal="right" vertical="center" wrapText="1"/>
    </xf>
    <xf numFmtId="0" fontId="7" fillId="5" borderId="22" xfId="0" applyFont="1" applyFill="1" applyBorder="1" applyAlignment="1">
      <alignment horizontal="right" vertical="center" wrapText="1"/>
    </xf>
    <xf numFmtId="0" fontId="1" fillId="0" borderId="4" xfId="0" applyFont="1" applyBorder="1" applyAlignment="1">
      <alignment horizontal="center"/>
    </xf>
    <xf numFmtId="0" fontId="7" fillId="5" borderId="9"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6" fillId="0" borderId="4" xfId="0" applyFont="1" applyBorder="1" applyAlignment="1">
      <alignment horizontal="left" wrapText="1"/>
    </xf>
    <xf numFmtId="0" fontId="7" fillId="0" borderId="20" xfId="0" applyFont="1" applyBorder="1" applyAlignment="1">
      <alignment horizontal="center" vertical="center" wrapText="1"/>
    </xf>
    <xf numFmtId="0" fontId="7" fillId="5" borderId="32" xfId="0" applyFont="1" applyFill="1" applyBorder="1" applyAlignment="1">
      <alignment horizontal="center" vertical="center" wrapText="1"/>
    </xf>
    <xf numFmtId="0" fontId="16" fillId="0" borderId="4" xfId="0" applyFont="1" applyBorder="1" applyAlignment="1">
      <alignment wrapText="1"/>
    </xf>
    <xf numFmtId="0" fontId="7" fillId="5" borderId="11"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9" fillId="0" borderId="31" xfId="0" applyFont="1" applyBorder="1" applyAlignment="1">
      <alignment horizontal="left"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3" fillId="0" borderId="0" xfId="0" applyFont="1" applyAlignment="1">
      <alignment horizontal="center" vertical="top"/>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8" fillId="0" borderId="0" xfId="0" applyFont="1" applyAlignment="1">
      <alignment horizontal="center" vertical="center"/>
    </xf>
    <xf numFmtId="0" fontId="1" fillId="0" borderId="23" xfId="0" applyFont="1" applyBorder="1" applyAlignment="1">
      <alignment horizontal="left" vertical="center"/>
    </xf>
    <xf numFmtId="0" fontId="1" fillId="0" borderId="40" xfId="0" applyFont="1" applyBorder="1" applyAlignment="1">
      <alignment horizontal="left" vertical="center"/>
    </xf>
    <xf numFmtId="0" fontId="5" fillId="0" borderId="33" xfId="0" applyFont="1" applyBorder="1" applyAlignment="1">
      <alignment horizontal="left" vertical="center"/>
    </xf>
    <xf numFmtId="0" fontId="1" fillId="0" borderId="43" xfId="0" applyFont="1" applyBorder="1" applyAlignment="1">
      <alignment horizontal="center"/>
    </xf>
    <xf numFmtId="0" fontId="5" fillId="0" borderId="12" xfId="0" applyFont="1" applyBorder="1" applyAlignment="1">
      <alignment horizontal="left" vertical="center"/>
    </xf>
    <xf numFmtId="0" fontId="5" fillId="11" borderId="4"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2" fontId="1" fillId="9" borderId="4" xfId="0" applyNumberFormat="1" applyFont="1" applyFill="1" applyBorder="1" applyAlignment="1">
      <alignment horizontal="center" vertical="center"/>
    </xf>
    <xf numFmtId="0" fontId="1" fillId="0" borderId="4" xfId="0" applyFont="1" applyBorder="1" applyAlignment="1" applyProtection="1">
      <alignment horizontal="left" vertical="center"/>
      <protection locked="0"/>
    </xf>
    <xf numFmtId="0" fontId="5" fillId="11" borderId="4"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protection locked="0"/>
    </xf>
    <xf numFmtId="0" fontId="1" fillId="0" borderId="18" xfId="0" applyFont="1" applyBorder="1" applyAlignment="1">
      <alignment horizontal="left" vertical="center"/>
    </xf>
    <xf numFmtId="0" fontId="1" fillId="0" borderId="4" xfId="0" applyFont="1" applyBorder="1" applyAlignment="1">
      <alignment horizontal="left" vertical="center" wrapText="1"/>
    </xf>
    <xf numFmtId="0" fontId="9" fillId="11" borderId="4" xfId="0" applyFont="1" applyFill="1" applyBorder="1" applyAlignment="1">
      <alignment horizontal="center" vertical="center" wrapText="1"/>
    </xf>
    <xf numFmtId="49" fontId="5" fillId="0" borderId="40" xfId="0" applyNumberFormat="1" applyFont="1" applyBorder="1" applyAlignment="1">
      <alignment horizontal="center" vertical="center"/>
    </xf>
    <xf numFmtId="0" fontId="10" fillId="0" borderId="17" xfId="0" applyFont="1" applyBorder="1" applyAlignment="1">
      <alignment horizontal="left" vertical="center"/>
    </xf>
    <xf numFmtId="0" fontId="25" fillId="11" borderId="48" xfId="0" applyFont="1" applyFill="1" applyBorder="1" applyAlignment="1">
      <alignment horizontal="left" vertical="center"/>
    </xf>
    <xf numFmtId="0" fontId="19" fillId="13" borderId="49" xfId="0" applyFont="1" applyFill="1" applyBorder="1" applyAlignment="1">
      <alignment horizontal="justify" wrapText="1"/>
    </xf>
    <xf numFmtId="0" fontId="26" fillId="0" borderId="17" xfId="0" applyFont="1" applyBorder="1" applyAlignment="1">
      <alignment horizontal="left" vertical="center"/>
    </xf>
    <xf numFmtId="0" fontId="25" fillId="11" borderId="20" xfId="0" applyFont="1" applyFill="1" applyBorder="1" applyAlignment="1">
      <alignment horizontal="center" vertical="center"/>
    </xf>
    <xf numFmtId="0" fontId="28" fillId="14" borderId="35"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25" fillId="11" borderId="19" xfId="0" applyFont="1" applyFill="1" applyBorder="1" applyAlignment="1">
      <alignment horizontal="left" vertical="center"/>
    </xf>
    <xf numFmtId="0" fontId="25" fillId="0" borderId="17" xfId="0" applyFont="1" applyBorder="1" applyAlignment="1">
      <alignment horizontal="left" vertical="center"/>
    </xf>
    <xf numFmtId="0" fontId="10" fillId="0" borderId="17" xfId="0" applyFont="1" applyBorder="1" applyAlignment="1">
      <alignment horizontal="left" vertical="center" wrapText="1"/>
    </xf>
    <xf numFmtId="0" fontId="25" fillId="11" borderId="17" xfId="0" applyFont="1" applyFill="1" applyBorder="1" applyAlignment="1">
      <alignment horizontal="left" vertical="center"/>
    </xf>
    <xf numFmtId="0" fontId="25" fillId="11" borderId="20" xfId="0" applyFont="1" applyFill="1" applyBorder="1" applyAlignment="1">
      <alignment horizontal="left" vertical="center"/>
    </xf>
    <xf numFmtId="0" fontId="23" fillId="11" borderId="46" xfId="0" applyFont="1" applyFill="1" applyBorder="1" applyAlignment="1">
      <alignment horizontal="center" vertical="center"/>
    </xf>
    <xf numFmtId="0" fontId="7" fillId="12" borderId="15" xfId="0" applyFont="1" applyFill="1" applyBorder="1" applyAlignment="1">
      <alignment horizontal="center" wrapText="1"/>
    </xf>
    <xf numFmtId="0" fontId="7" fillId="11" borderId="20" xfId="0" applyFont="1" applyFill="1" applyBorder="1" applyAlignment="1">
      <alignment horizontal="center" vertical="center"/>
    </xf>
    <xf numFmtId="0" fontId="18" fillId="0" borderId="22" xfId="0" applyFont="1" applyBorder="1" applyAlignment="1">
      <alignment horizontal="center" vertical="center"/>
    </xf>
    <xf numFmtId="0" fontId="20" fillId="11" borderId="46" xfId="0" applyFont="1" applyFill="1" applyBorder="1" applyAlignment="1">
      <alignment horizontal="center" vertical="center"/>
    </xf>
    <xf numFmtId="0" fontId="30" fillId="11" borderId="17"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5" fillId="12" borderId="15" xfId="0" applyFont="1" applyFill="1" applyBorder="1" applyAlignment="1">
      <alignment horizontal="center" vertical="center" wrapText="1"/>
    </xf>
    <xf numFmtId="0" fontId="18" fillId="0" borderId="46" xfId="0" applyFont="1" applyBorder="1" applyAlignment="1">
      <alignment horizontal="center" vertical="center"/>
    </xf>
    <xf numFmtId="0" fontId="7" fillId="12" borderId="20" xfId="0" applyFont="1" applyFill="1" applyBorder="1" applyAlignment="1">
      <alignment horizontal="center" vertical="center" wrapText="1"/>
    </xf>
    <xf numFmtId="0" fontId="7" fillId="0" borderId="37" xfId="0" applyFont="1" applyBorder="1" applyAlignment="1">
      <alignment horizontal="center" vertical="center"/>
    </xf>
    <xf numFmtId="49" fontId="5" fillId="11" borderId="22" xfId="0" applyNumberFormat="1" applyFont="1" applyFill="1" applyBorder="1" applyAlignment="1">
      <alignment horizontal="center" vertical="center" wrapText="1"/>
    </xf>
    <xf numFmtId="0" fontId="7" fillId="0" borderId="20" xfId="0" applyFont="1" applyBorder="1" applyAlignment="1">
      <alignment horizontal="center" vertical="center"/>
    </xf>
    <xf numFmtId="49" fontId="5" fillId="11" borderId="22" xfId="0" applyNumberFormat="1" applyFont="1" applyFill="1" applyBorder="1" applyAlignment="1">
      <alignment horizontal="left" vertical="center" wrapText="1"/>
    </xf>
    <xf numFmtId="0" fontId="18" fillId="11" borderId="4" xfId="0" applyFont="1" applyFill="1" applyBorder="1" applyAlignment="1">
      <alignment horizontal="left" vertical="center"/>
    </xf>
    <xf numFmtId="4" fontId="7" fillId="0" borderId="4" xfId="0" applyNumberFormat="1" applyFont="1" applyBorder="1" applyAlignment="1">
      <alignment horizontal="center" vertical="center"/>
    </xf>
    <xf numFmtId="0" fontId="18" fillId="0" borderId="4" xfId="0" applyFont="1" applyBorder="1" applyAlignment="1">
      <alignment horizontal="center" vertical="center"/>
    </xf>
    <xf numFmtId="0" fontId="9" fillId="0" borderId="4" xfId="0" applyFont="1" applyBorder="1" applyAlignment="1">
      <alignment horizontal="center" vertical="center" wrapText="1"/>
    </xf>
    <xf numFmtId="0" fontId="5" fillId="0" borderId="4" xfId="0" applyFont="1" applyBorder="1" applyAlignment="1">
      <alignment horizontal="center" vertical="center"/>
    </xf>
    <xf numFmtId="0" fontId="9" fillId="0" borderId="4" xfId="0" applyFont="1" applyBorder="1" applyAlignment="1">
      <alignment horizontal="center" vertical="center"/>
    </xf>
    <xf numFmtId="0" fontId="7" fillId="12" borderId="18" xfId="0" applyFont="1" applyFill="1" applyBorder="1" applyAlignment="1">
      <alignment horizontal="center" vertical="center" wrapText="1"/>
    </xf>
    <xf numFmtId="0" fontId="18" fillId="11" borderId="53" xfId="0" applyFont="1" applyFill="1" applyBorder="1" applyAlignment="1">
      <alignment horizontal="center" vertical="center"/>
    </xf>
    <xf numFmtId="0" fontId="7" fillId="5" borderId="54"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1" fillId="0" borderId="50" xfId="0" applyFont="1" applyBorder="1" applyAlignment="1">
      <alignment horizontal="left" vertical="center"/>
    </xf>
    <xf numFmtId="4" fontId="7" fillId="12" borderId="23" xfId="0" applyNumberFormat="1" applyFont="1" applyFill="1" applyBorder="1" applyAlignment="1">
      <alignment horizontal="center" vertical="center" wrapText="1"/>
    </xf>
    <xf numFmtId="0" fontId="9" fillId="0" borderId="17" xfId="0" applyFont="1" applyBorder="1" applyAlignment="1">
      <alignment horizontal="left" vertical="center"/>
    </xf>
    <xf numFmtId="0" fontId="7" fillId="11" borderId="48" xfId="0" applyFont="1" applyFill="1" applyBorder="1" applyAlignment="1">
      <alignment horizontal="center" vertical="center"/>
    </xf>
    <xf numFmtId="0" fontId="7" fillId="11" borderId="17" xfId="0" applyFont="1" applyFill="1" applyBorder="1" applyAlignment="1">
      <alignment vertical="center"/>
    </xf>
    <xf numFmtId="0" fontId="7" fillId="11" borderId="17" xfId="0" applyFont="1" applyFill="1" applyBorder="1" applyAlignment="1">
      <alignment vertical="center" wrapText="1"/>
    </xf>
    <xf numFmtId="0" fontId="7" fillId="11" borderId="22" xfId="0" applyFont="1" applyFill="1" applyBorder="1" applyAlignment="1">
      <alignment vertical="center"/>
    </xf>
    <xf numFmtId="0" fontId="7" fillId="11" borderId="64" xfId="0" applyFont="1" applyFill="1" applyBorder="1" applyAlignment="1">
      <alignment horizontal="left" vertical="center"/>
    </xf>
    <xf numFmtId="0" fontId="7" fillId="11" borderId="36" xfId="0" applyFont="1" applyFill="1" applyBorder="1" applyAlignment="1">
      <alignment horizontal="center" vertical="center"/>
    </xf>
    <xf numFmtId="0" fontId="7" fillId="11" borderId="5" xfId="0" applyFont="1" applyFill="1" applyBorder="1" applyAlignment="1">
      <alignment horizontal="left" vertical="center"/>
    </xf>
    <xf numFmtId="0" fontId="7" fillId="11" borderId="35" xfId="0" applyFont="1" applyFill="1" applyBorder="1" applyAlignment="1">
      <alignment horizontal="center" vertical="center"/>
    </xf>
    <xf numFmtId="0" fontId="9" fillId="0" borderId="17" xfId="0" applyFont="1" applyBorder="1" applyAlignment="1">
      <alignment horizontal="center" vertical="center"/>
    </xf>
    <xf numFmtId="4" fontId="9" fillId="0" borderId="47" xfId="0" applyNumberFormat="1" applyFont="1" applyBorder="1" applyAlignment="1">
      <alignment horizontal="center" vertical="center" wrapText="1"/>
    </xf>
    <xf numFmtId="0" fontId="9" fillId="0" borderId="17" xfId="0" applyFont="1" applyBorder="1" applyAlignment="1">
      <alignment vertical="center"/>
    </xf>
    <xf numFmtId="0" fontId="9" fillId="0" borderId="48" xfId="0" applyFont="1" applyBorder="1" applyAlignment="1">
      <alignment horizontal="left" vertical="center"/>
    </xf>
    <xf numFmtId="0" fontId="9" fillId="0" borderId="17" xfId="0" applyFont="1" applyBorder="1" applyAlignment="1">
      <alignment horizontal="left" vertical="center" wrapText="1"/>
    </xf>
    <xf numFmtId="0" fontId="7" fillId="11" borderId="53" xfId="0" applyFont="1" applyFill="1" applyBorder="1" applyAlignment="1">
      <alignment horizontal="left" vertical="center"/>
    </xf>
    <xf numFmtId="0" fontId="7" fillId="11" borderId="15" xfId="0" applyFont="1" applyFill="1" applyBorder="1" applyAlignment="1">
      <alignment horizontal="center" vertical="center"/>
    </xf>
    <xf numFmtId="4" fontId="9" fillId="0" borderId="19" xfId="0" applyNumberFormat="1" applyFont="1" applyBorder="1" applyAlignment="1">
      <alignment horizontal="center" vertical="center"/>
    </xf>
    <xf numFmtId="0" fontId="10" fillId="0" borderId="4" xfId="0" applyFont="1" applyBorder="1" applyAlignment="1">
      <alignment horizontal="center" vertical="center"/>
    </xf>
    <xf numFmtId="4" fontId="10" fillId="0" borderId="19" xfId="0" applyNumberFormat="1" applyFont="1" applyBorder="1" applyAlignment="1">
      <alignment horizontal="center" vertical="center" wrapText="1"/>
    </xf>
    <xf numFmtId="0" fontId="9" fillId="0" borderId="48" xfId="0" applyFont="1" applyBorder="1" applyAlignment="1">
      <alignment horizontal="center" vertical="center"/>
    </xf>
    <xf numFmtId="0" fontId="9" fillId="0" borderId="4" xfId="0" applyFont="1" applyBorder="1" applyAlignment="1">
      <alignment horizontal="left" vertical="center" wrapText="1"/>
    </xf>
    <xf numFmtId="0" fontId="7" fillId="11" borderId="4" xfId="0" applyFont="1" applyFill="1" applyBorder="1" applyAlignment="1">
      <alignment horizontal="left" vertical="center"/>
    </xf>
    <xf numFmtId="0" fontId="9" fillId="0" borderId="61" xfId="0" applyFont="1" applyBorder="1" applyAlignment="1">
      <alignment horizontal="left" vertical="center"/>
    </xf>
    <xf numFmtId="0" fontId="18" fillId="11" borderId="9" xfId="0" applyFont="1" applyFill="1" applyBorder="1" applyAlignment="1">
      <alignment horizontal="center" vertical="center" wrapText="1"/>
    </xf>
    <xf numFmtId="0" fontId="18" fillId="11" borderId="46" xfId="0" applyFont="1" applyFill="1" applyBorder="1" applyAlignment="1">
      <alignment horizontal="center" vertical="center"/>
    </xf>
    <xf numFmtId="0" fontId="2" fillId="0" borderId="49" xfId="0" applyFont="1" applyBorder="1" applyAlignment="1">
      <alignment horizontal="left" vertical="center" wrapText="1"/>
    </xf>
    <xf numFmtId="0" fontId="7" fillId="0" borderId="35" xfId="0" applyFont="1" applyBorder="1" applyAlignment="1">
      <alignment horizontal="left" vertical="center" wrapText="1"/>
    </xf>
    <xf numFmtId="4" fontId="26" fillId="11" borderId="9" xfId="0" applyNumberFormat="1" applyFont="1" applyFill="1" applyBorder="1" applyAlignment="1">
      <alignment horizontal="center" vertical="center" wrapText="1"/>
    </xf>
    <xf numFmtId="0" fontId="7" fillId="11" borderId="57" xfId="0" applyFont="1" applyFill="1" applyBorder="1" applyAlignment="1">
      <alignment horizontal="left" vertical="center" wrapText="1"/>
    </xf>
    <xf numFmtId="0" fontId="27" fillId="11" borderId="9" xfId="0" applyFont="1" applyFill="1" applyBorder="1" applyAlignment="1">
      <alignment horizontal="center" vertical="center"/>
    </xf>
    <xf numFmtId="0" fontId="27" fillId="8" borderId="9" xfId="0" applyFont="1" applyFill="1" applyBorder="1" applyAlignment="1">
      <alignment horizontal="center" vertical="center"/>
    </xf>
    <xf numFmtId="0" fontId="27" fillId="11" borderId="34" xfId="0" applyFont="1" applyFill="1" applyBorder="1" applyAlignment="1">
      <alignment horizontal="center" vertical="center"/>
    </xf>
    <xf numFmtId="0" fontId="27" fillId="0" borderId="17" xfId="0" applyFont="1" applyBorder="1" applyAlignment="1">
      <alignment horizontal="left" vertical="center"/>
    </xf>
    <xf numFmtId="0" fontId="7" fillId="0" borderId="4" xfId="0" applyFont="1" applyBorder="1" applyAlignment="1">
      <alignment horizontal="left" vertical="center" wrapText="1"/>
    </xf>
    <xf numFmtId="0" fontId="27" fillId="11" borderId="4" xfId="0" applyFont="1" applyFill="1" applyBorder="1" applyAlignment="1">
      <alignment horizontal="left" vertical="center" wrapText="1"/>
    </xf>
    <xf numFmtId="0" fontId="27" fillId="11" borderId="19" xfId="0" applyFont="1" applyFill="1" applyBorder="1" applyAlignment="1">
      <alignment horizontal="center" vertical="center"/>
    </xf>
    <xf numFmtId="0" fontId="9" fillId="0" borderId="4" xfId="0" applyFont="1" applyBorder="1" applyAlignment="1">
      <alignment horizontal="left" vertical="center"/>
    </xf>
    <xf numFmtId="0" fontId="27" fillId="0" borderId="17" xfId="0" applyFont="1" applyBorder="1" applyAlignment="1">
      <alignment horizontal="left" vertical="center" wrapText="1"/>
    </xf>
    <xf numFmtId="0" fontId="40" fillId="17" borderId="7" xfId="0" applyFont="1" applyFill="1" applyBorder="1" applyAlignment="1">
      <alignment horizontal="left" vertical="center"/>
    </xf>
    <xf numFmtId="0" fontId="9" fillId="0" borderId="12" xfId="0" applyFont="1" applyBorder="1" applyAlignment="1">
      <alignment horizontal="left" vertical="center"/>
    </xf>
    <xf numFmtId="0" fontId="38" fillId="11" borderId="49" xfId="0" applyFont="1" applyFill="1" applyBorder="1" applyAlignment="1">
      <alignment horizontal="center" vertical="center" wrapText="1"/>
    </xf>
    <xf numFmtId="0" fontId="26" fillId="8" borderId="9" xfId="0" applyFont="1" applyFill="1" applyBorder="1" applyAlignment="1">
      <alignment horizontal="center" vertical="center"/>
    </xf>
    <xf numFmtId="10" fontId="27" fillId="8" borderId="36" xfId="0" applyNumberFormat="1" applyFont="1" applyFill="1" applyBorder="1" applyAlignment="1">
      <alignment horizontal="center" vertical="center"/>
    </xf>
    <xf numFmtId="0" fontId="27" fillId="8" borderId="36" xfId="0" applyFont="1" applyFill="1" applyBorder="1" applyAlignment="1">
      <alignment horizontal="left" vertical="center" wrapText="1"/>
    </xf>
    <xf numFmtId="0" fontId="39" fillId="8" borderId="9" xfId="0" applyFont="1" applyFill="1" applyBorder="1" applyAlignment="1">
      <alignment horizontal="center" vertical="center"/>
    </xf>
    <xf numFmtId="0" fontId="9" fillId="0" borderId="46" xfId="0" applyFont="1" applyBorder="1" applyAlignment="1">
      <alignment horizontal="left" vertical="center" wrapText="1"/>
    </xf>
    <xf numFmtId="0" fontId="9" fillId="0" borderId="49" xfId="0" applyFont="1" applyBorder="1" applyAlignment="1">
      <alignment horizontal="left" vertical="top" wrapText="1"/>
    </xf>
    <xf numFmtId="0" fontId="1" fillId="0" borderId="3" xfId="0" applyFont="1" applyBorder="1" applyAlignment="1">
      <alignment horizontal="left" vertical="center" wrapText="1"/>
    </xf>
    <xf numFmtId="0" fontId="7" fillId="0" borderId="69" xfId="0" applyFont="1" applyBorder="1" applyAlignment="1">
      <alignment horizontal="center" vertical="center" textRotation="91"/>
    </xf>
    <xf numFmtId="0" fontId="18" fillId="11" borderId="9" xfId="0" applyFont="1" applyFill="1" applyBorder="1" applyAlignment="1">
      <alignment horizontal="left" vertical="center"/>
    </xf>
    <xf numFmtId="0" fontId="13" fillId="0" borderId="46" xfId="0" applyFont="1" applyBorder="1" applyAlignment="1">
      <alignment horizontal="left"/>
    </xf>
    <xf numFmtId="0" fontId="9" fillId="11" borderId="42" xfId="0" applyFont="1" applyFill="1" applyBorder="1" applyAlignment="1">
      <alignment horizontal="center" vertical="center" wrapText="1"/>
    </xf>
    <xf numFmtId="0" fontId="9" fillId="11" borderId="54" xfId="0" applyFont="1" applyFill="1" applyBorder="1" applyAlignment="1">
      <alignment horizontal="center" vertical="center" wrapText="1"/>
    </xf>
    <xf numFmtId="0" fontId="9" fillId="11" borderId="35" xfId="0" applyFont="1" applyFill="1" applyBorder="1" applyAlignment="1">
      <alignment horizontal="center" vertical="center" wrapText="1"/>
    </xf>
    <xf numFmtId="0" fontId="9" fillId="11" borderId="53" xfId="0" applyFont="1" applyFill="1" applyBorder="1" applyAlignment="1">
      <alignment horizontal="center" vertical="center" wrapText="1"/>
    </xf>
    <xf numFmtId="0" fontId="20" fillId="18"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9" fillId="8" borderId="67" xfId="0" applyFont="1" applyFill="1" applyBorder="1" applyAlignment="1">
      <alignment horizontal="center" vertical="center"/>
    </xf>
    <xf numFmtId="0" fontId="18" fillId="11" borderId="68" xfId="0" applyFont="1" applyFill="1" applyBorder="1" applyAlignment="1">
      <alignment horizontal="center" vertical="center" wrapText="1"/>
    </xf>
    <xf numFmtId="0" fontId="7" fillId="11" borderId="49" xfId="0" applyFont="1" applyFill="1" applyBorder="1" applyAlignment="1">
      <alignment horizontal="center" vertical="center" textRotation="90"/>
    </xf>
    <xf numFmtId="0" fontId="5" fillId="11" borderId="46" xfId="0" applyFont="1" applyFill="1" applyBorder="1" applyAlignment="1">
      <alignment horizontal="center" vertical="center" wrapText="1"/>
    </xf>
    <xf numFmtId="0" fontId="18" fillId="11" borderId="64" xfId="0" applyFont="1" applyFill="1" applyBorder="1" applyAlignment="1">
      <alignment horizontal="center" vertical="center"/>
    </xf>
    <xf numFmtId="0" fontId="18" fillId="11" borderId="49" xfId="0" applyFont="1" applyFill="1" applyBorder="1" applyAlignment="1">
      <alignment horizontal="center" vertical="center" wrapText="1"/>
    </xf>
    <xf numFmtId="0" fontId="5" fillId="11" borderId="54"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36"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17" fillId="11" borderId="69" xfId="0" applyFont="1" applyFill="1" applyBorder="1" applyAlignment="1">
      <alignment horizontal="center" vertical="center" wrapText="1"/>
    </xf>
    <xf numFmtId="0" fontId="9" fillId="11" borderId="34" xfId="0" applyFont="1" applyFill="1" applyBorder="1" applyAlignment="1">
      <alignment horizontal="center" vertical="center" wrapText="1"/>
    </xf>
    <xf numFmtId="0" fontId="7" fillId="11" borderId="4" xfId="0" applyFont="1" applyFill="1" applyBorder="1" applyAlignment="1">
      <alignment horizontal="center" vertical="center"/>
    </xf>
    <xf numFmtId="0" fontId="7" fillId="9" borderId="4" xfId="0" applyFont="1" applyFill="1" applyBorder="1" applyAlignment="1">
      <alignment horizontal="center"/>
    </xf>
    <xf numFmtId="0" fontId="30" fillId="11" borderId="4" xfId="0" applyFont="1" applyFill="1" applyBorder="1" applyAlignment="1">
      <alignment horizontal="center" vertical="center" wrapText="1"/>
    </xf>
    <xf numFmtId="0" fontId="20" fillId="11" borderId="3" xfId="0" applyFont="1" applyFill="1" applyBorder="1" applyAlignment="1">
      <alignment horizontal="center" vertical="center"/>
    </xf>
    <xf numFmtId="0" fontId="28" fillId="15" borderId="4" xfId="0" applyFont="1" applyFill="1" applyBorder="1" applyAlignment="1">
      <alignment horizontal="center" vertical="center"/>
    </xf>
    <xf numFmtId="0" fontId="26" fillId="0" borderId="21" xfId="0" applyFont="1" applyBorder="1" applyAlignment="1">
      <alignment horizontal="left" vertical="center"/>
    </xf>
    <xf numFmtId="0" fontId="18" fillId="15" borderId="4" xfId="0" applyFont="1" applyFill="1" applyBorder="1" applyAlignment="1">
      <alignment horizontal="center" vertical="center" wrapText="1"/>
    </xf>
  </cellXfs>
  <cellStyles count="5">
    <cellStyle name="Moeda" xfId="2" builtinId="4"/>
    <cellStyle name="Normal" xfId="0" builtinId="0"/>
    <cellStyle name="Porcentagem" xfId="3" builtinId="5"/>
    <cellStyle name="Separador de milhares" xfId="1" builtinId="3"/>
    <cellStyle name="Texto Explicativo" xfId="4" builtinId="53" customBuiltin="1"/>
  </cellStyles>
  <dxfs count="1">
    <dxf>
      <alignment horizontal="general" vertical="bottom" textRotation="0" wrapText="0" indent="0" relativeIndent="255" shrinkToFit="0" readingOrder="1"/>
    </dxf>
  </dxfs>
  <tableStyles count="0" defaultTableStyle="TableStyleMedium2" defaultPivotStyle="PivotStyleLight16"/>
  <colors>
    <indexedColors>
      <rgbColor rgb="FF000000"/>
      <rgbColor rgb="FFFFFFFF"/>
      <rgbColor rgb="FFFF0000"/>
      <rgbColor rgb="FF00FF00"/>
      <rgbColor rgb="FF0000FF"/>
      <rgbColor rgb="FFFFF2CC"/>
      <rgbColor rgb="FFFF00FF"/>
      <rgbColor rgb="FF00FFFF"/>
      <rgbColor rgb="FF9C0006"/>
      <rgbColor rgb="FF006100"/>
      <rgbColor rgb="FF000080"/>
      <rgbColor rgb="FF808000"/>
      <rgbColor rgb="FF800080"/>
      <rgbColor rgb="FF008080"/>
      <rgbColor rgb="FFC0C0C0"/>
      <rgbColor rgb="FF808080"/>
      <rgbColor rgb="FFD9D9D9"/>
      <rgbColor rgb="FF993366"/>
      <rgbColor rgb="FFFFFFCC"/>
      <rgbColor rgb="FFDEEBF7"/>
      <rgbColor rgb="FF660066"/>
      <rgbColor rgb="FFFF8080"/>
      <rgbColor rgb="FF0070C0"/>
      <rgbColor rgb="FFBDD7EE"/>
      <rgbColor rgb="FF000080"/>
      <rgbColor rgb="FFFF00FF"/>
      <rgbColor rgb="FFF2F2F2"/>
      <rgbColor rgb="FF00FFFF"/>
      <rgbColor rgb="FF800080"/>
      <rgbColor rgb="FFC00000"/>
      <rgbColor rgb="FF008080"/>
      <rgbColor rgb="FF0000FF"/>
      <rgbColor rgb="FF00B0F0"/>
      <rgbColor rgb="FFDCE6F2"/>
      <rgbColor rgb="FFC6EFCE"/>
      <rgbColor rgb="FFFFFF99"/>
      <rgbColor rgb="FFADB9CA"/>
      <rgbColor rgb="FFFFC7CE"/>
      <rgbColor rgb="FFBFBFBF"/>
      <rgbColor rgb="FFF8CBAD"/>
      <rgbColor rgb="FF3366CC"/>
      <rgbColor rgb="FF33CCCC"/>
      <rgbColor rgb="FF99CC00"/>
      <rgbColor rgb="FFF2DCDB"/>
      <rgbColor rgb="FFFF9900"/>
      <rgbColor rgb="FFFF6600"/>
      <rgbColor rgb="FF606060"/>
      <rgbColor rgb="FF969696"/>
      <rgbColor rgb="FF10243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38160</xdr:colOff>
      <xdr:row>0</xdr:row>
      <xdr:rowOff>76320</xdr:rowOff>
    </xdr:from>
    <xdr:to>
      <xdr:col>1</xdr:col>
      <xdr:colOff>525</xdr:colOff>
      <xdr:row>2</xdr:row>
      <xdr:rowOff>95760</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xdr:blipFill>
      <xdr:spPr>
        <a:xfrm>
          <a:off x="38160" y="76320"/>
          <a:ext cx="410040" cy="48600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579600</xdr:colOff>
      <xdr:row>2</xdr:row>
      <xdr:rowOff>134280</xdr:rowOff>
    </xdr:to>
    <xdr:pic>
      <xdr:nvPicPr>
        <xdr:cNvPr id="9" name="Picture 1">
          <a:extLst>
            <a:ext uri="{FF2B5EF4-FFF2-40B4-BE49-F238E27FC236}">
              <a16:creationId xmlns:a16="http://schemas.microsoft.com/office/drawing/2014/main" xmlns="" id="{00000000-0008-0000-0900-000009000000}"/>
            </a:ext>
          </a:extLst>
        </xdr:cNvPr>
        <xdr:cNvPicPr/>
      </xdr:nvPicPr>
      <xdr:blipFill>
        <a:blip xmlns:r="http://schemas.openxmlformats.org/officeDocument/2006/relationships" r:embed="rId1" cstate="print"/>
        <a:stretch/>
      </xdr:blipFill>
      <xdr:spPr>
        <a:xfrm>
          <a:off x="171360" y="38160"/>
          <a:ext cx="408240" cy="46188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577800</xdr:colOff>
      <xdr:row>2</xdr:row>
      <xdr:rowOff>130320</xdr:rowOff>
    </xdr:to>
    <xdr:pic>
      <xdr:nvPicPr>
        <xdr:cNvPr id="10" name="Picture 1">
          <a:extLst>
            <a:ext uri="{FF2B5EF4-FFF2-40B4-BE49-F238E27FC236}">
              <a16:creationId xmlns:a16="http://schemas.microsoft.com/office/drawing/2014/main" xmlns="" id="{00000000-0008-0000-0A00-00000A000000}"/>
            </a:ext>
          </a:extLst>
        </xdr:cNvPr>
        <xdr:cNvPicPr/>
      </xdr:nvPicPr>
      <xdr:blipFill>
        <a:blip xmlns:r="http://schemas.openxmlformats.org/officeDocument/2006/relationships" r:embed="rId1" cstate="print"/>
        <a:stretch/>
      </xdr:blipFill>
      <xdr:spPr>
        <a:xfrm>
          <a:off x="171360" y="38160"/>
          <a:ext cx="406440" cy="457920"/>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397080</xdr:colOff>
      <xdr:row>2</xdr:row>
      <xdr:rowOff>25560</xdr:rowOff>
    </xdr:to>
    <xdr:pic>
      <xdr:nvPicPr>
        <xdr:cNvPr id="11" name="Picture 1">
          <a:extLst>
            <a:ext uri="{FF2B5EF4-FFF2-40B4-BE49-F238E27FC236}">
              <a16:creationId xmlns:a16="http://schemas.microsoft.com/office/drawing/2014/main" xmlns="" id="{00000000-0008-0000-0B00-00000B000000}"/>
            </a:ext>
          </a:extLst>
        </xdr:cNvPr>
        <xdr:cNvPicPr/>
      </xdr:nvPicPr>
      <xdr:blipFill>
        <a:blip xmlns:r="http://schemas.openxmlformats.org/officeDocument/2006/relationships" r:embed="rId1" cstate="print"/>
        <a:stretch/>
      </xdr:blipFill>
      <xdr:spPr>
        <a:xfrm>
          <a:off x="95400" y="57240"/>
          <a:ext cx="301680" cy="334080"/>
        </a:xfrm>
        <a:prstGeom prst="rect">
          <a:avLst/>
        </a:prstGeom>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257040</xdr:colOff>
      <xdr:row>0</xdr:row>
      <xdr:rowOff>66600</xdr:rowOff>
    </xdr:from>
    <xdr:to>
      <xdr:col>0</xdr:col>
      <xdr:colOff>663480</xdr:colOff>
      <xdr:row>2</xdr:row>
      <xdr:rowOff>101520</xdr:rowOff>
    </xdr:to>
    <xdr:pic>
      <xdr:nvPicPr>
        <xdr:cNvPr id="12" name="Picture 1">
          <a:extLst>
            <a:ext uri="{FF2B5EF4-FFF2-40B4-BE49-F238E27FC236}">
              <a16:creationId xmlns:a16="http://schemas.microsoft.com/office/drawing/2014/main" xmlns="" id="{00000000-0008-0000-0C00-00000C000000}"/>
            </a:ext>
          </a:extLst>
        </xdr:cNvPr>
        <xdr:cNvPicPr/>
      </xdr:nvPicPr>
      <xdr:blipFill>
        <a:blip xmlns:r="http://schemas.openxmlformats.org/officeDocument/2006/relationships" r:embed="rId1" cstate="print"/>
        <a:stretch/>
      </xdr:blipFill>
      <xdr:spPr>
        <a:xfrm>
          <a:off x="257040" y="66600"/>
          <a:ext cx="406440" cy="400680"/>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66600</xdr:colOff>
      <xdr:row>0</xdr:row>
      <xdr:rowOff>38160</xdr:rowOff>
    </xdr:from>
    <xdr:to>
      <xdr:col>0</xdr:col>
      <xdr:colOff>532440</xdr:colOff>
      <xdr:row>2</xdr:row>
      <xdr:rowOff>113760</xdr:rowOff>
    </xdr:to>
    <xdr:pic>
      <xdr:nvPicPr>
        <xdr:cNvPr id="13" name="Picture 1">
          <a:extLst>
            <a:ext uri="{FF2B5EF4-FFF2-40B4-BE49-F238E27FC236}">
              <a16:creationId xmlns:a16="http://schemas.microsoft.com/office/drawing/2014/main" xmlns="" id="{00000000-0008-0000-0D00-00000D000000}"/>
            </a:ext>
          </a:extLst>
        </xdr:cNvPr>
        <xdr:cNvPicPr/>
      </xdr:nvPicPr>
      <xdr:blipFill>
        <a:blip xmlns:r="http://schemas.openxmlformats.org/officeDocument/2006/relationships" r:embed="rId1" cstate="print"/>
        <a:stretch/>
      </xdr:blipFill>
      <xdr:spPr>
        <a:xfrm>
          <a:off x="66600" y="38160"/>
          <a:ext cx="465840" cy="441360"/>
        </a:xfrm>
        <a:prstGeom prst="rect">
          <a:avLst/>
        </a:prstGeom>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142920</xdr:colOff>
      <xdr:row>0</xdr:row>
      <xdr:rowOff>38160</xdr:rowOff>
    </xdr:from>
    <xdr:to>
      <xdr:col>0</xdr:col>
      <xdr:colOff>453960</xdr:colOff>
      <xdr:row>2</xdr:row>
      <xdr:rowOff>130320</xdr:rowOff>
    </xdr:to>
    <xdr:pic>
      <xdr:nvPicPr>
        <xdr:cNvPr id="14" name="Picture 1">
          <a:extLst>
            <a:ext uri="{FF2B5EF4-FFF2-40B4-BE49-F238E27FC236}">
              <a16:creationId xmlns:a16="http://schemas.microsoft.com/office/drawing/2014/main" xmlns="" id="{00000000-0008-0000-0E00-00000E000000}"/>
            </a:ext>
          </a:extLst>
        </xdr:cNvPr>
        <xdr:cNvPicPr/>
      </xdr:nvPicPr>
      <xdr:blipFill>
        <a:blip xmlns:r="http://schemas.openxmlformats.org/officeDocument/2006/relationships" r:embed="rId1" cstate="print"/>
        <a:stretch/>
      </xdr:blipFill>
      <xdr:spPr>
        <a:xfrm>
          <a:off x="142920" y="38160"/>
          <a:ext cx="311040" cy="4579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399960</xdr:colOff>
      <xdr:row>2</xdr:row>
      <xdr:rowOff>25560</xdr:rowOff>
    </xdr:to>
    <xdr:pic>
      <xdr:nvPicPr>
        <xdr:cNvPr id="2" name="Picture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tretch/>
      </xdr:blipFill>
      <xdr:spPr>
        <a:xfrm>
          <a:off x="95400" y="57240"/>
          <a:ext cx="304560" cy="3340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112680</xdr:colOff>
      <xdr:row>0</xdr:row>
      <xdr:rowOff>56160</xdr:rowOff>
    </xdr:from>
    <xdr:to>
      <xdr:col>0</xdr:col>
      <xdr:colOff>568440</xdr:colOff>
      <xdr:row>2</xdr:row>
      <xdr:rowOff>201600</xdr:rowOff>
    </xdr:to>
    <xdr:pic>
      <xdr:nvPicPr>
        <xdr:cNvPr id="2" name="Picture 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tretch/>
      </xdr:blipFill>
      <xdr:spPr>
        <a:xfrm>
          <a:off x="112680" y="56160"/>
          <a:ext cx="455760" cy="5112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47520</xdr:colOff>
      <xdr:row>0</xdr:row>
      <xdr:rowOff>0</xdr:rowOff>
    </xdr:from>
    <xdr:to>
      <xdr:col>0</xdr:col>
      <xdr:colOff>453960</xdr:colOff>
      <xdr:row>2</xdr:row>
      <xdr:rowOff>92160</xdr:rowOff>
    </xdr:to>
    <xdr:pic>
      <xdr:nvPicPr>
        <xdr:cNvPr id="3" name="Picture 1">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cstate="print"/>
        <a:stretch/>
      </xdr:blipFill>
      <xdr:spPr>
        <a:xfrm>
          <a:off x="47520" y="0"/>
          <a:ext cx="406440" cy="4579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67320</xdr:colOff>
      <xdr:row>0</xdr:row>
      <xdr:rowOff>111960</xdr:rowOff>
    </xdr:from>
    <xdr:to>
      <xdr:col>1</xdr:col>
      <xdr:colOff>21960</xdr:colOff>
      <xdr:row>2</xdr:row>
      <xdr:rowOff>45720</xdr:rowOff>
    </xdr:to>
    <xdr:pic>
      <xdr:nvPicPr>
        <xdr:cNvPr id="4" name="Picture 1">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1" cstate="print"/>
        <a:stretch/>
      </xdr:blipFill>
      <xdr:spPr>
        <a:xfrm>
          <a:off x="67320" y="111960"/>
          <a:ext cx="308160" cy="3430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38160</xdr:colOff>
      <xdr:row>0</xdr:row>
      <xdr:rowOff>85680</xdr:rowOff>
    </xdr:from>
    <xdr:to>
      <xdr:col>0</xdr:col>
      <xdr:colOff>362880</xdr:colOff>
      <xdr:row>2</xdr:row>
      <xdr:rowOff>97920</xdr:rowOff>
    </xdr:to>
    <xdr:pic>
      <xdr:nvPicPr>
        <xdr:cNvPr id="5" name="Picture 1">
          <a:extLst>
            <a:ext uri="{FF2B5EF4-FFF2-40B4-BE49-F238E27FC236}">
              <a16:creationId xmlns:a16="http://schemas.microsoft.com/office/drawing/2014/main" xmlns="" id="{00000000-0008-0000-0500-000005000000}"/>
            </a:ext>
          </a:extLst>
        </xdr:cNvPr>
        <xdr:cNvPicPr/>
      </xdr:nvPicPr>
      <xdr:blipFill>
        <a:blip xmlns:r="http://schemas.openxmlformats.org/officeDocument/2006/relationships" r:embed="rId1" cstate="print"/>
        <a:stretch/>
      </xdr:blipFill>
      <xdr:spPr>
        <a:xfrm>
          <a:off x="38160" y="85680"/>
          <a:ext cx="324720" cy="29772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38160</xdr:colOff>
      <xdr:row>0</xdr:row>
      <xdr:rowOff>85680</xdr:rowOff>
    </xdr:from>
    <xdr:to>
      <xdr:col>0</xdr:col>
      <xdr:colOff>358920</xdr:colOff>
      <xdr:row>2</xdr:row>
      <xdr:rowOff>101520</xdr:rowOff>
    </xdr:to>
    <xdr:pic>
      <xdr:nvPicPr>
        <xdr:cNvPr id="6" name="Picture 1">
          <a:extLst>
            <a:ext uri="{FF2B5EF4-FFF2-40B4-BE49-F238E27FC236}">
              <a16:creationId xmlns:a16="http://schemas.microsoft.com/office/drawing/2014/main" xmlns="" id="{00000000-0008-0000-0600-000006000000}"/>
            </a:ext>
          </a:extLst>
        </xdr:cNvPr>
        <xdr:cNvPicPr/>
      </xdr:nvPicPr>
      <xdr:blipFill>
        <a:blip xmlns:r="http://schemas.openxmlformats.org/officeDocument/2006/relationships" r:embed="rId1" cstate="print"/>
        <a:stretch/>
      </xdr:blipFill>
      <xdr:spPr>
        <a:xfrm>
          <a:off x="38160" y="85680"/>
          <a:ext cx="320760" cy="3013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264600</xdr:colOff>
      <xdr:row>0</xdr:row>
      <xdr:rowOff>52200</xdr:rowOff>
    </xdr:from>
    <xdr:to>
      <xdr:col>0</xdr:col>
      <xdr:colOff>626400</xdr:colOff>
      <xdr:row>2</xdr:row>
      <xdr:rowOff>85680</xdr:rowOff>
    </xdr:to>
    <xdr:pic>
      <xdr:nvPicPr>
        <xdr:cNvPr id="7" name="Picture 1">
          <a:extLst>
            <a:ext uri="{FF2B5EF4-FFF2-40B4-BE49-F238E27FC236}">
              <a16:creationId xmlns:a16="http://schemas.microsoft.com/office/drawing/2014/main" xmlns="" id="{00000000-0008-0000-0700-000007000000}"/>
            </a:ext>
          </a:extLst>
        </xdr:cNvPr>
        <xdr:cNvPicPr/>
      </xdr:nvPicPr>
      <xdr:blipFill>
        <a:blip xmlns:r="http://schemas.openxmlformats.org/officeDocument/2006/relationships" r:embed="rId1" cstate="print"/>
        <a:stretch/>
      </xdr:blipFill>
      <xdr:spPr>
        <a:xfrm>
          <a:off x="264600" y="52200"/>
          <a:ext cx="361800" cy="35712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577800</xdr:colOff>
      <xdr:row>2</xdr:row>
      <xdr:rowOff>130320</xdr:rowOff>
    </xdr:to>
    <xdr:pic>
      <xdr:nvPicPr>
        <xdr:cNvPr id="8" name="Picture 1">
          <a:extLst>
            <a:ext uri="{FF2B5EF4-FFF2-40B4-BE49-F238E27FC236}">
              <a16:creationId xmlns:a16="http://schemas.microsoft.com/office/drawing/2014/main" xmlns="" id="{00000000-0008-0000-0800-000008000000}"/>
            </a:ext>
          </a:extLst>
        </xdr:cNvPr>
        <xdr:cNvPicPr/>
      </xdr:nvPicPr>
      <xdr:blipFill>
        <a:blip xmlns:r="http://schemas.openxmlformats.org/officeDocument/2006/relationships" r:embed="rId1" cstate="print"/>
        <a:stretch/>
      </xdr:blipFill>
      <xdr:spPr>
        <a:xfrm>
          <a:off x="171360" y="38160"/>
          <a:ext cx="406440" cy="4579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AMK87"/>
  <sheetViews>
    <sheetView showGridLines="0" zoomScale="95" zoomScaleNormal="95" workbookViewId="0">
      <selection activeCell="A4" sqref="A4:XFD87"/>
    </sheetView>
  </sheetViews>
  <sheetFormatPr defaultRowHeight="14.4"/>
  <cols>
    <col min="1" max="1" width="6.33203125" style="1" customWidth="1"/>
    <col min="2" max="2" width="41.44140625" style="1" customWidth="1"/>
    <col min="3" max="3" width="7.88671875" style="1" customWidth="1"/>
    <col min="4" max="4" width="16.33203125" style="1" customWidth="1"/>
    <col min="5" max="5" width="12.88671875" style="1" customWidth="1"/>
    <col min="6" max="6" width="16.33203125" style="1" customWidth="1"/>
    <col min="7" max="7" width="17.6640625" style="1" customWidth="1"/>
    <col min="8" max="8" width="20" style="1" customWidth="1"/>
    <col min="9" max="10" width="16.33203125" style="1" customWidth="1"/>
    <col min="11" max="12" width="13.88671875" style="2" customWidth="1"/>
    <col min="13" max="13" width="14.33203125" style="2" customWidth="1"/>
    <col min="14" max="14" width="15.44140625" style="1" customWidth="1"/>
    <col min="15" max="15" width="12.88671875" style="1" customWidth="1"/>
    <col min="16" max="16" width="16.44140625" style="1" customWidth="1"/>
    <col min="17" max="17" width="12" style="1" customWidth="1"/>
    <col min="18" max="18" width="16.44140625" style="3" customWidth="1"/>
    <col min="19" max="19" width="10.109375" style="3" customWidth="1"/>
    <col min="20" max="20" width="13.33203125" style="3" customWidth="1"/>
    <col min="21" max="21" width="13.88671875" style="3" customWidth="1"/>
    <col min="22" max="22" width="13.6640625" style="3" customWidth="1"/>
    <col min="23" max="23" width="12.33203125" style="3" customWidth="1"/>
    <col min="24" max="256" width="9.109375" style="1" customWidth="1"/>
    <col min="257" max="257" width="6.33203125" style="1" customWidth="1"/>
    <col min="258" max="258" width="41.44140625" style="1" customWidth="1"/>
    <col min="259" max="259" width="7.88671875" style="1" customWidth="1"/>
    <col min="260" max="260" width="16.33203125" style="1" customWidth="1"/>
    <col min="261" max="261" width="12.88671875" style="1" customWidth="1"/>
    <col min="262" max="263" width="16.33203125" style="1" customWidth="1"/>
    <col min="264" max="264" width="13.33203125" style="1" customWidth="1"/>
    <col min="265" max="266" width="16.33203125" style="1" customWidth="1"/>
    <col min="267" max="268" width="13.88671875" style="1" customWidth="1"/>
    <col min="269" max="269" width="13" style="1" customWidth="1"/>
    <col min="270" max="270" width="13.5546875" style="1" customWidth="1"/>
    <col min="271" max="271" width="12.88671875" style="1" customWidth="1"/>
    <col min="272" max="272" width="14.109375" style="1" customWidth="1"/>
    <col min="273" max="273" width="12" style="1" customWidth="1"/>
    <col min="274" max="274" width="13" style="1" customWidth="1"/>
    <col min="275" max="275" width="11.88671875" style="1" customWidth="1"/>
    <col min="276" max="276" width="13.33203125" style="1" customWidth="1"/>
    <col min="277" max="277" width="12.33203125" style="1" customWidth="1"/>
    <col min="278" max="278" width="12.44140625" style="1" customWidth="1"/>
    <col min="279" max="279" width="10.5546875" style="1" customWidth="1"/>
    <col min="280" max="512" width="9.109375" style="1" customWidth="1"/>
    <col min="513" max="513" width="6.33203125" style="1" customWidth="1"/>
    <col min="514" max="514" width="41.44140625" style="1" customWidth="1"/>
    <col min="515" max="515" width="7.88671875" style="1" customWidth="1"/>
    <col min="516" max="516" width="16.33203125" style="1" customWidth="1"/>
    <col min="517" max="517" width="12.88671875" style="1" customWidth="1"/>
    <col min="518" max="519" width="16.33203125" style="1" customWidth="1"/>
    <col min="520" max="520" width="13.33203125" style="1" customWidth="1"/>
    <col min="521" max="522" width="16.33203125" style="1" customWidth="1"/>
    <col min="523" max="524" width="13.88671875" style="1" customWidth="1"/>
    <col min="525" max="525" width="13" style="1" customWidth="1"/>
    <col min="526" max="526" width="13.5546875" style="1" customWidth="1"/>
    <col min="527" max="527" width="12.88671875" style="1" customWidth="1"/>
    <col min="528" max="528" width="14.109375" style="1" customWidth="1"/>
    <col min="529" max="529" width="12" style="1" customWidth="1"/>
    <col min="530" max="530" width="13" style="1" customWidth="1"/>
    <col min="531" max="531" width="11.88671875" style="1" customWidth="1"/>
    <col min="532" max="532" width="13.33203125" style="1" customWidth="1"/>
    <col min="533" max="533" width="12.33203125" style="1" customWidth="1"/>
    <col min="534" max="534" width="12.44140625" style="1" customWidth="1"/>
    <col min="535" max="535" width="10.5546875" style="1" customWidth="1"/>
    <col min="536" max="768" width="9.109375" style="1" customWidth="1"/>
    <col min="769" max="769" width="6.33203125" style="1" customWidth="1"/>
    <col min="770" max="770" width="41.44140625" style="1" customWidth="1"/>
    <col min="771" max="771" width="7.88671875" style="1" customWidth="1"/>
    <col min="772" max="772" width="16.33203125" style="1" customWidth="1"/>
    <col min="773" max="773" width="12.88671875" style="1" customWidth="1"/>
    <col min="774" max="775" width="16.33203125" style="1" customWidth="1"/>
    <col min="776" max="776" width="13.33203125" style="1" customWidth="1"/>
    <col min="777" max="778" width="16.33203125" style="1" customWidth="1"/>
    <col min="779" max="780" width="13.88671875" style="1" customWidth="1"/>
    <col min="781" max="781" width="13" style="1" customWidth="1"/>
    <col min="782" max="782" width="13.5546875" style="1" customWidth="1"/>
    <col min="783" max="783" width="12.88671875" style="1" customWidth="1"/>
    <col min="784" max="784" width="14.109375" style="1" customWidth="1"/>
    <col min="785" max="785" width="12" style="1" customWidth="1"/>
    <col min="786" max="786" width="13" style="1" customWidth="1"/>
    <col min="787" max="787" width="11.88671875" style="1" customWidth="1"/>
    <col min="788" max="788" width="13.33203125" style="1" customWidth="1"/>
    <col min="789" max="789" width="12.33203125" style="1" customWidth="1"/>
    <col min="790" max="790" width="12.44140625" style="1" customWidth="1"/>
    <col min="791" max="791" width="10.5546875" style="1" customWidth="1"/>
    <col min="792" max="1025" width="9.109375" style="1" customWidth="1"/>
  </cols>
  <sheetData>
    <row r="1" spans="1:23" ht="17.25" customHeight="1">
      <c r="A1" s="4"/>
      <c r="B1" s="5" t="str">
        <f>INSTRUÇÕES!B1</f>
        <v>Tribunal Regional Federal da 6ª Região</v>
      </c>
      <c r="T1" s="6"/>
      <c r="U1" s="6"/>
      <c r="V1" s="6"/>
    </row>
    <row r="2" spans="1:23" s="11" customFormat="1" ht="19.5" customHeight="1">
      <c r="A2" s="7"/>
      <c r="B2" s="8" t="str">
        <f>INSTRUÇÕES!B2</f>
        <v>Seção Judiciária de Minas Gerais</v>
      </c>
      <c r="C2" s="560" t="s">
        <v>0</v>
      </c>
      <c r="D2" s="560"/>
      <c r="E2" s="560"/>
      <c r="F2" s="560"/>
      <c r="G2" s="560"/>
      <c r="H2" s="560"/>
      <c r="I2" s="560"/>
      <c r="J2" s="560"/>
      <c r="K2" s="560"/>
      <c r="L2" s="560"/>
      <c r="M2" s="560"/>
      <c r="N2" s="560"/>
      <c r="O2" s="560"/>
      <c r="P2" s="560"/>
      <c r="Q2" s="560"/>
      <c r="R2" s="560"/>
      <c r="S2" s="560"/>
      <c r="T2" s="9"/>
      <c r="U2" s="9"/>
      <c r="V2" s="9"/>
      <c r="W2" s="10"/>
    </row>
    <row r="3" spans="1:23" s="11" customFormat="1" ht="23.4">
      <c r="A3" s="7"/>
      <c r="B3" s="12" t="str">
        <f>INSTRUÇÕES!B3</f>
        <v>Subseção Judiciária de Divinópolis</v>
      </c>
      <c r="C3" s="560" t="s">
        <v>1</v>
      </c>
      <c r="D3" s="560"/>
      <c r="E3" s="560"/>
      <c r="F3" s="560"/>
      <c r="G3" s="560"/>
      <c r="H3" s="560"/>
      <c r="I3" s="560"/>
      <c r="J3" s="560"/>
      <c r="K3" s="560"/>
      <c r="L3" s="560"/>
      <c r="M3" s="560"/>
      <c r="N3" s="560"/>
      <c r="O3" s="560"/>
      <c r="P3" s="560"/>
      <c r="Q3" s="560"/>
      <c r="R3" s="560"/>
      <c r="S3" s="560"/>
      <c r="W3" s="10"/>
    </row>
    <row r="4" spans="1:23" s="17" customFormat="1" ht="30.75" hidden="1" customHeight="1">
      <c r="A4" s="561" t="s">
        <v>2</v>
      </c>
      <c r="B4" s="561"/>
      <c r="C4" s="561"/>
      <c r="D4" s="562" t="s">
        <v>3</v>
      </c>
      <c r="E4" s="562"/>
      <c r="F4" s="14"/>
      <c r="G4" s="14"/>
      <c r="H4" s="14"/>
      <c r="I4" s="14"/>
      <c r="J4" s="15"/>
      <c r="K4" s="15"/>
      <c r="L4" s="15"/>
      <c r="M4" s="15"/>
      <c r="N4" s="15"/>
      <c r="O4" s="16"/>
      <c r="R4" s="18"/>
      <c r="S4" s="18"/>
      <c r="T4" s="18"/>
      <c r="U4" s="18"/>
      <c r="V4" s="18"/>
      <c r="W4" s="18"/>
    </row>
    <row r="5" spans="1:23" s="17" customFormat="1" ht="23.25" hidden="1" customHeight="1">
      <c r="A5" s="561" t="s">
        <v>4</v>
      </c>
      <c r="B5" s="561"/>
      <c r="C5" s="561"/>
      <c r="D5" s="13" t="s">
        <v>5</v>
      </c>
      <c r="E5" s="19">
        <f>VLOOKUP(D5,B70:C73,2,FALSE())</f>
        <v>30</v>
      </c>
      <c r="F5" s="14" t="str">
        <f>VLOOKUP(D5,B71:D73,3,FALSE())</f>
        <v>Obs: Desconto atualmente aplicado (30 dias corridos).</v>
      </c>
      <c r="G5" s="14"/>
      <c r="H5" s="14"/>
      <c r="I5" s="14"/>
      <c r="J5" s="15"/>
      <c r="K5" s="15"/>
      <c r="L5" s="15"/>
      <c r="M5" s="15"/>
      <c r="N5" s="15"/>
      <c r="O5" s="16"/>
      <c r="R5" s="18"/>
      <c r="S5" s="18"/>
      <c r="T5" s="18"/>
      <c r="U5" s="18"/>
      <c r="V5" s="18"/>
      <c r="W5" s="18"/>
    </row>
    <row r="6" spans="1:23" s="17" customFormat="1" ht="12" hidden="1" customHeight="1">
      <c r="A6" s="15"/>
      <c r="B6" s="15"/>
      <c r="C6" s="15"/>
      <c r="D6" s="15"/>
      <c r="E6" s="15"/>
      <c r="F6" s="15"/>
      <c r="G6" s="15"/>
      <c r="H6" s="15"/>
      <c r="I6" s="15"/>
      <c r="J6" s="15"/>
      <c r="K6" s="15"/>
      <c r="L6" s="15"/>
      <c r="M6" s="15"/>
      <c r="N6" s="15"/>
      <c r="O6" s="16"/>
      <c r="R6" s="18"/>
      <c r="S6" s="18"/>
      <c r="T6" s="18"/>
      <c r="U6" s="18"/>
      <c r="V6" s="18"/>
      <c r="W6" s="18"/>
    </row>
    <row r="7" spans="1:23" s="17" customFormat="1" ht="31.5" hidden="1" customHeight="1">
      <c r="A7" s="563" t="s">
        <v>6</v>
      </c>
      <c r="B7" s="563"/>
      <c r="C7" s="563"/>
      <c r="D7" s="564" t="s">
        <v>7</v>
      </c>
      <c r="E7" s="565" t="s">
        <v>8</v>
      </c>
      <c r="F7" s="566" t="s">
        <v>9</v>
      </c>
      <c r="G7" s="566" t="s">
        <v>10</v>
      </c>
      <c r="H7" s="564" t="s">
        <v>11</v>
      </c>
      <c r="I7" s="565" t="s">
        <v>12</v>
      </c>
      <c r="J7" s="566" t="s">
        <v>13</v>
      </c>
      <c r="K7" s="567" t="s">
        <v>14</v>
      </c>
      <c r="L7" s="568" t="s">
        <v>15</v>
      </c>
      <c r="M7" s="568" t="s">
        <v>16</v>
      </c>
      <c r="N7" s="569" t="s">
        <v>17</v>
      </c>
      <c r="O7" s="570" t="s">
        <v>18</v>
      </c>
      <c r="P7" s="566" t="s">
        <v>19</v>
      </c>
      <c r="Q7" s="566" t="s">
        <v>20</v>
      </c>
      <c r="R7" s="567" t="s">
        <v>21</v>
      </c>
      <c r="S7" s="565" t="s">
        <v>22</v>
      </c>
      <c r="T7" s="553" t="s">
        <v>23</v>
      </c>
      <c r="U7" s="553"/>
      <c r="V7" s="553"/>
      <c r="W7" s="553"/>
    </row>
    <row r="8" spans="1:23" s="17" customFormat="1" ht="31.5" hidden="1" customHeight="1">
      <c r="A8" s="563"/>
      <c r="B8" s="563"/>
      <c r="C8" s="563"/>
      <c r="D8" s="564"/>
      <c r="E8" s="565"/>
      <c r="F8" s="566"/>
      <c r="G8" s="566"/>
      <c r="H8" s="564"/>
      <c r="I8" s="565"/>
      <c r="J8" s="566"/>
      <c r="K8" s="567"/>
      <c r="L8" s="568"/>
      <c r="M8" s="568"/>
      <c r="N8" s="569"/>
      <c r="O8" s="570"/>
      <c r="P8" s="566"/>
      <c r="Q8" s="566"/>
      <c r="R8" s="567"/>
      <c r="S8" s="565"/>
      <c r="T8" s="553"/>
      <c r="U8" s="553"/>
      <c r="V8" s="553"/>
      <c r="W8" s="553"/>
    </row>
    <row r="9" spans="1:23" s="17" customFormat="1" ht="31.5" hidden="1" customHeight="1">
      <c r="A9" s="563"/>
      <c r="B9" s="563"/>
      <c r="C9" s="563"/>
      <c r="D9" s="564"/>
      <c r="E9" s="565"/>
      <c r="F9" s="566"/>
      <c r="G9" s="566"/>
      <c r="H9" s="564"/>
      <c r="I9" s="565"/>
      <c r="J9" s="566"/>
      <c r="K9" s="567"/>
      <c r="L9" s="568"/>
      <c r="M9" s="568"/>
      <c r="N9" s="569"/>
      <c r="O9" s="570"/>
      <c r="P9" s="566"/>
      <c r="Q9" s="566"/>
      <c r="R9" s="567"/>
      <c r="S9" s="565"/>
      <c r="T9" s="553"/>
      <c r="U9" s="553"/>
      <c r="V9" s="553"/>
      <c r="W9" s="553"/>
    </row>
    <row r="10" spans="1:23" s="17" customFormat="1" ht="69" hidden="1">
      <c r="A10" s="20" t="s">
        <v>24</v>
      </c>
      <c r="B10" s="21" t="s">
        <v>25</v>
      </c>
      <c r="C10" s="21" t="s">
        <v>26</v>
      </c>
      <c r="D10" s="22" t="s">
        <v>27</v>
      </c>
      <c r="E10" s="20" t="s">
        <v>28</v>
      </c>
      <c r="F10" s="21" t="s">
        <v>29</v>
      </c>
      <c r="G10" s="21" t="s">
        <v>30</v>
      </c>
      <c r="H10" s="22" t="s">
        <v>31</v>
      </c>
      <c r="I10" s="20" t="s">
        <v>32</v>
      </c>
      <c r="J10" s="21" t="s">
        <v>33</v>
      </c>
      <c r="K10" s="23" t="s">
        <v>33</v>
      </c>
      <c r="L10" s="24" t="s">
        <v>34</v>
      </c>
      <c r="M10" s="24" t="s">
        <v>35</v>
      </c>
      <c r="N10" s="24" t="s">
        <v>36</v>
      </c>
      <c r="O10" s="25" t="s">
        <v>37</v>
      </c>
      <c r="P10" s="21" t="s">
        <v>38</v>
      </c>
      <c r="Q10" s="21" t="s">
        <v>39</v>
      </c>
      <c r="R10" s="23" t="s">
        <v>40</v>
      </c>
      <c r="S10" s="20" t="s">
        <v>41</v>
      </c>
      <c r="T10" s="21" t="s">
        <v>42</v>
      </c>
      <c r="U10" s="21" t="s">
        <v>43</v>
      </c>
      <c r="V10" s="21" t="s">
        <v>44</v>
      </c>
      <c r="W10" s="23" t="s">
        <v>45</v>
      </c>
    </row>
    <row r="11" spans="1:23" s="17" customFormat="1" ht="15.6" hidden="1">
      <c r="A11" s="26">
        <f>Dados!B7</f>
        <v>1</v>
      </c>
      <c r="B11" s="27" t="str">
        <f>Dados!C7</f>
        <v>Servente de Limpeza 40% Insalubridade</v>
      </c>
      <c r="C11" s="28">
        <f>Dados!D7</f>
        <v>200</v>
      </c>
      <c r="D11" s="29">
        <v>0</v>
      </c>
      <c r="E11" s="26" t="s">
        <v>46</v>
      </c>
      <c r="F11" s="28">
        <f>IF(E11="NÃO",0,D11*Dados!$G$33)</f>
        <v>0</v>
      </c>
      <c r="G11" s="30">
        <v>0</v>
      </c>
      <c r="H11" s="29">
        <v>0</v>
      </c>
      <c r="I11" s="31">
        <v>0</v>
      </c>
      <c r="J11" s="30">
        <v>0</v>
      </c>
      <c r="K11" s="32">
        <f>I11+J11</f>
        <v>0</v>
      </c>
      <c r="L11" s="33">
        <v>0</v>
      </c>
      <c r="M11" s="33">
        <v>0</v>
      </c>
      <c r="N11" s="34"/>
      <c r="O11" s="35">
        <f>Resumo!S12</f>
        <v>0</v>
      </c>
      <c r="P11" s="36">
        <f>Resumo!V12</f>
        <v>0</v>
      </c>
      <c r="Q11" s="37">
        <f>Resumo!W12</f>
        <v>6501.79</v>
      </c>
      <c r="R11" s="38">
        <f>Dados!O7+Dados!P7</f>
        <v>1136.3900000000001</v>
      </c>
      <c r="S11" s="26">
        <f>Dados!S7</f>
        <v>2</v>
      </c>
      <c r="T11" s="39">
        <f>ROUND((Dados!M7*Encargos!$H$59*A11),2)</f>
        <v>647.16</v>
      </c>
      <c r="U11" s="39" t="s">
        <v>47</v>
      </c>
      <c r="V11" s="40">
        <f>SUMIF($S$11:$S$13,1,$Q$11:$Q$13)</f>
        <v>14129.67</v>
      </c>
      <c r="W11" s="41">
        <f>SUMIF($S$11:$S$13,1,$T$11:$T$13)</f>
        <v>1729.91</v>
      </c>
    </row>
    <row r="12" spans="1:23" s="17" customFormat="1" ht="15.6" hidden="1">
      <c r="A12" s="26">
        <f>Dados!B8</f>
        <v>1</v>
      </c>
      <c r="B12" s="27" t="str">
        <f>Dados!C8</f>
        <v>Servente de Limpeza acúmulo função Copeira</v>
      </c>
      <c r="C12" s="28">
        <f>Dados!D8</f>
        <v>200</v>
      </c>
      <c r="D12" s="29">
        <v>0</v>
      </c>
      <c r="E12" s="26" t="s">
        <v>46</v>
      </c>
      <c r="F12" s="28">
        <f>IF(E12="NÃO",0,D12*Dados!$G$33)</f>
        <v>0</v>
      </c>
      <c r="G12" s="30">
        <v>0</v>
      </c>
      <c r="H12" s="29">
        <v>0</v>
      </c>
      <c r="I12" s="31">
        <v>0</v>
      </c>
      <c r="J12" s="30">
        <v>0</v>
      </c>
      <c r="K12" s="32">
        <f>I12+J12</f>
        <v>0</v>
      </c>
      <c r="L12" s="33">
        <v>0</v>
      </c>
      <c r="M12" s="33">
        <v>0</v>
      </c>
      <c r="N12" s="33">
        <v>0</v>
      </c>
      <c r="O12" s="35">
        <f>Resumo!S13</f>
        <v>0</v>
      </c>
      <c r="P12" s="39">
        <f>Resumo!V13</f>
        <v>0</v>
      </c>
      <c r="Q12" s="37">
        <f>Resumo!W13</f>
        <v>5611.13</v>
      </c>
      <c r="R12" s="38">
        <f>Dados!O8+Dados!P8</f>
        <v>1343.92</v>
      </c>
      <c r="S12" s="26">
        <f>Dados!S8</f>
        <v>2</v>
      </c>
      <c r="T12" s="39">
        <f>ROUND((Dados!M8*Encargos!$H$59*A12),2)</f>
        <v>473.78</v>
      </c>
      <c r="U12" s="39" t="s">
        <v>47</v>
      </c>
      <c r="V12" s="40">
        <f>SUMIF($S$11:$S$13,2,$Q$11:$Q$13)</f>
        <v>12112.92</v>
      </c>
      <c r="W12" s="41">
        <f>SUMIF($S$11:$S$13,2,$T$11:$T$13)</f>
        <v>1120.94</v>
      </c>
    </row>
    <row r="13" spans="1:23" s="17" customFormat="1" ht="15.6" hidden="1">
      <c r="A13" s="26">
        <f>Dados!B9</f>
        <v>3</v>
      </c>
      <c r="B13" s="27" t="str">
        <f>Dados!C9</f>
        <v>Auxiliar Administrativo</v>
      </c>
      <c r="C13" s="28">
        <f>Dados!D9</f>
        <v>200</v>
      </c>
      <c r="D13" s="29">
        <v>0</v>
      </c>
      <c r="E13" s="42" t="s">
        <v>46</v>
      </c>
      <c r="F13" s="43">
        <f>IF(E13="NÃO",0,D13*Dados!$G$33)</f>
        <v>0</v>
      </c>
      <c r="G13" s="44">
        <v>0</v>
      </c>
      <c r="H13" s="45">
        <v>0</v>
      </c>
      <c r="I13" s="46">
        <v>0</v>
      </c>
      <c r="J13" s="44">
        <v>0</v>
      </c>
      <c r="K13" s="47">
        <f>I13+J13</f>
        <v>0</v>
      </c>
      <c r="L13" s="48">
        <v>0</v>
      </c>
      <c r="M13" s="48">
        <v>0</v>
      </c>
      <c r="N13" s="34"/>
      <c r="O13" s="49">
        <f>Resumo!S14</f>
        <v>0</v>
      </c>
      <c r="P13" s="36">
        <f>Resumo!V14</f>
        <v>0</v>
      </c>
      <c r="Q13" s="39">
        <f>Resumo!W14</f>
        <v>14129.67</v>
      </c>
      <c r="R13" s="38">
        <f>Dados!O9+Dados!P9</f>
        <v>0</v>
      </c>
      <c r="S13" s="26">
        <f>Dados!S9</f>
        <v>1</v>
      </c>
      <c r="T13" s="39">
        <f>ROUND((Dados!M9*Encargos!$H$59*A13),2)</f>
        <v>1729.91</v>
      </c>
      <c r="U13" s="39" t="s">
        <v>48</v>
      </c>
      <c r="V13" s="40">
        <f>SUMIF($S$11:$S$13,5,$Q$11:$Q$13)</f>
        <v>0</v>
      </c>
      <c r="W13" s="41">
        <f>SUMIF($S$11:$S$13,5,$T$11:$T$13)</f>
        <v>0</v>
      </c>
    </row>
    <row r="14" spans="1:23" s="58" customFormat="1" ht="13.5" hidden="1" customHeight="1">
      <c r="A14" s="554" t="s">
        <v>49</v>
      </c>
      <c r="B14" s="554"/>
      <c r="C14" s="554"/>
      <c r="D14" s="554"/>
      <c r="E14" s="554"/>
      <c r="F14" s="554"/>
      <c r="G14" s="554"/>
      <c r="H14" s="50">
        <f>Resumo!I15</f>
        <v>0</v>
      </c>
      <c r="I14" s="555"/>
      <c r="J14" s="555"/>
      <c r="K14" s="51">
        <f>Resumo!L15</f>
        <v>0</v>
      </c>
      <c r="L14" s="52">
        <f>Resumo!O15</f>
        <v>0</v>
      </c>
      <c r="M14" s="52">
        <f>Resumo!R15</f>
        <v>0</v>
      </c>
      <c r="N14" s="53">
        <f>Resumo!V15</f>
        <v>0</v>
      </c>
      <c r="O14" s="54">
        <f>(H14+K14+L14+M14)</f>
        <v>0</v>
      </c>
      <c r="P14" s="55">
        <f>Resumo!V15</f>
        <v>0</v>
      </c>
      <c r="Q14" s="55">
        <f>SUM(Q11:Q13)</f>
        <v>26242.59</v>
      </c>
      <c r="R14" s="56">
        <f>SUM(R11:R13)</f>
        <v>2480.3100000000004</v>
      </c>
      <c r="S14" s="57"/>
      <c r="T14" s="55">
        <f>SUM(T11:T13)</f>
        <v>2850.8500000000004</v>
      </c>
      <c r="U14" s="55"/>
      <c r="V14" s="55">
        <f>SUM(V11:V13)</f>
        <v>26242.59</v>
      </c>
      <c r="W14" s="56">
        <f>SUM(W11:W13)</f>
        <v>2850.8500000000004</v>
      </c>
    </row>
    <row r="15" spans="1:23" hidden="1">
      <c r="A15" s="59" t="s">
        <v>50</v>
      </c>
      <c r="B15" s="60"/>
      <c r="C15" s="60"/>
      <c r="D15" s="60"/>
      <c r="E15" s="60"/>
      <c r="F15" s="60"/>
      <c r="G15" s="60"/>
      <c r="H15" s="60"/>
      <c r="I15" s="60"/>
      <c r="J15" s="60"/>
    </row>
    <row r="16" spans="1:23" hidden="1">
      <c r="A16" s="61" t="s">
        <v>51</v>
      </c>
      <c r="B16" s="62"/>
      <c r="C16" s="62"/>
      <c r="D16" s="62"/>
      <c r="E16" s="62"/>
      <c r="F16" s="62"/>
      <c r="G16" s="62"/>
      <c r="H16" s="62"/>
      <c r="I16" s="62"/>
      <c r="J16" s="62"/>
    </row>
    <row r="17" spans="1:23" s="58" customFormat="1" ht="25.5" hidden="1" customHeight="1">
      <c r="A17" s="544" t="s">
        <v>52</v>
      </c>
      <c r="B17" s="544"/>
      <c r="C17" s="63" t="s">
        <v>53</v>
      </c>
      <c r="D17" s="63" t="s">
        <v>54</v>
      </c>
      <c r="E17" s="63" t="s">
        <v>55</v>
      </c>
      <c r="F17" s="63" t="s">
        <v>56</v>
      </c>
      <c r="H17" s="61"/>
      <c r="I17" s="64"/>
      <c r="J17" s="61"/>
      <c r="K17" s="64"/>
      <c r="L17" s="64"/>
      <c r="M17" s="64"/>
      <c r="R17" s="64"/>
      <c r="S17" s="64"/>
      <c r="T17" s="64"/>
      <c r="U17" s="64"/>
      <c r="V17" s="64"/>
      <c r="W17" s="64"/>
    </row>
    <row r="18" spans="1:23" s="58" customFormat="1" ht="13.8" hidden="1">
      <c r="A18" s="544"/>
      <c r="B18" s="544"/>
      <c r="C18" s="65">
        <v>220</v>
      </c>
      <c r="D18" s="65">
        <v>10</v>
      </c>
      <c r="E18" s="65">
        <v>25</v>
      </c>
      <c r="F18" s="66">
        <f>ROUND((D18/VLOOKUP(C18,$B$76:$C$82,2,FALSE())+E18/60/VLOOKUP(C18,$B$76:$C$82,2,FALSE())),2)</f>
        <v>1.18</v>
      </c>
      <c r="H18" s="61"/>
      <c r="I18" s="64"/>
      <c r="J18" s="61"/>
      <c r="K18" s="64"/>
      <c r="L18" s="64"/>
      <c r="M18" s="64"/>
      <c r="R18" s="64"/>
      <c r="S18" s="64"/>
      <c r="T18" s="64"/>
      <c r="U18" s="64"/>
      <c r="V18" s="64"/>
      <c r="W18" s="64"/>
    </row>
    <row r="19" spans="1:23" s="58" customFormat="1" ht="15" hidden="1" customHeight="1">
      <c r="A19" s="556" t="s">
        <v>654</v>
      </c>
      <c r="B19" s="556"/>
      <c r="C19" s="556"/>
      <c r="D19" s="556"/>
      <c r="E19" s="556"/>
      <c r="F19" s="556"/>
      <c r="G19" s="14"/>
      <c r="H19" s="14"/>
      <c r="I19" s="14"/>
      <c r="J19" s="61"/>
      <c r="K19" s="64"/>
      <c r="L19" s="64"/>
      <c r="M19" s="64"/>
      <c r="R19" s="64"/>
      <c r="S19" s="64"/>
      <c r="T19" s="64"/>
      <c r="U19" s="64"/>
      <c r="V19" s="64"/>
      <c r="W19" s="64"/>
    </row>
    <row r="20" spans="1:23" s="58" customFormat="1" ht="33.75" hidden="1" customHeight="1">
      <c r="A20" s="556"/>
      <c r="B20" s="556"/>
      <c r="C20" s="556"/>
      <c r="D20" s="556"/>
      <c r="E20" s="556"/>
      <c r="F20" s="556"/>
      <c r="G20" s="14"/>
      <c r="H20" s="67"/>
      <c r="I20" s="14"/>
      <c r="J20" s="61"/>
      <c r="K20" s="64"/>
      <c r="L20" s="64"/>
      <c r="M20" s="64"/>
      <c r="R20" s="64"/>
      <c r="S20" s="64"/>
      <c r="T20" s="64"/>
      <c r="U20" s="64"/>
      <c r="V20" s="64"/>
      <c r="W20" s="64"/>
    </row>
    <row r="21" spans="1:23" hidden="1">
      <c r="A21" s="61" t="s">
        <v>655</v>
      </c>
      <c r="B21" s="60"/>
      <c r="C21" s="60"/>
      <c r="D21" s="60"/>
      <c r="E21" s="60"/>
      <c r="F21" s="60"/>
      <c r="G21" s="60"/>
      <c r="H21" s="60"/>
      <c r="I21" s="60"/>
      <c r="J21" s="60"/>
    </row>
    <row r="22" spans="1:23" hidden="1">
      <c r="A22" s="60"/>
      <c r="B22" s="60"/>
      <c r="C22" s="60"/>
      <c r="D22" s="60"/>
      <c r="E22" s="60"/>
      <c r="F22" s="60"/>
      <c r="G22" s="60"/>
      <c r="H22" s="60"/>
      <c r="I22" s="60"/>
      <c r="J22" s="60"/>
      <c r="N22" s="68"/>
      <c r="O22" s="69"/>
      <c r="P22" s="69"/>
    </row>
    <row r="23" spans="1:23" ht="23.25" hidden="1" customHeight="1">
      <c r="A23" s="547" t="s">
        <v>57</v>
      </c>
      <c r="B23" s="557" t="s">
        <v>58</v>
      </c>
      <c r="C23" s="557"/>
      <c r="D23" s="557"/>
      <c r="E23" s="557"/>
      <c r="F23" s="558" t="s">
        <v>59</v>
      </c>
      <c r="G23" s="558"/>
      <c r="H23" s="558"/>
      <c r="I23" s="552" t="s">
        <v>60</v>
      </c>
      <c r="J23" s="552"/>
      <c r="K23" s="552"/>
      <c r="L23" s="559" t="s">
        <v>61</v>
      </c>
      <c r="M23" s="559"/>
      <c r="N23" s="559"/>
      <c r="O23" s="559"/>
      <c r="V23" s="1"/>
      <c r="W23" s="1"/>
    </row>
    <row r="24" spans="1:23" ht="38.25" hidden="1" customHeight="1">
      <c r="A24" s="547"/>
      <c r="B24" s="544" t="s">
        <v>62</v>
      </c>
      <c r="C24" s="544"/>
      <c r="D24" s="544"/>
      <c r="E24" s="63" t="s">
        <v>63</v>
      </c>
      <c r="F24" s="63" t="s">
        <v>64</v>
      </c>
      <c r="G24" s="63" t="s">
        <v>65</v>
      </c>
      <c r="H24" s="73" t="s">
        <v>66</v>
      </c>
      <c r="I24" s="552"/>
      <c r="J24" s="552"/>
      <c r="K24" s="552"/>
      <c r="L24" s="70" t="s">
        <v>67</v>
      </c>
      <c r="M24" s="71" t="s">
        <v>68</v>
      </c>
      <c r="N24" s="71" t="s">
        <v>69</v>
      </c>
      <c r="O24" s="72" t="s">
        <v>70</v>
      </c>
      <c r="V24" s="14"/>
      <c r="W24" s="1"/>
    </row>
    <row r="25" spans="1:23" ht="82.5" hidden="1" customHeight="1">
      <c r="A25" s="74">
        <v>1</v>
      </c>
      <c r="B25" s="548" t="str">
        <f>Materiais!B9</f>
        <v>Alcool gel 70% - 5 litros galão - gel à base de álcool a 70% com ação antisséptica. Ideal para ser usado como complemento na higienização de mãos em hospitais, laboratórios, dentistas, clinicas, consultórios e indústria em geral. Composição: álcool etílico, polímero carboxílico, neutralizante, umectante, conservante, quelante e água deionizada. Prazo de validade: 24 meses a partir da data de fabricação.</v>
      </c>
      <c r="C25" s="548"/>
      <c r="D25" s="548"/>
      <c r="E25" s="76" t="str">
        <f>Materiais!C9</f>
        <v>Galão</v>
      </c>
      <c r="F25" s="76" t="str">
        <f>Materiais!D9</f>
        <v>Asseptgel</v>
      </c>
      <c r="G25" s="77">
        <f t="shared" ref="G25:G50" si="0">IF($D$4="PLANILHA PARA LICITAÇÃO (PRECIFICAÇÃO)",L25,0)</f>
        <v>1</v>
      </c>
      <c r="H25" s="78">
        <f>G25*Materiais!G9</f>
        <v>51.61</v>
      </c>
      <c r="I25" s="546" t="str">
        <f t="shared" ref="I25:I50" si="1">IF(G25&lt;L25,"Fornecimento inferior ao estimado mensalmente",IF(G25=L25,"Fornecimento igual ao estimado mensalmente",IF(G25&gt;L25,"Fornecimento superior ao estimado mensalmente",)))</f>
        <v>Fornecimento igual ao estimado mensalmente</v>
      </c>
      <c r="J25" s="546"/>
      <c r="K25" s="546"/>
      <c r="L25" s="79">
        <f t="shared" ref="L25:L50" si="2">M25/O25</f>
        <v>1</v>
      </c>
      <c r="M25" s="80">
        <f>Materiais!E9</f>
        <v>1</v>
      </c>
      <c r="N25" s="81" t="str">
        <f>Materiais!F9</f>
        <v>Mensal</v>
      </c>
      <c r="O25" s="82">
        <f t="shared" ref="O25:O50" si="3">IF(N25="MENSAL",1,IF(N25="BIMESTRAL",2,IF(N25="TRIMESTRAL",3,IF(N25="QUADRIMESTRAL",4,IF(N25="SEMESTRAL",6,IF(N25="ANUAL",12,IF(N25="BIENAL",24,"")))))))</f>
        <v>1</v>
      </c>
      <c r="W25" s="1"/>
    </row>
    <row r="26" spans="1:23" hidden="1">
      <c r="A26" s="83">
        <v>2</v>
      </c>
      <c r="B26" s="548" t="str">
        <f>Materiais!B10</f>
        <v>Álcool Líquido 1 Litro: Etilico Hidratado, para limpeza em geral, teor alcoolico 70 inpm. Aprovação Anvisa; Produto devera estar de acordo com legislacao vigente</v>
      </c>
      <c r="C26" s="548"/>
      <c r="D26" s="548"/>
      <c r="E26" s="76" t="str">
        <f>Materiais!C10</f>
        <v>Unid.</v>
      </c>
      <c r="F26" s="76"/>
      <c r="G26" s="77">
        <f t="shared" si="0"/>
        <v>10</v>
      </c>
      <c r="H26" s="78">
        <f>G26*Materiais!G10</f>
        <v>60.4</v>
      </c>
      <c r="I26" s="546" t="str">
        <f t="shared" si="1"/>
        <v>Fornecimento igual ao estimado mensalmente</v>
      </c>
      <c r="J26" s="546"/>
      <c r="K26" s="546"/>
      <c r="L26" s="79">
        <f t="shared" si="2"/>
        <v>10</v>
      </c>
      <c r="M26" s="80">
        <f>Materiais!E10</f>
        <v>10</v>
      </c>
      <c r="N26" s="81" t="str">
        <f>Materiais!F10</f>
        <v>Mensal</v>
      </c>
      <c r="O26" s="82">
        <f t="shared" si="3"/>
        <v>1</v>
      </c>
      <c r="W26" s="1"/>
    </row>
    <row r="27" spans="1:23" ht="15" hidden="1" customHeight="1">
      <c r="A27" s="83">
        <v>3</v>
      </c>
      <c r="B27" s="548" t="str">
        <f>Materiais!B11</f>
        <v>Azulim-Limpa cerâmicas e Azulejos; Embalagem com 1L.</v>
      </c>
      <c r="C27" s="548"/>
      <c r="D27" s="548"/>
      <c r="E27" s="76" t="str">
        <f>Materiais!C11</f>
        <v>Unid.</v>
      </c>
      <c r="F27" s="76"/>
      <c r="G27" s="77">
        <f t="shared" si="0"/>
        <v>8</v>
      </c>
      <c r="H27" s="78">
        <f>G27*Materiais!G11</f>
        <v>59.44</v>
      </c>
      <c r="I27" s="546" t="str">
        <f t="shared" si="1"/>
        <v>Fornecimento igual ao estimado mensalmente</v>
      </c>
      <c r="J27" s="546"/>
      <c r="K27" s="546"/>
      <c r="L27" s="79">
        <f t="shared" si="2"/>
        <v>8</v>
      </c>
      <c r="M27" s="80">
        <f>Materiais!E11</f>
        <v>8</v>
      </c>
      <c r="N27" s="81" t="str">
        <f>Materiais!F11</f>
        <v>Mensal</v>
      </c>
      <c r="O27" s="82">
        <f t="shared" si="3"/>
        <v>1</v>
      </c>
      <c r="W27" s="1"/>
    </row>
    <row r="28" spans="1:23" ht="15" hidden="1" customHeight="1">
      <c r="A28" s="83">
        <v>4</v>
      </c>
      <c r="B28" s="548" t="str">
        <f>Materiais!B12</f>
        <v>Balde Material: Plástico , Material Alça: Arame Galvanizado, Capacidade: 10 L, Cor: Preta, Características Adicionais: Reforço Fundo E Borda</v>
      </c>
      <c r="C28" s="548"/>
      <c r="D28" s="548"/>
      <c r="E28" s="76" t="str">
        <f>Materiais!C12</f>
        <v>Unid.</v>
      </c>
      <c r="F28" s="76" t="str">
        <f>Materiais!D12</f>
        <v xml:space="preserve">	
Sanremo</v>
      </c>
      <c r="G28" s="77">
        <f t="shared" si="0"/>
        <v>0.33333333333333331</v>
      </c>
      <c r="H28" s="78">
        <f>G28*Materiais!G12</f>
        <v>4.8933333333333326</v>
      </c>
      <c r="I28" s="546" t="str">
        <f t="shared" si="1"/>
        <v>Fornecimento igual ao estimado mensalmente</v>
      </c>
      <c r="J28" s="546"/>
      <c r="K28" s="546"/>
      <c r="L28" s="79">
        <f t="shared" si="2"/>
        <v>0.33333333333333331</v>
      </c>
      <c r="M28" s="80">
        <f>Materiais!E12</f>
        <v>2</v>
      </c>
      <c r="N28" s="81" t="str">
        <f>Materiais!F12</f>
        <v>Semestral</v>
      </c>
      <c r="O28" s="82">
        <f t="shared" si="3"/>
        <v>6</v>
      </c>
      <c r="W28" s="1"/>
    </row>
    <row r="29" spans="1:23" ht="15" hidden="1" customHeight="1">
      <c r="A29" s="83">
        <v>5</v>
      </c>
      <c r="B29" s="548" t="str">
        <f>Materiais!B13</f>
        <v>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v>
      </c>
      <c r="C29" s="548"/>
      <c r="D29" s="548"/>
      <c r="E29" s="76" t="str">
        <f>Materiais!C13</f>
        <v>Unid.</v>
      </c>
      <c r="F29" s="76" t="str">
        <f>Materiais!D13</f>
        <v>Azulim</v>
      </c>
      <c r="G29" s="77">
        <f t="shared" si="0"/>
        <v>2</v>
      </c>
      <c r="H29" s="78">
        <f>G29*Materiais!G13</f>
        <v>9.82</v>
      </c>
      <c r="I29" s="546" t="str">
        <f t="shared" si="1"/>
        <v>Fornecimento igual ao estimado mensalmente</v>
      </c>
      <c r="J29" s="546"/>
      <c r="K29" s="546"/>
      <c r="L29" s="79">
        <f t="shared" si="2"/>
        <v>2</v>
      </c>
      <c r="M29" s="80">
        <f>Materiais!E13</f>
        <v>2</v>
      </c>
      <c r="N29" s="81" t="str">
        <f>Materiais!F13</f>
        <v>Mensal</v>
      </c>
      <c r="O29" s="82">
        <f t="shared" si="3"/>
        <v>1</v>
      </c>
      <c r="W29" s="1"/>
    </row>
    <row r="30" spans="1:23" ht="15" hidden="1" customHeight="1">
      <c r="A30" s="83">
        <v>6</v>
      </c>
      <c r="B30" s="548" t="str">
        <f>Materiais!B14</f>
        <v>Cloro liquido concentrado com teor ativo de no mínimo 10 a 12% para limpeza pesada embalagem com 5 litros</v>
      </c>
      <c r="C30" s="548"/>
      <c r="D30" s="548"/>
      <c r="E30" s="76" t="str">
        <f>Materiais!C14</f>
        <v>Galão</v>
      </c>
      <c r="F30" s="76">
        <f>Materiais!D14</f>
        <v>0</v>
      </c>
      <c r="G30" s="77">
        <f t="shared" si="0"/>
        <v>4</v>
      </c>
      <c r="H30" s="78">
        <f>G30*Materiais!G14</f>
        <v>86.68</v>
      </c>
      <c r="I30" s="546" t="str">
        <f t="shared" si="1"/>
        <v>Fornecimento igual ao estimado mensalmente</v>
      </c>
      <c r="J30" s="546"/>
      <c r="K30" s="546"/>
      <c r="L30" s="79">
        <f t="shared" si="2"/>
        <v>4</v>
      </c>
      <c r="M30" s="80">
        <f>Materiais!E14</f>
        <v>4</v>
      </c>
      <c r="N30" s="81" t="str">
        <f>Materiais!F14</f>
        <v>Mensal</v>
      </c>
      <c r="O30" s="82">
        <f t="shared" si="3"/>
        <v>1</v>
      </c>
      <c r="W30" s="1"/>
    </row>
    <row r="31" spans="1:23" ht="15" hidden="1" customHeight="1">
      <c r="A31" s="83">
        <v>7</v>
      </c>
      <c r="B31" s="548" t="str">
        <f>Materiais!B15</f>
        <v>Desodorizador de ambiente com 360ml bom ar</v>
      </c>
      <c r="C31" s="548"/>
      <c r="D31" s="548"/>
      <c r="E31" s="76" t="str">
        <f>Materiais!C15</f>
        <v>Unid.</v>
      </c>
      <c r="F31" s="76" t="str">
        <f>Materiais!D15</f>
        <v>Glade</v>
      </c>
      <c r="G31" s="77">
        <f t="shared" si="0"/>
        <v>2</v>
      </c>
      <c r="H31" s="78">
        <f>G31*Materiais!G15</f>
        <v>33.32</v>
      </c>
      <c r="I31" s="546" t="str">
        <f t="shared" si="1"/>
        <v>Fornecimento igual ao estimado mensalmente</v>
      </c>
      <c r="J31" s="546"/>
      <c r="K31" s="546"/>
      <c r="L31" s="79">
        <f t="shared" si="2"/>
        <v>2</v>
      </c>
      <c r="M31" s="80">
        <f>Materiais!E15</f>
        <v>2</v>
      </c>
      <c r="N31" s="81" t="str">
        <f>Materiais!F15</f>
        <v>Mensal</v>
      </c>
      <c r="O31" s="82">
        <f t="shared" si="3"/>
        <v>1</v>
      </c>
      <c r="W31" s="1"/>
    </row>
    <row r="32" spans="1:23" ht="15" hidden="1" customHeight="1">
      <c r="A32" s="83">
        <v>8</v>
      </c>
      <c r="B32" s="548" t="str">
        <f>Materiais!B16</f>
        <v>Desinfetante concentrado líquido. Aroma floral. Embalagem com 5 litros.</v>
      </c>
      <c r="C32" s="548"/>
      <c r="D32" s="548"/>
      <c r="E32" s="76" t="str">
        <f>Materiais!C16</f>
        <v>Galão</v>
      </c>
      <c r="F32" s="76" t="str">
        <f>Materiais!D16</f>
        <v>Mirax Floral Bouquet</v>
      </c>
      <c r="G32" s="77">
        <f t="shared" si="0"/>
        <v>4</v>
      </c>
      <c r="H32" s="78">
        <f>G32*Materiais!G16</f>
        <v>141.08000000000001</v>
      </c>
      <c r="I32" s="546" t="str">
        <f t="shared" si="1"/>
        <v>Fornecimento igual ao estimado mensalmente</v>
      </c>
      <c r="J32" s="546"/>
      <c r="K32" s="546"/>
      <c r="L32" s="79">
        <f t="shared" si="2"/>
        <v>4</v>
      </c>
      <c r="M32" s="80">
        <f>Materiais!E16</f>
        <v>4</v>
      </c>
      <c r="N32" s="81" t="str">
        <f>Materiais!F16</f>
        <v>Mensal</v>
      </c>
      <c r="O32" s="82">
        <f t="shared" si="3"/>
        <v>1</v>
      </c>
      <c r="W32" s="1"/>
    </row>
    <row r="33" spans="1:23" hidden="1">
      <c r="A33" s="83">
        <v>9</v>
      </c>
      <c r="B33" s="548" t="str">
        <f>Materiais!B17</f>
        <v>Detergente líquido para louça, neutro, embalagem de 500ml, com tampa Push Pool. Deverá conter glicerina e ser testado e aprovado por dermatologistas. Com fórmula biodegradável. Deve possuir registro na Anvisa/Ministério da Saúde, o qual deverá estar impresso no rótulo.</v>
      </c>
      <c r="C33" s="548"/>
      <c r="D33" s="548"/>
      <c r="E33" s="76" t="str">
        <f>Materiais!C17</f>
        <v>Unid.</v>
      </c>
      <c r="F33" s="76" t="str">
        <f>Materiais!D17</f>
        <v>Limpol</v>
      </c>
      <c r="G33" s="77">
        <f t="shared" si="0"/>
        <v>15</v>
      </c>
      <c r="H33" s="78">
        <f>G33*Materiais!G17</f>
        <v>69.3</v>
      </c>
      <c r="I33" s="546" t="str">
        <f t="shared" si="1"/>
        <v>Fornecimento igual ao estimado mensalmente</v>
      </c>
      <c r="J33" s="546"/>
      <c r="K33" s="546"/>
      <c r="L33" s="79">
        <f t="shared" si="2"/>
        <v>15</v>
      </c>
      <c r="M33" s="80">
        <f>Materiais!E17</f>
        <v>15</v>
      </c>
      <c r="N33" s="81" t="str">
        <f>Materiais!F17</f>
        <v>Mensal</v>
      </c>
      <c r="O33" s="82">
        <f t="shared" si="3"/>
        <v>1</v>
      </c>
      <c r="W33" s="1"/>
    </row>
    <row r="34" spans="1:23" ht="27.6" hidden="1">
      <c r="A34" s="84">
        <v>10</v>
      </c>
      <c r="B34" s="548" t="str">
        <f>Materiais!B18</f>
        <v>Escova Sanitária Redonda em plástico Branco contendo 01 escova para vaso sanitário e 01 suporte redondo: Branco Tamanho: 14 x 42 cm</v>
      </c>
      <c r="C34" s="548"/>
      <c r="D34" s="548"/>
      <c r="E34" s="76" t="str">
        <f>Materiais!C18</f>
        <v>Unid.</v>
      </c>
      <c r="F34" s="76" t="str">
        <f>Materiais!D18</f>
        <v xml:space="preserve">	
Limpamania</v>
      </c>
      <c r="G34" s="77">
        <f t="shared" si="0"/>
        <v>2</v>
      </c>
      <c r="H34" s="78">
        <f>G34*Materiais!G18</f>
        <v>23.5</v>
      </c>
      <c r="I34" s="546" t="str">
        <f t="shared" si="1"/>
        <v>Fornecimento igual ao estimado mensalmente</v>
      </c>
      <c r="J34" s="546"/>
      <c r="K34" s="546"/>
      <c r="L34" s="79">
        <f t="shared" si="2"/>
        <v>2</v>
      </c>
      <c r="M34" s="80">
        <f>Materiais!E18</f>
        <v>2</v>
      </c>
      <c r="N34" s="81" t="str">
        <f>Materiais!F18</f>
        <v>Mensal</v>
      </c>
      <c r="O34" s="82">
        <f t="shared" si="3"/>
        <v>1</v>
      </c>
      <c r="W34" s="1"/>
    </row>
    <row r="35" spans="1:23" ht="15" hidden="1" customHeight="1">
      <c r="A35" s="83">
        <v>11</v>
      </c>
      <c r="B35" s="548" t="str">
        <f>Materiais!B19</f>
        <v>Esponja Para Lavagem De Louças E Limpeza Em Geral, Dupla Face Sintética, Um Lado Em Espuma Poliuretano E Outro Em Fibra Sintética Abrasiva, Antibacteriana, Formato Retangular, Medindo Aproximadamente 110mm X 75mm X 20mm De Espessura. Pacote com 4 unidades.</v>
      </c>
      <c r="C35" s="548"/>
      <c r="D35" s="548"/>
      <c r="E35" s="76" t="str">
        <f>Materiais!C19</f>
        <v>Pacote</v>
      </c>
      <c r="F35" s="76"/>
      <c r="G35" s="77">
        <f t="shared" si="0"/>
        <v>4</v>
      </c>
      <c r="H35" s="78">
        <f>G35*Materiais!G19</f>
        <v>18.559999999999999</v>
      </c>
      <c r="I35" s="546" t="str">
        <f t="shared" si="1"/>
        <v>Fornecimento igual ao estimado mensalmente</v>
      </c>
      <c r="J35" s="546"/>
      <c r="K35" s="546"/>
      <c r="L35" s="79">
        <f t="shared" si="2"/>
        <v>4</v>
      </c>
      <c r="M35" s="80">
        <f>Materiais!E19</f>
        <v>4</v>
      </c>
      <c r="N35" s="81" t="str">
        <f>Materiais!F19</f>
        <v>Mensal</v>
      </c>
      <c r="O35" s="82">
        <f t="shared" si="3"/>
        <v>1</v>
      </c>
      <c r="W35" s="1"/>
    </row>
    <row r="36" spans="1:23" hidden="1">
      <c r="A36" s="83">
        <v>12</v>
      </c>
      <c r="B36" s="548" t="str">
        <f>Materiais!B20</f>
        <v>Esponja de LÃ DE AÇO, composição básica: aço carbono abrasivo, p/ limpeza em geral, acondicionada em embalagem plástica original do fabricante, peso líquido aproximado de 60g, pacote c/ 08 unidades</v>
      </c>
      <c r="C36" s="548"/>
      <c r="D36" s="548"/>
      <c r="E36" s="76" t="str">
        <f>Materiais!C20</f>
        <v>Pacote</v>
      </c>
      <c r="F36" s="76"/>
      <c r="G36" s="77">
        <f t="shared" si="0"/>
        <v>2</v>
      </c>
      <c r="H36" s="78">
        <f>G36*Materiais!G20</f>
        <v>5.34</v>
      </c>
      <c r="I36" s="546" t="str">
        <f t="shared" si="1"/>
        <v>Fornecimento igual ao estimado mensalmente</v>
      </c>
      <c r="J36" s="546"/>
      <c r="K36" s="546"/>
      <c r="L36" s="79">
        <f t="shared" si="2"/>
        <v>2</v>
      </c>
      <c r="M36" s="80">
        <f>Materiais!E20</f>
        <v>2</v>
      </c>
      <c r="N36" s="81" t="str">
        <f>Materiais!F20</f>
        <v>Mensal</v>
      </c>
      <c r="O36" s="82">
        <f t="shared" si="3"/>
        <v>1</v>
      </c>
      <c r="W36" s="1"/>
    </row>
    <row r="37" spans="1:23" hidden="1">
      <c r="A37" s="84">
        <v>13</v>
      </c>
      <c r="B37" s="548" t="str">
        <f>Materiais!B21</f>
        <v>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v>
      </c>
      <c r="C37" s="548"/>
      <c r="D37" s="548"/>
      <c r="E37" s="76" t="str">
        <f>Materiais!C21</f>
        <v>Unid.</v>
      </c>
      <c r="F37" s="76" t="str">
        <f>Materiais!D21</f>
        <v>Intextil</v>
      </c>
      <c r="G37" s="77">
        <f t="shared" si="0"/>
        <v>5</v>
      </c>
      <c r="H37" s="78">
        <f>G37*Materiais!G21</f>
        <v>20.65</v>
      </c>
      <c r="I37" s="546" t="str">
        <f t="shared" si="1"/>
        <v>Fornecimento igual ao estimado mensalmente</v>
      </c>
      <c r="J37" s="546"/>
      <c r="K37" s="546"/>
      <c r="L37" s="79">
        <f t="shared" si="2"/>
        <v>5</v>
      </c>
      <c r="M37" s="80">
        <f>Materiais!E21</f>
        <v>5</v>
      </c>
      <c r="N37" s="81" t="str">
        <f>Materiais!F21</f>
        <v>Mensal</v>
      </c>
      <c r="O37" s="82">
        <f t="shared" si="3"/>
        <v>1</v>
      </c>
      <c r="W37" s="1"/>
    </row>
    <row r="38" spans="1:23" ht="15" hidden="1" customHeight="1">
      <c r="A38" s="83">
        <v>14</v>
      </c>
      <c r="B38" s="548" t="str">
        <f>Materiais!B22</f>
        <v>Limpa vidro 500ml (Veja ou similar)</v>
      </c>
      <c r="C38" s="548"/>
      <c r="D38" s="548"/>
      <c r="E38" s="76" t="str">
        <f>Materiais!C22</f>
        <v>Unid.</v>
      </c>
      <c r="F38" s="76" t="str">
        <f>Materiais!D22</f>
        <v>Veja</v>
      </c>
      <c r="G38" s="77">
        <f t="shared" si="0"/>
        <v>2</v>
      </c>
      <c r="H38" s="78">
        <f>G38*Materiais!G22</f>
        <v>35.28</v>
      </c>
      <c r="I38" s="546" t="str">
        <f t="shared" si="1"/>
        <v>Fornecimento igual ao estimado mensalmente</v>
      </c>
      <c r="J38" s="546"/>
      <c r="K38" s="546"/>
      <c r="L38" s="79">
        <f t="shared" si="2"/>
        <v>2</v>
      </c>
      <c r="M38" s="80">
        <f>Materiais!E22</f>
        <v>2</v>
      </c>
      <c r="N38" s="81" t="str">
        <f>Materiais!F22</f>
        <v>Mensal</v>
      </c>
      <c r="O38" s="82">
        <f t="shared" si="3"/>
        <v>1</v>
      </c>
      <c r="W38" s="1"/>
    </row>
    <row r="39" spans="1:23" ht="15" hidden="1" customHeight="1">
      <c r="A39" s="83">
        <v>15</v>
      </c>
      <c r="B39" s="548" t="str">
        <f>Materiais!B23</f>
        <v>Luva Segurança Com Forro. Material: 100% Látex Nitrílico , Tamanho: M ou G ,Aplicação: Manuseio Reagente Químico E Radioativo , Características Adicionais: Com Forro, Sem Talco, Pulso Com Bainha , Modelo: Palma Antiderrapante, Cor: Verde, Tipo: Ambidestra</v>
      </c>
      <c r="C39" s="548"/>
      <c r="D39" s="548"/>
      <c r="E39" s="76" t="str">
        <f>Materiais!C23</f>
        <v>Par.</v>
      </c>
      <c r="F39" s="76" t="str">
        <f>Materiais!D23</f>
        <v>Bettanin</v>
      </c>
      <c r="G39" s="77">
        <f t="shared" si="0"/>
        <v>4</v>
      </c>
      <c r="H39" s="78">
        <f>G39*Materiais!G23</f>
        <v>56.64</v>
      </c>
      <c r="I39" s="546" t="str">
        <f t="shared" si="1"/>
        <v>Fornecimento igual ao estimado mensalmente</v>
      </c>
      <c r="J39" s="546"/>
      <c r="K39" s="546"/>
      <c r="L39" s="79">
        <f t="shared" si="2"/>
        <v>4</v>
      </c>
      <c r="M39" s="80">
        <f>Materiais!E23</f>
        <v>4</v>
      </c>
      <c r="N39" s="81" t="str">
        <f>Materiais!F23</f>
        <v>Mensal</v>
      </c>
      <c r="O39" s="82">
        <f t="shared" si="3"/>
        <v>1</v>
      </c>
      <c r="W39" s="1"/>
    </row>
    <row r="40" spans="1:23" ht="15" hidden="1" customHeight="1">
      <c r="A40" s="83">
        <v>16</v>
      </c>
      <c r="B40" s="548" t="str">
        <f>Materiais!B24</f>
        <v>Papel higiênico branco, folha dupla, de alta qualidade, com dimensões 10cm X 30m, com a marca do fabricante e indicação na embalagem, absorvente e resistente, fardo com 4 rolos de 30 metros. Tipo Neve ou de melhor qualidade.</v>
      </c>
      <c r="C40" s="548"/>
      <c r="D40" s="548"/>
      <c r="E40" s="76" t="str">
        <f>Materiais!C24</f>
        <v>Fardo com 4 rolos</v>
      </c>
      <c r="F40" s="76" t="str">
        <f>Materiais!D24</f>
        <v>Neve</v>
      </c>
      <c r="G40" s="77">
        <f t="shared" si="0"/>
        <v>80</v>
      </c>
      <c r="H40" s="78">
        <f>G40*Materiais!G24</f>
        <v>508</v>
      </c>
      <c r="I40" s="546" t="str">
        <f t="shared" si="1"/>
        <v>Fornecimento igual ao estimado mensalmente</v>
      </c>
      <c r="J40" s="546"/>
      <c r="K40" s="546"/>
      <c r="L40" s="79">
        <f t="shared" si="2"/>
        <v>80</v>
      </c>
      <c r="M40" s="80">
        <f>Materiais!E24</f>
        <v>80</v>
      </c>
      <c r="N40" s="81" t="str">
        <f>Materiais!F24</f>
        <v>Mensal</v>
      </c>
      <c r="O40" s="82">
        <f t="shared" si="3"/>
        <v>1</v>
      </c>
      <c r="W40" s="1"/>
    </row>
    <row r="41" spans="1:23" ht="15" hidden="1" customHeight="1">
      <c r="A41" s="83">
        <v>17</v>
      </c>
      <c r="B41" s="548" t="str">
        <f>Materiais!B25</f>
        <v>Papel Toalha Interfolhado, 2 dobras, 100% fibras celulósicas, branco extra luxo, sem pintas ou outros tipos de sujidades, boa qualidade , medindo aproximadamente 23cm x 23 cm , acondicionado em caixa c/1000 folhas.</v>
      </c>
      <c r="C41" s="548"/>
      <c r="D41" s="548"/>
      <c r="E41" s="76" t="str">
        <f>Materiais!C25</f>
        <v>Pacote</v>
      </c>
      <c r="F41" s="76" t="str">
        <f>Materiais!D25</f>
        <v>Economy (Jofel) ou similar</v>
      </c>
      <c r="G41" s="77">
        <f t="shared" si="0"/>
        <v>25</v>
      </c>
      <c r="H41" s="78">
        <f>G41*Materiais!G25</f>
        <v>631.5</v>
      </c>
      <c r="I41" s="546" t="str">
        <f t="shared" si="1"/>
        <v>Fornecimento igual ao estimado mensalmente</v>
      </c>
      <c r="J41" s="546"/>
      <c r="K41" s="546"/>
      <c r="L41" s="79">
        <f t="shared" si="2"/>
        <v>25</v>
      </c>
      <c r="M41" s="80">
        <f>Materiais!E25</f>
        <v>25</v>
      </c>
      <c r="N41" s="81" t="str">
        <f>Materiais!F25</f>
        <v>Mensal</v>
      </c>
      <c r="O41" s="82">
        <f t="shared" si="3"/>
        <v>1</v>
      </c>
      <c r="W41" s="1"/>
    </row>
    <row r="42" spans="1:23" ht="15" hidden="1" customHeight="1">
      <c r="A42" s="83">
        <v>18</v>
      </c>
      <c r="B42" s="548" t="str">
        <f>Materiais!B26</f>
        <v>Pedra sanitária c/ 25g - com suporte para fixar no vaso sanitário. Desinfetante sanitário em pedra 25 g</v>
      </c>
      <c r="C42" s="548"/>
      <c r="D42" s="548"/>
      <c r="E42" s="76" t="str">
        <f>Materiais!C26</f>
        <v>Unid.</v>
      </c>
      <c r="F42" s="76" t="str">
        <f>Materiais!D26</f>
        <v>Harpic, Pato</v>
      </c>
      <c r="G42" s="77">
        <f t="shared" si="0"/>
        <v>5</v>
      </c>
      <c r="H42" s="78">
        <f>G42*Materiais!G26</f>
        <v>17.600000000000001</v>
      </c>
      <c r="I42" s="546" t="str">
        <f t="shared" si="1"/>
        <v>Fornecimento igual ao estimado mensalmente</v>
      </c>
      <c r="J42" s="546"/>
      <c r="K42" s="546"/>
      <c r="L42" s="79">
        <f t="shared" si="2"/>
        <v>5</v>
      </c>
      <c r="M42" s="80">
        <f>Materiais!E26</f>
        <v>5</v>
      </c>
      <c r="N42" s="81" t="str">
        <f>Materiais!F26</f>
        <v>Mensal</v>
      </c>
      <c r="O42" s="82">
        <f t="shared" si="3"/>
        <v>1</v>
      </c>
      <c r="W42" s="1"/>
    </row>
    <row r="43" spans="1:23" ht="15" hidden="1" customHeight="1">
      <c r="A43" s="83">
        <v>19</v>
      </c>
      <c r="B43" s="548" t="str">
        <f>Materiais!B27</f>
        <v>Rodo Plástico e borracha dupla expandida de 60cm, resistente e durável, que puxa e seca a água, feita em EVA e cepo em polipropileno com garras pontiagudas nas laterais para melhor fixar panos de chão.</v>
      </c>
      <c r="C43" s="548"/>
      <c r="D43" s="548"/>
      <c r="E43" s="76" t="str">
        <f>Materiais!C27</f>
        <v>Unid.</v>
      </c>
      <c r="F43" s="76"/>
      <c r="G43" s="77">
        <f t="shared" si="0"/>
        <v>0.33333333333333331</v>
      </c>
      <c r="H43" s="78">
        <f>G43*Materiais!G27</f>
        <v>4.9833333333333325</v>
      </c>
      <c r="I43" s="546" t="str">
        <f t="shared" si="1"/>
        <v>Fornecimento igual ao estimado mensalmente</v>
      </c>
      <c r="J43" s="546"/>
      <c r="K43" s="546"/>
      <c r="L43" s="79">
        <f t="shared" si="2"/>
        <v>0.33333333333333331</v>
      </c>
      <c r="M43" s="80">
        <f>Materiais!E27</f>
        <v>2</v>
      </c>
      <c r="N43" s="81" t="str">
        <f>Materiais!F27</f>
        <v>Semestral</v>
      </c>
      <c r="O43" s="82">
        <f t="shared" si="3"/>
        <v>6</v>
      </c>
      <c r="W43" s="1"/>
    </row>
    <row r="44" spans="1:23" ht="15" hidden="1" customHeight="1">
      <c r="A44" s="83">
        <v>20</v>
      </c>
      <c r="B44" s="548" t="str">
        <f>Materiais!B28</f>
        <v>Sabão em barra glicerinado - cor neutra. Pacote com 5 de 200g cada unidade.</v>
      </c>
      <c r="C44" s="548"/>
      <c r="D44" s="548"/>
      <c r="E44" s="76" t="str">
        <f>Materiais!C28</f>
        <v>Pacote</v>
      </c>
      <c r="F44" s="76" t="str">
        <f>Materiais!D28</f>
        <v>Minuano</v>
      </c>
      <c r="G44" s="77">
        <f t="shared" si="0"/>
        <v>1</v>
      </c>
      <c r="H44" s="78">
        <f>G44*Materiais!G28</f>
        <v>10.25</v>
      </c>
      <c r="I44" s="546" t="str">
        <f t="shared" si="1"/>
        <v>Fornecimento igual ao estimado mensalmente</v>
      </c>
      <c r="J44" s="546"/>
      <c r="K44" s="546"/>
      <c r="L44" s="79">
        <f t="shared" si="2"/>
        <v>1</v>
      </c>
      <c r="M44" s="80">
        <f>Materiais!E28</f>
        <v>1</v>
      </c>
      <c r="N44" s="81" t="str">
        <f>Materiais!F28</f>
        <v>Mensal</v>
      </c>
      <c r="O44" s="82">
        <f t="shared" si="3"/>
        <v>1</v>
      </c>
      <c r="W44" s="1"/>
    </row>
    <row r="45" spans="1:23" ht="15" hidden="1" customHeight="1">
      <c r="A45" s="83">
        <v>21</v>
      </c>
      <c r="B45" s="548" t="str">
        <f>Materiais!B29</f>
        <v>Sabão em Pó – Caixa de 0,8 a 1Kg. Sabão em pó, convencional, de primeira linha. Para lavar roupas e limpeza em geral.</v>
      </c>
      <c r="C45" s="548"/>
      <c r="D45" s="548"/>
      <c r="E45" s="76" t="str">
        <f>Materiais!C29</f>
        <v>Cx</v>
      </c>
      <c r="F45" s="76" t="str">
        <f>Materiais!D29</f>
        <v>Omo ou similar</v>
      </c>
      <c r="G45" s="77">
        <f t="shared" si="0"/>
        <v>2</v>
      </c>
      <c r="H45" s="78">
        <f>G45*Materiais!G29</f>
        <v>32.54</v>
      </c>
      <c r="I45" s="546" t="str">
        <f t="shared" si="1"/>
        <v>Fornecimento igual ao estimado mensalmente</v>
      </c>
      <c r="J45" s="546"/>
      <c r="K45" s="546"/>
      <c r="L45" s="79">
        <f t="shared" si="2"/>
        <v>2</v>
      </c>
      <c r="M45" s="80">
        <f>Materiais!E29</f>
        <v>2</v>
      </c>
      <c r="N45" s="81" t="str">
        <f>Materiais!F29</f>
        <v>Mensal</v>
      </c>
      <c r="O45" s="82">
        <f t="shared" si="3"/>
        <v>1</v>
      </c>
      <c r="W45" s="1"/>
    </row>
    <row r="46" spans="1:23" ht="27.6" hidden="1">
      <c r="A46" s="83">
        <v>22</v>
      </c>
      <c r="B46" s="548" t="str">
        <f>Materiais!B30</f>
        <v>Sabonete líquido Concentrado, cremoso perolizado, pronto pra uso, aroma erva-doce, lavanda ou similar, galão de 05 litros.</v>
      </c>
      <c r="C46" s="548"/>
      <c r="D46" s="548"/>
      <c r="E46" s="76" t="str">
        <f>Materiais!C30</f>
        <v>Galão</v>
      </c>
      <c r="F46" s="76" t="str">
        <f>Materiais!D30</f>
        <v>Nobre, Start, Ikebana</v>
      </c>
      <c r="G46" s="77">
        <f t="shared" si="0"/>
        <v>2</v>
      </c>
      <c r="H46" s="78">
        <f>G46*Materiais!G30</f>
        <v>41.04</v>
      </c>
      <c r="I46" s="546" t="str">
        <f t="shared" si="1"/>
        <v>Fornecimento igual ao estimado mensalmente</v>
      </c>
      <c r="J46" s="546"/>
      <c r="K46" s="546"/>
      <c r="L46" s="79">
        <f t="shared" si="2"/>
        <v>2</v>
      </c>
      <c r="M46" s="80">
        <f>Materiais!E30</f>
        <v>2</v>
      </c>
      <c r="N46" s="81" t="str">
        <f>Materiais!F30</f>
        <v>Mensal</v>
      </c>
      <c r="O46" s="82">
        <f t="shared" si="3"/>
        <v>1</v>
      </c>
      <c r="W46" s="1"/>
    </row>
    <row r="47" spans="1:23" ht="15" hidden="1" customHeight="1">
      <c r="A47" s="83">
        <v>23</v>
      </c>
      <c r="B47" s="548" t="str">
        <f>Materiais!B31</f>
        <v>Saco de Algodão Tipo: Alvejado, Tamanho: 60 X 80 CM, Cor: Branco, Características Adicionais: Dupla Face</v>
      </c>
      <c r="C47" s="548"/>
      <c r="D47" s="548"/>
      <c r="E47" s="76" t="str">
        <f>Materiais!C31</f>
        <v>Unid.</v>
      </c>
      <c r="F47" s="76" t="str">
        <f>Materiais!D31</f>
        <v>Santa Margarida</v>
      </c>
      <c r="G47" s="77">
        <f t="shared" si="0"/>
        <v>4</v>
      </c>
      <c r="H47" s="78">
        <f>G47*Materiais!G31</f>
        <v>43.4</v>
      </c>
      <c r="I47" s="546" t="str">
        <f t="shared" si="1"/>
        <v>Fornecimento igual ao estimado mensalmente</v>
      </c>
      <c r="J47" s="546"/>
      <c r="K47" s="546"/>
      <c r="L47" s="79">
        <f t="shared" si="2"/>
        <v>4</v>
      </c>
      <c r="M47" s="80">
        <f>Materiais!E31</f>
        <v>4</v>
      </c>
      <c r="N47" s="81" t="str">
        <f>Materiais!F31</f>
        <v>Mensal</v>
      </c>
      <c r="O47" s="82">
        <f t="shared" si="3"/>
        <v>1</v>
      </c>
      <c r="W47" s="1"/>
    </row>
    <row r="48" spans="1:23" hidden="1">
      <c r="A48" s="83">
        <v>24</v>
      </c>
      <c r="B48" s="548" t="str">
        <f>Materiais!B32</f>
        <v>Saco plástico reforçado para lixo em polietileno, com capacidade de 100 litros, com estanqueidade suficiente para que não haja vazamento de lixo líquido. com espessura mínima de 10 micra, na cor preta. Pacote com 100 unidades.</v>
      </c>
      <c r="C48" s="548"/>
      <c r="D48" s="548"/>
      <c r="E48" s="76" t="str">
        <f>Materiais!C32</f>
        <v>Pacote</v>
      </c>
      <c r="F48" s="76"/>
      <c r="G48" s="77">
        <f t="shared" si="0"/>
        <v>4</v>
      </c>
      <c r="H48" s="78">
        <f>G48*Materiais!G32</f>
        <v>236.68</v>
      </c>
      <c r="I48" s="546" t="str">
        <f t="shared" si="1"/>
        <v>Fornecimento igual ao estimado mensalmente</v>
      </c>
      <c r="J48" s="546"/>
      <c r="K48" s="546"/>
      <c r="L48" s="79">
        <f t="shared" si="2"/>
        <v>4</v>
      </c>
      <c r="M48" s="80">
        <f>Materiais!E32</f>
        <v>4</v>
      </c>
      <c r="N48" s="81" t="str">
        <f>Materiais!F32</f>
        <v>Mensal</v>
      </c>
      <c r="O48" s="82">
        <f t="shared" si="3"/>
        <v>1</v>
      </c>
      <c r="W48" s="1"/>
    </row>
    <row r="49" spans="1:23" ht="15.75" hidden="1" customHeight="1">
      <c r="A49" s="83">
        <v>25</v>
      </c>
      <c r="B49" s="548" t="str">
        <f>Materiais!B33</f>
        <v>Saco plástico reforçado para lixo em polietileno, com capacidade de 20 litros, com estanqueidade suficiente para que não haja vazamento de lixo líquido. com espessura mínima de 09 micra, na cor preta. Pacote com 100 unidades.</v>
      </c>
      <c r="C49" s="548"/>
      <c r="D49" s="548"/>
      <c r="E49" s="76" t="str">
        <f>Materiais!C33</f>
        <v>Pacote</v>
      </c>
      <c r="F49" s="76" t="str">
        <f>Materiais!D33</f>
        <v>Altaplast</v>
      </c>
      <c r="G49" s="77">
        <f t="shared" si="0"/>
        <v>4</v>
      </c>
      <c r="H49" s="78">
        <f>G49*Materiais!G33</f>
        <v>64.400000000000006</v>
      </c>
      <c r="I49" s="546" t="str">
        <f t="shared" si="1"/>
        <v>Fornecimento igual ao estimado mensalmente</v>
      </c>
      <c r="J49" s="546"/>
      <c r="K49" s="546"/>
      <c r="L49" s="79">
        <f t="shared" si="2"/>
        <v>4</v>
      </c>
      <c r="M49" s="80">
        <f>Materiais!E33</f>
        <v>4</v>
      </c>
      <c r="N49" s="81" t="str">
        <f>Materiais!F33</f>
        <v>Mensal</v>
      </c>
      <c r="O49" s="82">
        <f t="shared" si="3"/>
        <v>1</v>
      </c>
      <c r="W49" s="1"/>
    </row>
    <row r="50" spans="1:23" ht="15" hidden="1" customHeight="1">
      <c r="A50" s="83">
        <v>26</v>
      </c>
      <c r="B50" s="548" t="str">
        <f>Materiais!B34</f>
        <v>Vassoura Material Cerdas: Piaçava, Aplicação: Limpeza, Material Cepa: Madeira, Comprimento Cepa: 40 CM, Comprimento Cerdas: 13 CM, Largura Cepa: 5 CM, Altura Cepa: 4 CM, Material Cabo: Madeira</v>
      </c>
      <c r="C50" s="548"/>
      <c r="D50" s="548"/>
      <c r="E50" s="76" t="str">
        <f>Materiais!C34</f>
        <v>Unid.</v>
      </c>
      <c r="F50" s="76" t="str">
        <f>Materiais!D34</f>
        <v>Noviça</v>
      </c>
      <c r="G50" s="77">
        <f t="shared" si="0"/>
        <v>0.33333333333333331</v>
      </c>
      <c r="H50" s="78">
        <f>G50*Materiais!G34</f>
        <v>5.8699999999999992</v>
      </c>
      <c r="I50" s="546" t="str">
        <f t="shared" si="1"/>
        <v>Fornecimento igual ao estimado mensalmente</v>
      </c>
      <c r="J50" s="546"/>
      <c r="K50" s="546"/>
      <c r="L50" s="79">
        <f t="shared" si="2"/>
        <v>0.33333333333333331</v>
      </c>
      <c r="M50" s="80">
        <f>Materiais!E34</f>
        <v>2</v>
      </c>
      <c r="N50" s="81" t="str">
        <f>Materiais!F34</f>
        <v>Semestral</v>
      </c>
      <c r="O50" s="82">
        <f t="shared" si="3"/>
        <v>6</v>
      </c>
      <c r="W50" s="1"/>
    </row>
    <row r="51" spans="1:23" ht="15" hidden="1" customHeight="1">
      <c r="A51" s="549" t="s">
        <v>71</v>
      </c>
      <c r="B51" s="549"/>
      <c r="C51" s="549"/>
      <c r="D51" s="549"/>
      <c r="E51" s="549"/>
      <c r="F51" s="549"/>
      <c r="G51" s="549"/>
      <c r="H51" s="85">
        <f>ROUND(SUM(H25:H50),2)</f>
        <v>2272.7800000000002</v>
      </c>
      <c r="I51" s="58"/>
      <c r="J51" s="58"/>
      <c r="K51" s="1"/>
      <c r="L51" s="1"/>
      <c r="M51" s="1"/>
      <c r="N51" s="69"/>
      <c r="O51" s="69"/>
    </row>
    <row r="52" spans="1:23" ht="15" hidden="1" customHeight="1">
      <c r="A52" s="540" t="s">
        <v>72</v>
      </c>
      <c r="B52" s="540"/>
      <c r="C52" s="540"/>
      <c r="D52" s="540"/>
      <c r="E52" s="540"/>
      <c r="F52" s="540"/>
      <c r="G52" s="86">
        <f>Dados!G42</f>
        <v>0.03</v>
      </c>
      <c r="H52" s="87">
        <f>ROUND((H51*G52),2)</f>
        <v>68.180000000000007</v>
      </c>
      <c r="I52" s="58"/>
      <c r="J52" s="58"/>
      <c r="K52" s="1"/>
      <c r="L52" s="1"/>
      <c r="M52" s="1"/>
      <c r="N52" s="69"/>
      <c r="O52" s="69"/>
    </row>
    <row r="53" spans="1:23" ht="15" hidden="1" customHeight="1">
      <c r="A53" s="540" t="s">
        <v>73</v>
      </c>
      <c r="B53" s="540"/>
      <c r="C53" s="540"/>
      <c r="D53" s="540"/>
      <c r="E53" s="540"/>
      <c r="F53" s="540"/>
      <c r="G53" s="86">
        <f>Dados!G43</f>
        <v>6.7900000000000002E-2</v>
      </c>
      <c r="H53" s="87">
        <f>ROUND((SUM(H51:H52)*G53),2)</f>
        <v>158.94999999999999</v>
      </c>
      <c r="I53" s="58"/>
      <c r="J53" s="58"/>
      <c r="K53" s="1"/>
      <c r="L53" s="1"/>
      <c r="M53" s="1"/>
      <c r="N53" s="69"/>
      <c r="O53" s="69"/>
    </row>
    <row r="54" spans="1:23" ht="15" hidden="1" customHeight="1">
      <c r="A54" s="540" t="s">
        <v>74</v>
      </c>
      <c r="B54" s="540"/>
      <c r="C54" s="540"/>
      <c r="D54" s="540"/>
      <c r="E54" s="540"/>
      <c r="F54" s="540"/>
      <c r="G54" s="86">
        <f>Dados!G54</f>
        <v>0.17249999999999999</v>
      </c>
      <c r="H54" s="87">
        <f>ROUND((H55*G54),2)</f>
        <v>521.13</v>
      </c>
      <c r="I54" s="58"/>
      <c r="J54" s="58"/>
      <c r="K54" s="1"/>
      <c r="L54" s="1"/>
      <c r="M54" s="1"/>
      <c r="N54" s="69"/>
      <c r="O54" s="69"/>
    </row>
    <row r="55" spans="1:23" ht="15.75" hidden="1" customHeight="1">
      <c r="A55" s="541" t="s">
        <v>75</v>
      </c>
      <c r="B55" s="541"/>
      <c r="C55" s="541"/>
      <c r="D55" s="541"/>
      <c r="E55" s="541"/>
      <c r="F55" s="541"/>
      <c r="G55" s="541"/>
      <c r="H55" s="88">
        <f>ROUND((SUM(H51:H53)/(1-G54)),2)</f>
        <v>3021.04</v>
      </c>
      <c r="I55" s="58"/>
      <c r="J55" s="58"/>
      <c r="K55" s="1"/>
      <c r="L55" s="1"/>
      <c r="M55" s="1"/>
      <c r="N55" s="69"/>
      <c r="O55" s="69"/>
    </row>
    <row r="56" spans="1:23" hidden="1">
      <c r="A56" s="64"/>
      <c r="B56" s="69"/>
      <c r="C56" s="69"/>
      <c r="D56" s="69"/>
      <c r="E56" s="69"/>
      <c r="F56" s="69"/>
      <c r="G56" s="64"/>
      <c r="H56" s="69"/>
      <c r="I56" s="69"/>
      <c r="J56" s="69"/>
      <c r="K56" s="1"/>
      <c r="L56" s="1"/>
      <c r="M56" s="1"/>
      <c r="N56" s="69"/>
      <c r="O56" s="69"/>
    </row>
    <row r="57" spans="1:23" ht="32.25" hidden="1" customHeight="1">
      <c r="A57" s="547" t="s">
        <v>57</v>
      </c>
      <c r="B57" s="550" t="s">
        <v>76</v>
      </c>
      <c r="C57" s="550"/>
      <c r="D57" s="550"/>
      <c r="E57" s="550"/>
      <c r="F57" s="551" t="s">
        <v>59</v>
      </c>
      <c r="G57" s="551"/>
      <c r="H57" s="551"/>
      <c r="I57" s="552" t="s">
        <v>60</v>
      </c>
      <c r="J57" s="552"/>
      <c r="K57" s="552"/>
      <c r="L57" s="543" t="s">
        <v>61</v>
      </c>
      <c r="M57" s="543"/>
      <c r="N57" s="543"/>
      <c r="O57" s="543"/>
      <c r="V57" s="1"/>
      <c r="W57" s="1"/>
    </row>
    <row r="58" spans="1:23" ht="38.25" hidden="1" customHeight="1">
      <c r="A58" s="547"/>
      <c r="B58" s="544" t="s">
        <v>62</v>
      </c>
      <c r="C58" s="544"/>
      <c r="D58" s="544"/>
      <c r="E58" s="63" t="s">
        <v>63</v>
      </c>
      <c r="F58" s="63" t="s">
        <v>64</v>
      </c>
      <c r="G58" s="63" t="s">
        <v>65</v>
      </c>
      <c r="H58" s="73" t="s">
        <v>66</v>
      </c>
      <c r="I58" s="552"/>
      <c r="J58" s="552"/>
      <c r="K58" s="552"/>
      <c r="L58" s="70" t="s">
        <v>67</v>
      </c>
      <c r="M58" s="71" t="s">
        <v>68</v>
      </c>
      <c r="N58" s="71" t="s">
        <v>69</v>
      </c>
      <c r="O58" s="72" t="s">
        <v>70</v>
      </c>
      <c r="V58" s="1"/>
      <c r="W58" s="1"/>
    </row>
    <row r="59" spans="1:23" ht="15" hidden="1" customHeight="1">
      <c r="A59" s="89">
        <v>1</v>
      </c>
      <c r="B59" s="545" t="str">
        <f>Materiais!B41</f>
        <v>Guardanapo de limpeza, em papel absorvente, folha simples, na cor branca, não gofrado, 4 dobras, dimensões mínimas 33,5cm x 32,5cm, 100% fibras naturais, embalado em pacote com 50 unidades, com dados do fabricante, data de fabricação e prazo de validade. Produto fabricado de acordo com as normas da ABNT/NBR. Do tipo Coquetel, Santepel, Snob ou de melhor qualidade</v>
      </c>
      <c r="C59" s="545"/>
      <c r="D59" s="545"/>
      <c r="E59" s="76" t="str">
        <f>Materiais!C41</f>
        <v>pct</v>
      </c>
      <c r="F59" s="76" t="str">
        <f>Materiais!D41</f>
        <v>Santepel</v>
      </c>
      <c r="G59" s="77">
        <f>IF($D$4="PLANILHA PARA LICITAÇÃO (PRECIFICAÇÃO)",L59,0)</f>
        <v>25</v>
      </c>
      <c r="H59" s="78">
        <f>G59*Materiais!G41</f>
        <v>130.75</v>
      </c>
      <c r="I59" s="546" t="str">
        <f>IF(G59&lt;L59,"Fornecimento inferior ao estimado mensalmente",IF(G59=L59,"Fornecimento igual ao estimado mensalmente",IF(G59&gt;L59,"Fornecimento superior ao estimado mensalmente",)))</f>
        <v>Fornecimento igual ao estimado mensalmente</v>
      </c>
      <c r="J59" s="546"/>
      <c r="K59" s="546"/>
      <c r="L59" s="79">
        <f>M59/O59</f>
        <v>25</v>
      </c>
      <c r="M59" s="90">
        <f>Materiais!E41</f>
        <v>25</v>
      </c>
      <c r="N59" s="90" t="str">
        <f>Materiais!F41</f>
        <v>Mensal</v>
      </c>
      <c r="O59" s="82">
        <f>IF(N59="MENSAL",1,IF(N59="BIMESTRAL",2,IF(N59="TRIMESTRAL",3,IF(N59="QUADRIMESTRAL",4,IF(N59="SEMESTRAL",6,IF(N59="ANUAL",12,IF(N59="BIENAL",24,"")))))))</f>
        <v>1</v>
      </c>
      <c r="W59" s="1"/>
    </row>
    <row r="60" spans="1:23" ht="15" hidden="1" customHeight="1">
      <c r="A60" s="89">
        <v>2</v>
      </c>
      <c r="B60" s="545" t="str">
        <f>Materiais!B42</f>
        <v>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v>
      </c>
      <c r="C60" s="545"/>
      <c r="D60" s="545"/>
      <c r="E60" s="76" t="str">
        <f>Materiais!C42</f>
        <v>unid.</v>
      </c>
      <c r="F60" s="76" t="str">
        <f>Materiais!D42</f>
        <v>Veja</v>
      </c>
      <c r="G60" s="77">
        <f>IF($D$4="PLANILHA PARA LICITAÇÃO (PRECIFICAÇÃO)",L60,0)</f>
        <v>10</v>
      </c>
      <c r="H60" s="78">
        <f>G60*Materiais!G42</f>
        <v>63</v>
      </c>
      <c r="I60" s="546" t="str">
        <f>IF(G60&lt;L60,"Fornecimento inferior ao estimado mensalmente",IF(G60=L60,"Fornecimento igual ao estimado mensalmente",IF(G60&gt;L60,"Fornecimento superior ao estimado mensalmente",)))</f>
        <v>Fornecimento igual ao estimado mensalmente</v>
      </c>
      <c r="J60" s="546"/>
      <c r="K60" s="546"/>
      <c r="L60" s="79">
        <f>M60/O60</f>
        <v>10</v>
      </c>
      <c r="M60" s="90">
        <f>Materiais!E42</f>
        <v>10</v>
      </c>
      <c r="N60" s="90" t="str">
        <f>Materiais!F42</f>
        <v>Mensal</v>
      </c>
      <c r="O60" s="82">
        <f>IF(N60="MENSAL",1,IF(N60="BIMESTRAL",2,IF(N60="TRIMESTRAL",3,IF(N60="QUADRIMESTRAL",4,IF(N60="SEMESTRAL",6,IF(N60="ANUAL",12,IF(N60="BIENAL",24,"")))))))</f>
        <v>1</v>
      </c>
      <c r="W60" s="1"/>
    </row>
    <row r="61" spans="1:23" hidden="1">
      <c r="A61" s="89">
        <v>3</v>
      </c>
      <c r="B61" s="545" t="str">
        <f>Materiais!B43</f>
        <v>Pano de copa aberto 100%  dimensões mínimas 40x60cm</v>
      </c>
      <c r="C61" s="545"/>
      <c r="D61" s="545"/>
      <c r="E61" s="76" t="str">
        <f>Materiais!C43</f>
        <v>unid.</v>
      </c>
      <c r="F61" s="76" t="str">
        <f>Materiais!D43</f>
        <v>Karsten</v>
      </c>
      <c r="G61" s="77">
        <f>IF($D$4="PLANILHA PARA LICITAÇÃO (PRECIFICAÇÃO)",L61,0)</f>
        <v>2</v>
      </c>
      <c r="H61" s="78">
        <f>G61*Materiais!G43</f>
        <v>13.78</v>
      </c>
      <c r="I61" s="546" t="str">
        <f>IF(G61&lt;L61,"Fornecimento inferior ao estimado mensalmente",IF(G61=L61,"Fornecimento igual ao estimado mensalmente",IF(G61&gt;L61,"Fornecimento superior ao estimado mensalmente",)))</f>
        <v>Fornecimento igual ao estimado mensalmente</v>
      </c>
      <c r="J61" s="546"/>
      <c r="K61" s="546"/>
      <c r="L61" s="79">
        <f>M61/O61</f>
        <v>2</v>
      </c>
      <c r="M61" s="90">
        <f>Materiais!E43</f>
        <v>2</v>
      </c>
      <c r="N61" s="90" t="str">
        <f>Materiais!F43</f>
        <v>Mensal</v>
      </c>
      <c r="O61" s="82">
        <f>IF(N61="MENSAL",1,IF(N61="BIMESTRAL",2,IF(N61="TRIMESTRAL",3,IF(N61="QUADRIMESTRAL",4,IF(N61="SEMESTRAL",6,IF(N61="ANUAL",12,IF(N61="BIENAL",24,"")))))))</f>
        <v>1</v>
      </c>
      <c r="W61" s="1"/>
    </row>
    <row r="62" spans="1:23" ht="15" hidden="1" customHeight="1">
      <c r="A62" s="547" t="s">
        <v>71</v>
      </c>
      <c r="B62" s="547"/>
      <c r="C62" s="547"/>
      <c r="D62" s="547"/>
      <c r="E62" s="547"/>
      <c r="F62" s="547"/>
      <c r="G62" s="547"/>
      <c r="H62" s="91">
        <f>SUM(H59:H61)</f>
        <v>207.53</v>
      </c>
      <c r="I62" s="58"/>
      <c r="J62" s="58"/>
      <c r="K62" s="1"/>
      <c r="L62" s="69"/>
      <c r="M62" s="69"/>
      <c r="N62" s="69"/>
      <c r="V62" s="1"/>
      <c r="W62" s="1"/>
    </row>
    <row r="63" spans="1:23" ht="15" hidden="1" customHeight="1">
      <c r="A63" s="540" t="s">
        <v>72</v>
      </c>
      <c r="B63" s="540"/>
      <c r="C63" s="540"/>
      <c r="D63" s="540"/>
      <c r="E63" s="540"/>
      <c r="F63" s="540"/>
      <c r="G63" s="86">
        <f>Dados!$G$42</f>
        <v>0.03</v>
      </c>
      <c r="H63" s="87">
        <f>ROUND((H62*G63),2)</f>
        <v>6.23</v>
      </c>
      <c r="I63" s="69"/>
      <c r="J63" s="69"/>
      <c r="K63" s="1"/>
      <c r="L63" s="69"/>
      <c r="M63" s="69"/>
      <c r="N63" s="69"/>
      <c r="V63" s="1"/>
      <c r="W63" s="1"/>
    </row>
    <row r="64" spans="1:23" ht="15" hidden="1" customHeight="1">
      <c r="A64" s="540" t="s">
        <v>73</v>
      </c>
      <c r="B64" s="540"/>
      <c r="C64" s="540"/>
      <c r="D64" s="540"/>
      <c r="E64" s="540"/>
      <c r="F64" s="540"/>
      <c r="G64" s="86">
        <f>Dados!$G$43</f>
        <v>6.7900000000000002E-2</v>
      </c>
      <c r="H64" s="87">
        <f>ROUND((SUM(H62:H63)*G64),2)</f>
        <v>14.51</v>
      </c>
      <c r="I64" s="69"/>
      <c r="J64" s="69"/>
      <c r="K64" s="1"/>
      <c r="L64" s="69"/>
      <c r="M64" s="69"/>
      <c r="N64" s="69"/>
      <c r="V64" s="1"/>
      <c r="W64" s="1"/>
    </row>
    <row r="65" spans="1:23" ht="15" hidden="1" customHeight="1">
      <c r="A65" s="540" t="s">
        <v>74</v>
      </c>
      <c r="B65" s="540"/>
      <c r="C65" s="540"/>
      <c r="D65" s="540"/>
      <c r="E65" s="540"/>
      <c r="F65" s="540"/>
      <c r="G65" s="86">
        <f>Dados!$G$54</f>
        <v>0.17249999999999999</v>
      </c>
      <c r="H65" s="87">
        <f>ROUND((H66*G65),2)</f>
        <v>47.58</v>
      </c>
      <c r="I65" s="69"/>
      <c r="J65" s="69"/>
      <c r="K65" s="1"/>
      <c r="L65" s="69"/>
      <c r="M65" s="69"/>
      <c r="N65" s="69"/>
      <c r="V65" s="1"/>
      <c r="W65" s="1"/>
    </row>
    <row r="66" spans="1:23" ht="15.75" hidden="1" customHeight="1">
      <c r="A66" s="541" t="s">
        <v>77</v>
      </c>
      <c r="B66" s="541"/>
      <c r="C66" s="541"/>
      <c r="D66" s="541"/>
      <c r="E66" s="541"/>
      <c r="F66" s="541"/>
      <c r="G66" s="541"/>
      <c r="H66" s="88">
        <f>ROUND((SUM(H62:H64)/(1-G65)),2)</f>
        <v>275.85000000000002</v>
      </c>
      <c r="I66" s="69"/>
      <c r="J66" s="69"/>
      <c r="K66" s="1"/>
      <c r="L66" s="69"/>
      <c r="M66" s="69"/>
      <c r="N66" s="69"/>
      <c r="V66" s="1"/>
      <c r="W66" s="1"/>
    </row>
    <row r="67" spans="1:23" hidden="1">
      <c r="A67" s="64"/>
      <c r="B67" s="69"/>
      <c r="C67" s="69"/>
      <c r="D67" s="69"/>
      <c r="E67" s="69"/>
      <c r="F67" s="69"/>
      <c r="G67" s="64"/>
      <c r="H67" s="69"/>
      <c r="I67" s="69"/>
      <c r="J67" s="69"/>
      <c r="K67" s="1"/>
      <c r="L67" s="69"/>
      <c r="M67" s="69"/>
      <c r="N67" s="69"/>
      <c r="V67" s="1"/>
      <c r="W67" s="1"/>
    </row>
    <row r="68" spans="1:23" hidden="1">
      <c r="L68" s="1"/>
      <c r="M68" s="1"/>
      <c r="P68" s="3"/>
      <c r="Q68" s="3"/>
      <c r="V68" s="1"/>
      <c r="W68" s="1"/>
    </row>
    <row r="69" spans="1:23" hidden="1"/>
    <row r="70" spans="1:23" hidden="1">
      <c r="B70" s="542" t="s">
        <v>78</v>
      </c>
      <c r="C70" s="542"/>
    </row>
    <row r="71" spans="1:23" hidden="1">
      <c r="B71" s="92" t="s">
        <v>79</v>
      </c>
      <c r="C71" s="93">
        <v>22</v>
      </c>
      <c r="D71" s="1" t="s">
        <v>80</v>
      </c>
    </row>
    <row r="72" spans="1:23" hidden="1">
      <c r="B72" s="92" t="s">
        <v>5</v>
      </c>
      <c r="C72" s="94">
        <v>30</v>
      </c>
      <c r="D72" s="1" t="s">
        <v>81</v>
      </c>
    </row>
    <row r="73" spans="1:23" hidden="1">
      <c r="B73" s="92" t="s">
        <v>82</v>
      </c>
      <c r="C73" s="94" t="s">
        <v>83</v>
      </c>
      <c r="D73" s="1" t="s">
        <v>84</v>
      </c>
    </row>
    <row r="74" spans="1:23" hidden="1"/>
    <row r="75" spans="1:23" hidden="1">
      <c r="B75" s="92" t="s">
        <v>85</v>
      </c>
      <c r="C75" s="92" t="s">
        <v>86</v>
      </c>
    </row>
    <row r="76" spans="1:23" hidden="1">
      <c r="B76" s="92">
        <v>220</v>
      </c>
      <c r="C76" s="92">
        <v>8.8000000000000007</v>
      </c>
    </row>
    <row r="77" spans="1:23" hidden="1">
      <c r="B77" s="92">
        <v>200</v>
      </c>
      <c r="C77" s="92">
        <v>8</v>
      </c>
    </row>
    <row r="78" spans="1:23" hidden="1">
      <c r="B78" s="92">
        <v>180</v>
      </c>
      <c r="C78" s="92">
        <v>7.2</v>
      </c>
    </row>
    <row r="79" spans="1:23" hidden="1">
      <c r="B79" s="92">
        <v>150</v>
      </c>
      <c r="C79" s="92">
        <v>6</v>
      </c>
    </row>
    <row r="80" spans="1:23" hidden="1">
      <c r="B80" s="92">
        <v>120</v>
      </c>
      <c r="C80" s="92">
        <v>4.8</v>
      </c>
    </row>
    <row r="81" spans="2:3" hidden="1">
      <c r="B81" s="92">
        <v>100</v>
      </c>
      <c r="C81" s="92">
        <v>4</v>
      </c>
    </row>
    <row r="82" spans="2:3" hidden="1">
      <c r="B82" s="92">
        <v>75</v>
      </c>
      <c r="C82" s="92">
        <v>3</v>
      </c>
    </row>
    <row r="83" spans="2:3" hidden="1"/>
    <row r="84" spans="2:3" hidden="1">
      <c r="B84" s="92" t="s">
        <v>87</v>
      </c>
    </row>
    <row r="85" spans="2:3" hidden="1">
      <c r="B85" s="95">
        <v>0</v>
      </c>
    </row>
    <row r="86" spans="2:3" hidden="1">
      <c r="B86" s="95">
        <v>1</v>
      </c>
    </row>
    <row r="87" spans="2:3" hidden="1">
      <c r="B87" s="95">
        <v>2</v>
      </c>
    </row>
  </sheetData>
  <sheetProtection algorithmName="SHA-512" hashValue="4XC/Ye7HsgMZF6nScmKbLA77MM74nJmVGAGlcZGDl7X7bhR/kR15fyG/O2jJ4SVUBxKLts5l0c9ZaWaNWuwOLw==" saltValue="v8aiL0uvXctaDKn0HMHR9g==" spinCount="100000" sheet="1" objects="1" scenarios="1"/>
  <mergeCells count="108">
    <mergeCell ref="C2:S2"/>
    <mergeCell ref="C3:S3"/>
    <mergeCell ref="A4:C4"/>
    <mergeCell ref="D4:E4"/>
    <mergeCell ref="A5:C5"/>
    <mergeCell ref="A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W9"/>
    <mergeCell ref="A14:G14"/>
    <mergeCell ref="I14:J14"/>
    <mergeCell ref="A17:B18"/>
    <mergeCell ref="A19:F20"/>
    <mergeCell ref="A23:A24"/>
    <mergeCell ref="B23:E23"/>
    <mergeCell ref="F23:H23"/>
    <mergeCell ref="I23:K24"/>
    <mergeCell ref="L23:O23"/>
    <mergeCell ref="B24:D24"/>
    <mergeCell ref="B25:D25"/>
    <mergeCell ref="I25:K25"/>
    <mergeCell ref="B26:D26"/>
    <mergeCell ref="I26:K26"/>
    <mergeCell ref="B27:D27"/>
    <mergeCell ref="I27:K27"/>
    <mergeCell ref="B28:D28"/>
    <mergeCell ref="I28:K28"/>
    <mergeCell ref="B29:D29"/>
    <mergeCell ref="I29:K29"/>
    <mergeCell ref="B30:D30"/>
    <mergeCell ref="I30:K30"/>
    <mergeCell ref="B31:D31"/>
    <mergeCell ref="I31:K31"/>
    <mergeCell ref="B32:D32"/>
    <mergeCell ref="I32:K32"/>
    <mergeCell ref="B33:D33"/>
    <mergeCell ref="I33:K33"/>
    <mergeCell ref="B34:D34"/>
    <mergeCell ref="I34:K34"/>
    <mergeCell ref="B35:D35"/>
    <mergeCell ref="I35:K35"/>
    <mergeCell ref="B36:D36"/>
    <mergeCell ref="I36:K36"/>
    <mergeCell ref="B37:D37"/>
    <mergeCell ref="I37:K37"/>
    <mergeCell ref="B38:D38"/>
    <mergeCell ref="I38:K38"/>
    <mergeCell ref="B39:D39"/>
    <mergeCell ref="I39:K39"/>
    <mergeCell ref="B40:D40"/>
    <mergeCell ref="I40:K40"/>
    <mergeCell ref="B41:D41"/>
    <mergeCell ref="I41:K41"/>
    <mergeCell ref="B42:D42"/>
    <mergeCell ref="I42:K42"/>
    <mergeCell ref="B43:D43"/>
    <mergeCell ref="I43:K43"/>
    <mergeCell ref="B44:D44"/>
    <mergeCell ref="I44:K44"/>
    <mergeCell ref="B45:D45"/>
    <mergeCell ref="I45:K45"/>
    <mergeCell ref="B46:D46"/>
    <mergeCell ref="I46:K46"/>
    <mergeCell ref="B47:D47"/>
    <mergeCell ref="I47:K47"/>
    <mergeCell ref="B48:D48"/>
    <mergeCell ref="I48:K48"/>
    <mergeCell ref="B49:D49"/>
    <mergeCell ref="I49:K49"/>
    <mergeCell ref="B50:D50"/>
    <mergeCell ref="I50:K50"/>
    <mergeCell ref="A51:G51"/>
    <mergeCell ref="A52:F52"/>
    <mergeCell ref="A53:F53"/>
    <mergeCell ref="A54:F54"/>
    <mergeCell ref="A55:G55"/>
    <mergeCell ref="A57:A58"/>
    <mergeCell ref="B57:E57"/>
    <mergeCell ref="F57:H57"/>
    <mergeCell ref="I57:K58"/>
    <mergeCell ref="A63:F63"/>
    <mergeCell ref="A64:F64"/>
    <mergeCell ref="A65:F65"/>
    <mergeCell ref="A66:G66"/>
    <mergeCell ref="B70:C70"/>
    <mergeCell ref="L57:O57"/>
    <mergeCell ref="B58:D58"/>
    <mergeCell ref="B59:D59"/>
    <mergeCell ref="I59:K59"/>
    <mergeCell ref="B60:D60"/>
    <mergeCell ref="I60:K60"/>
    <mergeCell ref="B61:D61"/>
    <mergeCell ref="I61:K61"/>
    <mergeCell ref="A62:G62"/>
  </mergeCells>
  <conditionalFormatting sqref="I25:I50 I59:I61">
    <cfRule type="containsText" dxfId="0" priority="2" operator="containsText" text="inferior"/>
  </conditionalFormatting>
  <dataValidations count="7">
    <dataValidation type="list" allowBlank="1" showInputMessage="1" showErrorMessage="1" sqref="N25:N50">
      <formula1>"Mensal,Bimestral,Trimestral,Quadrimestral,Semestral,Anual,Bienal"</formula1>
      <formula2>0</formula2>
    </dataValidation>
    <dataValidation type="list" allowBlank="1" showInputMessage="1" showErrorMessage="1" sqref="C18">
      <formula1>$B$76:$B$82</formula1>
      <formula2>0</formula2>
    </dataValidation>
    <dataValidation type="list" allowBlank="1" showInputMessage="1" showErrorMessage="1" sqref="D13">
      <formula1>$B$85:$B$87</formula1>
      <formula2>0</formula2>
    </dataValidation>
    <dataValidation type="list" allowBlank="1" showInputMessage="1" showErrorMessage="1" sqref="D4:E4">
      <formula1>"PLANILHA PARA LICITAÇÃO (PRECIFICAÇÃO),PLANILHA PARA FATURAMENTO"</formula1>
      <formula2>0</formula2>
    </dataValidation>
    <dataValidation type="list" allowBlank="1" showInputMessage="1" showErrorMessage="1" sqref="D5">
      <formula1>$B$71:$B$73</formula1>
      <formula2>0</formula2>
    </dataValidation>
    <dataValidation type="list" allowBlank="1" showInputMessage="1" showErrorMessage="1" sqref="D11:D12">
      <formula1>$B$85:$B$86</formula1>
      <formula2>0</formula2>
    </dataValidation>
    <dataValidation type="list" allowBlank="1" showInputMessage="1" showErrorMessage="1" sqref="E11:E13">
      <formula1>"SIM,NÃO"</formula1>
      <formula2>0</formula2>
    </dataValidation>
  </dataValidations>
  <pageMargins left="0.7" right="0.7" top="0.75" bottom="0.75" header="0.51180555555555496" footer="0.51180555555555496"/>
  <pageSetup paperSize="9" firstPageNumber="0" orientation="portrait" horizontalDpi="300" verticalDpi="300"/>
  <drawing r:id="rId1"/>
</worksheet>
</file>

<file path=xl/worksheets/sheet10.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95" zoomScaleNormal="95" workbookViewId="0">
      <selection activeCell="E28" sqref="E28"/>
    </sheetView>
  </sheetViews>
  <sheetFormatPr defaultRowHeight="14.4"/>
  <cols>
    <col min="1" max="1" width="10.5546875" style="69" customWidth="1"/>
    <col min="2" max="2" width="27.6640625" style="69" customWidth="1"/>
    <col min="3" max="3" width="14.44140625" style="69" customWidth="1"/>
    <col min="4" max="5" width="15" style="69" customWidth="1"/>
    <col min="6" max="6" width="16.6640625" style="321" customWidth="1"/>
    <col min="7" max="8" width="13.109375" style="321" customWidth="1"/>
    <col min="9" max="10" width="12.5546875" style="321" customWidth="1"/>
    <col min="11" max="257" width="9.109375" style="69" customWidth="1"/>
    <col min="258" max="258" width="10.5546875" style="69" customWidth="1"/>
    <col min="259" max="259" width="27.6640625" style="69" customWidth="1"/>
    <col min="260" max="260" width="14.44140625" style="69" customWidth="1"/>
    <col min="261" max="262" width="15" style="69" customWidth="1"/>
    <col min="263" max="263" width="16.6640625" style="69" customWidth="1"/>
    <col min="264" max="264" width="13.109375" style="69" customWidth="1"/>
    <col min="265" max="266" width="12.5546875" style="69" customWidth="1"/>
    <col min="267" max="513" width="9.109375" style="69" customWidth="1"/>
    <col min="514" max="514" width="10.5546875" style="69" customWidth="1"/>
    <col min="515" max="515" width="27.6640625" style="69" customWidth="1"/>
    <col min="516" max="516" width="14.44140625" style="69" customWidth="1"/>
    <col min="517" max="518" width="15" style="69" customWidth="1"/>
    <col min="519" max="519" width="16.6640625" style="69" customWidth="1"/>
    <col min="520" max="520" width="13.109375" style="69" customWidth="1"/>
    <col min="521" max="522" width="12.5546875" style="69" customWidth="1"/>
    <col min="523" max="769" width="9.109375" style="69" customWidth="1"/>
    <col min="770" max="770" width="10.5546875" style="69" customWidth="1"/>
    <col min="771" max="771" width="27.6640625" style="69" customWidth="1"/>
    <col min="772" max="772" width="14.44140625" style="69" customWidth="1"/>
    <col min="773" max="774" width="15" style="69" customWidth="1"/>
    <col min="775" max="775" width="16.6640625" style="69" customWidth="1"/>
    <col min="776" max="776" width="13.109375" style="69" customWidth="1"/>
    <col min="777" max="778" width="12.5546875" style="69" customWidth="1"/>
    <col min="779" max="1025" width="9.109375" style="69" customWidth="1"/>
  </cols>
  <sheetData>
    <row r="1" spans="1:10">
      <c r="A1" s="322"/>
      <c r="B1" s="98" t="str">
        <f>INSTRUÇÕES!B1</f>
        <v>Tribunal Regional Federal da 6ª Região</v>
      </c>
      <c r="C1" s="323"/>
      <c r="D1" s="323"/>
      <c r="E1" s="323"/>
      <c r="F1" s="324"/>
      <c r="G1" s="325"/>
      <c r="H1" s="325"/>
      <c r="I1" s="324"/>
      <c r="J1" s="326"/>
    </row>
    <row r="2" spans="1:10">
      <c r="A2" s="327"/>
      <c r="B2" s="100" t="str">
        <f>INSTRUÇÕES!B2</f>
        <v>Seção Judiciária de Minas Gerais</v>
      </c>
      <c r="C2" s="58"/>
      <c r="D2" s="58"/>
      <c r="E2" s="58"/>
      <c r="F2" s="328"/>
      <c r="I2" s="328"/>
      <c r="J2" s="329"/>
    </row>
    <row r="3" spans="1:10">
      <c r="A3" s="164"/>
      <c r="B3" s="330" t="str">
        <f>INSTRUÇÕES!B3</f>
        <v>Subseção Judiciária de Divinópolis</v>
      </c>
      <c r="C3" s="58"/>
      <c r="D3" s="58"/>
      <c r="E3" s="58"/>
      <c r="F3" s="328"/>
      <c r="I3" s="328"/>
      <c r="J3" s="329"/>
    </row>
    <row r="4" spans="1:10" ht="19.5" customHeight="1">
      <c r="A4" s="654" t="s">
        <v>498</v>
      </c>
      <c r="B4" s="654"/>
      <c r="C4" s="654"/>
      <c r="D4" s="654"/>
      <c r="E4" s="654"/>
      <c r="F4" s="654"/>
      <c r="G4" s="654"/>
      <c r="H4" s="654"/>
      <c r="I4" s="654"/>
      <c r="J4" s="654"/>
    </row>
    <row r="5" spans="1:10" ht="19.5" customHeight="1">
      <c r="A5" s="655" t="s">
        <v>291</v>
      </c>
      <c r="B5" s="655"/>
      <c r="C5" s="655"/>
      <c r="D5" s="655"/>
      <c r="E5" s="655"/>
      <c r="F5" s="655"/>
      <c r="G5" s="655"/>
      <c r="H5" s="655"/>
      <c r="I5" s="655"/>
      <c r="J5" s="655"/>
    </row>
    <row r="6" spans="1:10" ht="36" customHeight="1">
      <c r="A6" s="656" t="str">
        <f>Dados!A4</f>
        <v>Sindicato utilizado - SINTAPPI x SINSERHT. Vigência: 2024/2025. Sendo a data base da categoria 01° de Abril. Com número de registro no MTE MG002103/2024.</v>
      </c>
      <c r="B6" s="656"/>
      <c r="C6" s="656"/>
      <c r="D6" s="656"/>
      <c r="E6" s="656"/>
      <c r="F6" s="656"/>
      <c r="G6" s="656"/>
      <c r="H6" s="656"/>
      <c r="I6" s="656"/>
      <c r="J6" s="656"/>
    </row>
    <row r="7" spans="1:10" ht="19.5" customHeight="1">
      <c r="A7" s="657" t="str">
        <f>Dados!C8</f>
        <v>Servente de Limpeza acúmulo função Copeira</v>
      </c>
      <c r="B7" s="657"/>
      <c r="C7" s="657"/>
      <c r="D7" s="657"/>
      <c r="E7" s="657"/>
      <c r="F7" s="658" t="s">
        <v>499</v>
      </c>
      <c r="G7" s="658" t="s">
        <v>500</v>
      </c>
      <c r="H7" s="658" t="s">
        <v>501</v>
      </c>
      <c r="I7" s="658" t="s">
        <v>502</v>
      </c>
      <c r="J7" s="658" t="s">
        <v>503</v>
      </c>
    </row>
    <row r="8" spans="1:10" ht="19.5" customHeight="1">
      <c r="A8" s="659" t="s">
        <v>504</v>
      </c>
      <c r="B8" s="659"/>
      <c r="C8" s="659"/>
      <c r="D8" s="659"/>
      <c r="E8" s="331" t="s">
        <v>443</v>
      </c>
      <c r="F8" s="658"/>
      <c r="G8" s="658"/>
      <c r="H8" s="658"/>
      <c r="I8" s="658"/>
      <c r="J8" s="658"/>
    </row>
    <row r="9" spans="1:10" ht="19.5" customHeight="1">
      <c r="A9" s="639" t="s">
        <v>505</v>
      </c>
      <c r="B9" s="639"/>
      <c r="C9" s="639"/>
      <c r="D9" s="639"/>
      <c r="E9" s="639"/>
      <c r="F9" s="639"/>
      <c r="G9" s="639"/>
      <c r="H9" s="639"/>
      <c r="I9" s="639"/>
      <c r="J9" s="639"/>
    </row>
    <row r="10" spans="1:10" ht="24" customHeight="1">
      <c r="A10" s="169" t="s">
        <v>444</v>
      </c>
      <c r="B10" s="648" t="s">
        <v>506</v>
      </c>
      <c r="C10" s="648"/>
      <c r="D10" s="332" t="s">
        <v>507</v>
      </c>
      <c r="E10" s="333" t="s">
        <v>508</v>
      </c>
      <c r="F10" s="649" t="s">
        <v>447</v>
      </c>
      <c r="G10" s="649"/>
      <c r="H10" s="649"/>
      <c r="I10" s="649"/>
      <c r="J10" s="649"/>
    </row>
    <row r="11" spans="1:10" ht="19.5" customHeight="1">
      <c r="A11" s="650">
        <v>1</v>
      </c>
      <c r="B11" s="651" t="str">
        <f>A7</f>
        <v>Servente de Limpeza acúmulo função Copeira</v>
      </c>
      <c r="C11" s="651"/>
      <c r="D11" s="28">
        <f>Dados!D8</f>
        <v>200</v>
      </c>
      <c r="E11" s="335">
        <f>Dados!E8</f>
        <v>1526.8</v>
      </c>
      <c r="F11" s="336">
        <f>ROUND(E11/220*D11,2)</f>
        <v>1388</v>
      </c>
      <c r="G11" s="336">
        <f>F11</f>
        <v>1388</v>
      </c>
      <c r="H11" s="336"/>
      <c r="I11" s="336"/>
      <c r="J11" s="337"/>
    </row>
    <row r="12" spans="1:10" ht="19.5" customHeight="1">
      <c r="A12" s="650"/>
      <c r="B12" s="651" t="s">
        <v>509</v>
      </c>
      <c r="C12" s="651"/>
      <c r="D12" s="379">
        <f>Dados!G8</f>
        <v>0</v>
      </c>
      <c r="E12" s="335">
        <f>Dados!G26</f>
        <v>1412</v>
      </c>
      <c r="F12" s="336">
        <f>D12*E12</f>
        <v>0</v>
      </c>
      <c r="G12" s="336">
        <f>F12</f>
        <v>0</v>
      </c>
      <c r="H12" s="336"/>
      <c r="I12" s="336"/>
      <c r="J12" s="337">
        <f>F12</f>
        <v>0</v>
      </c>
    </row>
    <row r="13" spans="1:10" ht="21" customHeight="1">
      <c r="A13" s="650"/>
      <c r="B13" s="339" t="s">
        <v>510</v>
      </c>
      <c r="C13" s="340">
        <f>Dados!I8</f>
        <v>0.12</v>
      </c>
      <c r="D13" s="340">
        <f>Dados!J8</f>
        <v>0.25</v>
      </c>
      <c r="E13" s="341">
        <f>Dados!K8</f>
        <v>1388</v>
      </c>
      <c r="F13" s="342">
        <f>ROUND((E13*D13*C13),2)</f>
        <v>41.64</v>
      </c>
      <c r="G13" s="342">
        <f>F13</f>
        <v>41.64</v>
      </c>
      <c r="H13" s="342"/>
      <c r="I13" s="342"/>
      <c r="J13" s="343"/>
    </row>
    <row r="14" spans="1:10" ht="19.5" customHeight="1">
      <c r="A14" s="650"/>
      <c r="B14" s="652" t="s">
        <v>511</v>
      </c>
      <c r="C14" s="652"/>
      <c r="D14" s="652"/>
      <c r="E14" s="652"/>
      <c r="F14" s="344">
        <f>SUM(F11:F13)</f>
        <v>1429.64</v>
      </c>
      <c r="G14" s="344">
        <f>SUM(G11:G13)</f>
        <v>1429.64</v>
      </c>
      <c r="H14" s="344">
        <f>SUM(H11:H13)</f>
        <v>0</v>
      </c>
      <c r="I14" s="344">
        <f>SUM(I11:I13)</f>
        <v>0</v>
      </c>
      <c r="J14" s="345">
        <f>SUM(J11:J13)</f>
        <v>0</v>
      </c>
    </row>
    <row r="15" spans="1:10" ht="19.5" customHeight="1">
      <c r="A15" s="650"/>
      <c r="B15" s="653" t="s">
        <v>512</v>
      </c>
      <c r="C15" s="653"/>
      <c r="D15" s="653"/>
      <c r="E15" s="346">
        <f>Encargos!$C$57</f>
        <v>0.76400000000000001</v>
      </c>
      <c r="F15" s="336">
        <f>ROUND((E15*F14),2)</f>
        <v>1092.24</v>
      </c>
      <c r="G15" s="336">
        <f>F15</f>
        <v>1092.24</v>
      </c>
      <c r="H15" s="336"/>
      <c r="I15" s="336"/>
      <c r="J15" s="337">
        <f>ROUND((E15*J14),2)</f>
        <v>0</v>
      </c>
    </row>
    <row r="16" spans="1:10" ht="19.5" customHeight="1">
      <c r="A16" s="645" t="s">
        <v>513</v>
      </c>
      <c r="B16" s="645"/>
      <c r="C16" s="645"/>
      <c r="D16" s="645"/>
      <c r="E16" s="645"/>
      <c r="F16" s="347">
        <f>SUM(F14:F15)</f>
        <v>2521.88</v>
      </c>
      <c r="G16" s="347">
        <f>SUM(G14:G15)</f>
        <v>2521.88</v>
      </c>
      <c r="H16" s="347">
        <f>SUM(H14:H15)</f>
        <v>0</v>
      </c>
      <c r="I16" s="347">
        <f>SUM(I14:I15)</f>
        <v>0</v>
      </c>
      <c r="J16" s="348">
        <f>SUM(J14:J15)</f>
        <v>0</v>
      </c>
    </row>
    <row r="17" spans="1:12" ht="19.5" customHeight="1">
      <c r="A17" s="646" t="s">
        <v>514</v>
      </c>
      <c r="B17" s="646"/>
      <c r="C17" s="646"/>
      <c r="D17" s="646"/>
      <c r="E17" s="646"/>
      <c r="F17" s="646"/>
      <c r="G17" s="646"/>
      <c r="H17" s="646"/>
      <c r="I17" s="646"/>
      <c r="J17" s="646"/>
    </row>
    <row r="18" spans="1:12" ht="19.5" customHeight="1">
      <c r="A18" s="640" t="s">
        <v>515</v>
      </c>
      <c r="B18" s="640"/>
      <c r="C18" s="39" t="s">
        <v>446</v>
      </c>
      <c r="D18" s="624" t="s">
        <v>535</v>
      </c>
      <c r="E18" s="624"/>
      <c r="F18" s="647" t="s">
        <v>447</v>
      </c>
      <c r="G18" s="647"/>
      <c r="H18" s="647"/>
      <c r="I18" s="647"/>
      <c r="J18" s="647"/>
    </row>
    <row r="19" spans="1:12" ht="19.5" customHeight="1">
      <c r="A19" s="631" t="s">
        <v>517</v>
      </c>
      <c r="B19" s="631"/>
      <c r="C19" s="351"/>
      <c r="D19" s="351"/>
      <c r="E19" s="351"/>
      <c r="F19" s="336">
        <f>Dados!$N$8</f>
        <v>46.72</v>
      </c>
      <c r="G19" s="336">
        <f t="shared" ref="G19:G24" si="0">F19</f>
        <v>46.72</v>
      </c>
      <c r="H19" s="336"/>
      <c r="I19" s="336"/>
      <c r="J19" s="337"/>
    </row>
    <row r="20" spans="1:12" ht="19.5" customHeight="1">
      <c r="A20" s="631" t="s">
        <v>518</v>
      </c>
      <c r="B20" s="631"/>
      <c r="C20" s="351"/>
      <c r="D20" s="351"/>
      <c r="E20" s="351"/>
      <c r="F20" s="336">
        <f>Dados!$G$29</f>
        <v>7.2</v>
      </c>
      <c r="G20" s="336">
        <f t="shared" si="0"/>
        <v>7.2</v>
      </c>
      <c r="H20" s="336"/>
      <c r="I20" s="336"/>
      <c r="J20" s="337"/>
    </row>
    <row r="21" spans="1:12" ht="23.25" customHeight="1">
      <c r="A21" s="644" t="s">
        <v>221</v>
      </c>
      <c r="B21" s="644"/>
      <c r="C21" s="351"/>
      <c r="D21" s="351"/>
      <c r="E21" s="351"/>
      <c r="F21" s="336">
        <f>Dados!G30</f>
        <v>0</v>
      </c>
      <c r="G21" s="336">
        <f t="shared" si="0"/>
        <v>0</v>
      </c>
      <c r="H21" s="336"/>
      <c r="I21" s="336"/>
      <c r="J21" s="337"/>
    </row>
    <row r="22" spans="1:12" ht="19.5" customHeight="1">
      <c r="A22" s="631" t="s">
        <v>222</v>
      </c>
      <c r="B22" s="631"/>
      <c r="C22" s="352">
        <f>Dados!$G$33</f>
        <v>22</v>
      </c>
      <c r="D22" s="352">
        <f>Dados!$G$32</f>
        <v>2</v>
      </c>
      <c r="E22" s="351">
        <f>Dados!$G$31</f>
        <v>3.65</v>
      </c>
      <c r="F22" s="336">
        <f>IF(ROUND((E22*D22*C22)-(F11*Dados!$G$34),2)&lt;0,0,ROUND((E22*D22*C22)-(F11*Dados!$G$34),2))</f>
        <v>77.319999999999993</v>
      </c>
      <c r="G22" s="336">
        <f t="shared" si="0"/>
        <v>77.319999999999993</v>
      </c>
      <c r="H22" s="336"/>
      <c r="I22" s="336">
        <f>F22</f>
        <v>77.319999999999993</v>
      </c>
      <c r="J22" s="337"/>
    </row>
    <row r="23" spans="1:12" ht="19.5" customHeight="1">
      <c r="A23" s="631" t="s">
        <v>230</v>
      </c>
      <c r="B23" s="631"/>
      <c r="C23" s="352">
        <f>Dados!G36</f>
        <v>22</v>
      </c>
      <c r="D23" s="353">
        <f>Dados!G37</f>
        <v>0.2</v>
      </c>
      <c r="E23" s="351">
        <f>Dados!$G$35</f>
        <v>27</v>
      </c>
      <c r="F23" s="258">
        <f>ROUND((IF(D11&gt;150,((C23*E23)-(C23*(D23*E23))),0)),2)</f>
        <v>475.2</v>
      </c>
      <c r="G23" s="336">
        <f t="shared" si="0"/>
        <v>475.2</v>
      </c>
      <c r="H23" s="336">
        <f>$F$23</f>
        <v>475.2</v>
      </c>
      <c r="I23" s="258"/>
      <c r="J23" s="337"/>
    </row>
    <row r="24" spans="1:12" ht="19.5" customHeight="1">
      <c r="A24" s="631" t="s">
        <v>181</v>
      </c>
      <c r="B24" s="631"/>
      <c r="C24" s="352"/>
      <c r="D24" s="352"/>
      <c r="E24" s="351"/>
      <c r="F24" s="258">
        <f>Dados!Q8</f>
        <v>4.17</v>
      </c>
      <c r="G24" s="336">
        <f t="shared" si="0"/>
        <v>4.17</v>
      </c>
      <c r="H24" s="336"/>
      <c r="I24" s="258"/>
      <c r="J24" s="337"/>
    </row>
    <row r="25" spans="1:12" ht="19.5" customHeight="1">
      <c r="A25" s="631" t="s">
        <v>233</v>
      </c>
      <c r="B25" s="631"/>
      <c r="C25" s="352"/>
      <c r="D25" s="352"/>
      <c r="E25" s="351"/>
      <c r="F25" s="258">
        <f>Dados!$G$39</f>
        <v>0</v>
      </c>
      <c r="G25" s="336"/>
      <c r="H25" s="336"/>
      <c r="I25" s="258"/>
      <c r="J25" s="337"/>
    </row>
    <row r="26" spans="1:12" ht="19.5" customHeight="1">
      <c r="A26" s="631" t="s">
        <v>519</v>
      </c>
      <c r="B26" s="631"/>
      <c r="C26" s="352"/>
      <c r="D26" s="351"/>
      <c r="E26" s="351"/>
      <c r="F26" s="336">
        <f>Dados!$O$8</f>
        <v>1136.3900000000001</v>
      </c>
      <c r="G26" s="336"/>
      <c r="H26" s="336"/>
      <c r="I26" s="336"/>
      <c r="J26" s="337"/>
      <c r="L26" s="58"/>
    </row>
    <row r="27" spans="1:12" ht="19.5" customHeight="1">
      <c r="A27" s="350" t="s">
        <v>520</v>
      </c>
      <c r="B27" s="354"/>
      <c r="C27" s="352"/>
      <c r="D27" s="351"/>
      <c r="E27" s="351"/>
      <c r="F27" s="336">
        <f>Dados!P8</f>
        <v>207.53</v>
      </c>
      <c r="G27" s="336"/>
      <c r="H27" s="336"/>
      <c r="I27" s="336"/>
      <c r="J27" s="337"/>
    </row>
    <row r="28" spans="1:12" ht="19.5" customHeight="1">
      <c r="A28" s="643" t="s">
        <v>521</v>
      </c>
      <c r="B28" s="643"/>
      <c r="C28" s="355"/>
      <c r="D28" s="356"/>
      <c r="E28" s="356"/>
      <c r="F28" s="342">
        <f>Dados!$R$8</f>
        <v>0</v>
      </c>
      <c r="G28" s="342">
        <f>F28</f>
        <v>0</v>
      </c>
      <c r="H28" s="342"/>
      <c r="I28" s="342"/>
      <c r="J28" s="343"/>
    </row>
    <row r="29" spans="1:12" ht="19.5" customHeight="1">
      <c r="A29" s="638" t="s">
        <v>522</v>
      </c>
      <c r="B29" s="638"/>
      <c r="C29" s="638"/>
      <c r="D29" s="638"/>
      <c r="E29" s="638"/>
      <c r="F29" s="347">
        <f>SUM(F19:F28)</f>
        <v>1954.53</v>
      </c>
      <c r="G29" s="347">
        <f>SUM(G19:G28)</f>
        <v>610.61</v>
      </c>
      <c r="H29" s="347">
        <f>SUM(H19:H28)</f>
        <v>475.2</v>
      </c>
      <c r="I29" s="347">
        <f>SUM(I19:I28)</f>
        <v>77.319999999999993</v>
      </c>
      <c r="J29" s="348">
        <f>SUM(J19:J28)</f>
        <v>0</v>
      </c>
    </row>
    <row r="30" spans="1:12" ht="19.5" customHeight="1">
      <c r="A30" s="638" t="s">
        <v>523</v>
      </c>
      <c r="B30" s="638"/>
      <c r="C30" s="638"/>
      <c r="D30" s="638"/>
      <c r="E30" s="638"/>
      <c r="F30" s="347">
        <f>F16+F29</f>
        <v>4476.41</v>
      </c>
      <c r="G30" s="347">
        <f>G16+G29</f>
        <v>3132.4900000000002</v>
      </c>
      <c r="H30" s="347">
        <f>H16+H29</f>
        <v>475.2</v>
      </c>
      <c r="I30" s="347">
        <f>I16+I29</f>
        <v>77.319999999999993</v>
      </c>
      <c r="J30" s="348">
        <f>J16+J29</f>
        <v>0</v>
      </c>
    </row>
    <row r="31" spans="1:12" ht="19.5" customHeight="1">
      <c r="A31" s="639" t="s">
        <v>524</v>
      </c>
      <c r="B31" s="639"/>
      <c r="C31" s="639"/>
      <c r="D31" s="639"/>
      <c r="E31" s="639"/>
      <c r="F31" s="639"/>
      <c r="G31" s="639"/>
      <c r="H31" s="639"/>
      <c r="I31" s="639"/>
      <c r="J31" s="639"/>
    </row>
    <row r="32" spans="1:12" ht="19.5" customHeight="1">
      <c r="A32" s="640" t="s">
        <v>525</v>
      </c>
      <c r="B32" s="640"/>
      <c r="C32" s="640"/>
      <c r="D32" s="81" t="s">
        <v>526</v>
      </c>
      <c r="E32" s="641" t="s">
        <v>447</v>
      </c>
      <c r="F32" s="641"/>
      <c r="G32" s="641"/>
      <c r="H32" s="641"/>
      <c r="I32" s="641"/>
      <c r="J32" s="641"/>
    </row>
    <row r="33" spans="1:12" ht="19.5" customHeight="1">
      <c r="A33" s="357" t="s">
        <v>527</v>
      </c>
      <c r="B33" s="358"/>
      <c r="C33" s="358"/>
      <c r="D33" s="338">
        <f>Dados!$G$42</f>
        <v>0.03</v>
      </c>
      <c r="E33" s="359"/>
      <c r="F33" s="336">
        <f>ROUND((F30*$D$33),2)</f>
        <v>134.29</v>
      </c>
      <c r="G33" s="336">
        <f>ROUND((G30*$D$33),2)</f>
        <v>93.97</v>
      </c>
      <c r="H33" s="336">
        <f>ROUND((H30*$D$33),2)</f>
        <v>14.26</v>
      </c>
      <c r="I33" s="336">
        <f>ROUND((I30*$D$33),2)</f>
        <v>2.3199999999999998</v>
      </c>
      <c r="J33" s="337">
        <f>ROUND((J30*$D$33),2)</f>
        <v>0</v>
      </c>
    </row>
    <row r="34" spans="1:12" ht="19.5" customHeight="1">
      <c r="A34" s="642" t="s">
        <v>528</v>
      </c>
      <c r="B34" s="642"/>
      <c r="C34" s="642"/>
      <c r="D34" s="338"/>
      <c r="E34" s="359"/>
      <c r="F34" s="336">
        <f>F30+F33</f>
        <v>4610.7</v>
      </c>
      <c r="G34" s="336">
        <f>G30+G33</f>
        <v>3226.46</v>
      </c>
      <c r="H34" s="336">
        <f>H30+H33</f>
        <v>489.46</v>
      </c>
      <c r="I34" s="336">
        <f>I30+I33</f>
        <v>79.639999999999986</v>
      </c>
      <c r="J34" s="337">
        <f>J30+J33</f>
        <v>0</v>
      </c>
    </row>
    <row r="35" spans="1:12" ht="19.5" customHeight="1">
      <c r="A35" s="360" t="s">
        <v>238</v>
      </c>
      <c r="B35" s="361"/>
      <c r="C35" s="361"/>
      <c r="D35" s="362">
        <f>Dados!$G$43</f>
        <v>6.7900000000000002E-2</v>
      </c>
      <c r="E35" s="363"/>
      <c r="F35" s="342">
        <f>ROUND((F34*$D$35),2)</f>
        <v>313.07</v>
      </c>
      <c r="G35" s="342">
        <f>ROUND((G34*$D$35),2)</f>
        <v>219.08</v>
      </c>
      <c r="H35" s="342">
        <f>ROUND((H34*$D$35),2)</f>
        <v>33.229999999999997</v>
      </c>
      <c r="I35" s="342">
        <f>ROUND((I34*$D$35),2)</f>
        <v>5.41</v>
      </c>
      <c r="J35" s="343">
        <f>ROUND((J34*$D$35),2)</f>
        <v>0</v>
      </c>
    </row>
    <row r="36" spans="1:12" ht="19.5" customHeight="1">
      <c r="A36" s="364" t="s">
        <v>529</v>
      </c>
      <c r="B36" s="365"/>
      <c r="C36" s="365"/>
      <c r="D36" s="366">
        <f>SUM(D33:D35)</f>
        <v>9.7900000000000001E-2</v>
      </c>
      <c r="E36" s="367"/>
      <c r="F36" s="347">
        <f>F33+F35</f>
        <v>447.36</v>
      </c>
      <c r="G36" s="347">
        <f>G33+G35</f>
        <v>313.05</v>
      </c>
      <c r="H36" s="347">
        <f>H33+H35</f>
        <v>47.489999999999995</v>
      </c>
      <c r="I36" s="347">
        <f>I33+I35</f>
        <v>7.73</v>
      </c>
      <c r="J36" s="348">
        <f>J33+J35</f>
        <v>0</v>
      </c>
    </row>
    <row r="37" spans="1:12" ht="19.5" customHeight="1">
      <c r="A37" s="636" t="s">
        <v>530</v>
      </c>
      <c r="B37" s="636"/>
      <c r="C37" s="636"/>
      <c r="D37" s="636"/>
      <c r="E37" s="636"/>
      <c r="F37" s="368">
        <f>F30+F36</f>
        <v>4923.7699999999995</v>
      </c>
      <c r="G37" s="368">
        <f>G30+G36</f>
        <v>3445.5400000000004</v>
      </c>
      <c r="H37" s="368">
        <f>H30+H36</f>
        <v>522.68999999999994</v>
      </c>
      <c r="I37" s="368">
        <f>I30+I36</f>
        <v>85.05</v>
      </c>
      <c r="J37" s="369">
        <f>J30+J36</f>
        <v>0</v>
      </c>
    </row>
    <row r="38" spans="1:12" ht="19.5" customHeight="1">
      <c r="A38" s="637" t="s">
        <v>531</v>
      </c>
      <c r="B38" s="637"/>
      <c r="C38" s="637"/>
      <c r="D38" s="637"/>
      <c r="E38" s="637"/>
      <c r="F38" s="637"/>
      <c r="G38" s="637"/>
      <c r="H38" s="637"/>
      <c r="I38" s="637"/>
      <c r="J38" s="637"/>
    </row>
    <row r="39" spans="1:12" ht="19.5" customHeight="1">
      <c r="A39" s="631" t="s">
        <v>244</v>
      </c>
      <c r="B39" s="631"/>
      <c r="C39" s="631"/>
      <c r="D39" s="338">
        <f>Dados!G50</f>
        <v>7.5999999999999998E-2</v>
      </c>
      <c r="E39" s="336"/>
      <c r="F39" s="336">
        <f>ROUND(($F$45*D39),2)</f>
        <v>426.45</v>
      </c>
      <c r="G39" s="336">
        <f>ROUND((G45*$D$39),2)</f>
        <v>298.42</v>
      </c>
      <c r="H39" s="336">
        <f>ROUND((H45*$D$39),2)</f>
        <v>45.27</v>
      </c>
      <c r="I39" s="336">
        <f>ROUND((I45*$D$39),2)</f>
        <v>7.37</v>
      </c>
      <c r="J39" s="337">
        <f>ROUND((J45*$D$39),2)</f>
        <v>0</v>
      </c>
    </row>
    <row r="40" spans="1:12" ht="19.5" customHeight="1">
      <c r="A40" s="631" t="s">
        <v>246</v>
      </c>
      <c r="B40" s="631"/>
      <c r="C40" s="631"/>
      <c r="D40" s="338">
        <f>Dados!G51</f>
        <v>1.6500000000000001E-2</v>
      </c>
      <c r="E40" s="336"/>
      <c r="F40" s="336">
        <f>ROUND((F45*$D$40),2)</f>
        <v>92.58</v>
      </c>
      <c r="G40" s="336">
        <f>ROUND((G45*$D$40),2)</f>
        <v>64.790000000000006</v>
      </c>
      <c r="H40" s="336">
        <f>ROUND((H45*$D$40),2)</f>
        <v>9.83</v>
      </c>
      <c r="I40" s="336">
        <f>ROUND((I45*$D$40),2)</f>
        <v>1.6</v>
      </c>
      <c r="J40" s="337">
        <f>ROUND((J45*$D$40),2)</f>
        <v>0</v>
      </c>
    </row>
    <row r="41" spans="1:12" ht="19.5" customHeight="1">
      <c r="A41" s="631" t="str">
        <f>Dados!B52</f>
        <v>ISSQN - Limpeza e Conservação</v>
      </c>
      <c r="B41" s="631"/>
      <c r="C41" s="631"/>
      <c r="D41" s="338">
        <f>Dados!G52</f>
        <v>0.03</v>
      </c>
      <c r="E41" s="336"/>
      <c r="F41" s="336">
        <f>ROUND((F45*$D$41),2)</f>
        <v>168.33</v>
      </c>
      <c r="G41" s="336">
        <f>ROUND((G45*$D$41),2)</f>
        <v>117.8</v>
      </c>
      <c r="H41" s="336">
        <f>ROUND((H45*$D$41),2)</f>
        <v>17.87</v>
      </c>
      <c r="I41" s="336">
        <f>ROUND((I45*$D$41),2)</f>
        <v>2.91</v>
      </c>
      <c r="J41" s="337">
        <f>ROUND((J45*$D$41),2)</f>
        <v>0</v>
      </c>
    </row>
    <row r="42" spans="1:12" ht="19.5" customHeight="1">
      <c r="A42" s="631" t="str">
        <f>Dados!B53</f>
        <v>ISSQN - Administrativo</v>
      </c>
      <c r="B42" s="631"/>
      <c r="C42" s="631"/>
      <c r="D42" s="338">
        <v>0</v>
      </c>
      <c r="E42" s="336"/>
      <c r="F42" s="336">
        <f>ROUND((F45*$D$42),2)</f>
        <v>0</v>
      </c>
      <c r="G42" s="336">
        <f>ROUND((G45*$D$42),2)</f>
        <v>0</v>
      </c>
      <c r="H42" s="336">
        <f>ROUND((H45*$D$42),2)</f>
        <v>0</v>
      </c>
      <c r="I42" s="336">
        <f>ROUND((I45*$D$42),2)</f>
        <v>0</v>
      </c>
      <c r="J42" s="337">
        <f>ROUND((J45*$D$42),2)</f>
        <v>0</v>
      </c>
    </row>
    <row r="43" spans="1:12" ht="19.5" customHeight="1">
      <c r="A43" s="632" t="s">
        <v>532</v>
      </c>
      <c r="B43" s="632"/>
      <c r="C43" s="632"/>
      <c r="D43" s="370">
        <f>SUM(D39:D42)</f>
        <v>0.1225</v>
      </c>
      <c r="E43" s="371"/>
      <c r="F43" s="372">
        <f>SUM(F39:F42)</f>
        <v>687.36</v>
      </c>
      <c r="G43" s="372">
        <f>SUM(G39:G42)</f>
        <v>481.01000000000005</v>
      </c>
      <c r="H43" s="372">
        <f>SUM(H39:H42)</f>
        <v>72.97</v>
      </c>
      <c r="I43" s="372">
        <f>SUM(I39:I42)</f>
        <v>11.88</v>
      </c>
      <c r="J43" s="373">
        <f>SUM(J39:J41)</f>
        <v>0</v>
      </c>
    </row>
    <row r="44" spans="1:12" ht="19.5" customHeight="1">
      <c r="A44" s="633" t="str">
        <f>CONCATENATE("Custo Mensal - ",A7)</f>
        <v>Custo Mensal - Servente de Limpeza acúmulo função Copeira</v>
      </c>
      <c r="B44" s="633"/>
      <c r="C44" s="633"/>
      <c r="D44" s="633"/>
      <c r="E44" s="633"/>
      <c r="F44" s="374">
        <f>ROUND(F37/(1-D43),2)</f>
        <v>5611.13</v>
      </c>
      <c r="G44" s="374">
        <f>ROUND(G37/(1-D43),2)</f>
        <v>3926.54</v>
      </c>
      <c r="H44" s="374">
        <f>ROUND(H37/(1-D43),2)</f>
        <v>595.66</v>
      </c>
      <c r="I44" s="374">
        <f>ROUND(I37/(1-D43),2)</f>
        <v>96.92</v>
      </c>
      <c r="J44" s="375">
        <f>ROUND(J37/(1-D43),2)</f>
        <v>0</v>
      </c>
    </row>
    <row r="45" spans="1:12" ht="19.5" customHeight="1">
      <c r="A45" s="634" t="str">
        <f>CONCATENATE("Valor do Custo Mensal - ",A7)</f>
        <v>Valor do Custo Mensal - Servente de Limpeza acúmulo função Copeira</v>
      </c>
      <c r="B45" s="634"/>
      <c r="C45" s="634"/>
      <c r="D45" s="634"/>
      <c r="E45" s="634"/>
      <c r="F45" s="374">
        <f>F44</f>
        <v>5611.13</v>
      </c>
      <c r="G45" s="374">
        <f>G44</f>
        <v>3926.54</v>
      </c>
      <c r="H45" s="374">
        <f>H44</f>
        <v>595.66</v>
      </c>
      <c r="I45" s="374">
        <f>I44</f>
        <v>96.92</v>
      </c>
      <c r="J45" s="375">
        <f>J44</f>
        <v>0</v>
      </c>
      <c r="K45" s="376"/>
      <c r="L45" s="376"/>
    </row>
    <row r="46" spans="1:12" ht="27.75" customHeight="1">
      <c r="A46" s="635" t="s">
        <v>533</v>
      </c>
      <c r="B46" s="635"/>
      <c r="C46" s="635"/>
      <c r="D46" s="635"/>
      <c r="E46" s="635"/>
      <c r="F46" s="377">
        <f>(F45/F14)</f>
        <v>3.9248552083041881</v>
      </c>
      <c r="G46" s="377">
        <f>(G45/G14)</f>
        <v>2.7465236003469404</v>
      </c>
      <c r="H46" s="630" t="s">
        <v>534</v>
      </c>
      <c r="I46" s="630"/>
      <c r="J46" s="378">
        <v>0</v>
      </c>
    </row>
    <row r="47" spans="1:12" ht="19.5" customHeight="1"/>
  </sheetData>
  <sheetProtection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xl/worksheets/sheet11.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95" zoomScaleNormal="95" workbookViewId="0">
      <selection activeCell="D42" sqref="D42"/>
    </sheetView>
  </sheetViews>
  <sheetFormatPr defaultRowHeight="14.4"/>
  <cols>
    <col min="1" max="1" width="10.5546875" style="69" customWidth="1"/>
    <col min="2" max="2" width="27.6640625" style="69" customWidth="1"/>
    <col min="3" max="3" width="14.44140625" style="69" customWidth="1"/>
    <col min="4" max="5" width="15" style="69" customWidth="1"/>
    <col min="6" max="6" width="16.6640625" style="321" customWidth="1"/>
    <col min="7" max="8" width="13.109375" style="321" customWidth="1"/>
    <col min="9" max="9" width="12.5546875" style="321" customWidth="1"/>
    <col min="10" max="10" width="13.88671875" style="321" customWidth="1"/>
    <col min="11" max="257" width="9.109375" style="69" customWidth="1"/>
    <col min="258" max="258" width="10.5546875" style="69" customWidth="1"/>
    <col min="259" max="259" width="27.6640625" style="69" customWidth="1"/>
    <col min="260" max="260" width="14.44140625" style="69" customWidth="1"/>
    <col min="261" max="262" width="15" style="69" customWidth="1"/>
    <col min="263" max="263" width="16.6640625" style="69" customWidth="1"/>
    <col min="264" max="264" width="13.109375" style="69" customWidth="1"/>
    <col min="265" max="266" width="12.5546875" style="69" customWidth="1"/>
    <col min="267" max="513" width="9.109375" style="69" customWidth="1"/>
    <col min="514" max="514" width="10.5546875" style="69" customWidth="1"/>
    <col min="515" max="515" width="27.6640625" style="69" customWidth="1"/>
    <col min="516" max="516" width="14.44140625" style="69" customWidth="1"/>
    <col min="517" max="518" width="15" style="69" customWidth="1"/>
    <col min="519" max="519" width="16.6640625" style="69" customWidth="1"/>
    <col min="520" max="520" width="13.109375" style="69" customWidth="1"/>
    <col min="521" max="522" width="12.5546875" style="69" customWidth="1"/>
    <col min="523" max="769" width="9.109375" style="69" customWidth="1"/>
    <col min="770" max="770" width="10.5546875" style="69" customWidth="1"/>
    <col min="771" max="771" width="27.6640625" style="69" customWidth="1"/>
    <col min="772" max="772" width="14.44140625" style="69" customWidth="1"/>
    <col min="773" max="774" width="15" style="69" customWidth="1"/>
    <col min="775" max="775" width="16.6640625" style="69" customWidth="1"/>
    <col min="776" max="776" width="13.109375" style="69" customWidth="1"/>
    <col min="777" max="778" width="12.5546875" style="69" customWidth="1"/>
    <col min="779" max="1025" width="9.109375" style="69" customWidth="1"/>
  </cols>
  <sheetData>
    <row r="1" spans="1:10">
      <c r="A1" s="322"/>
      <c r="B1" s="98" t="str">
        <f>INSTRUÇÕES!B1</f>
        <v>Tribunal Regional Federal da 6ª Região</v>
      </c>
      <c r="C1" s="323"/>
      <c r="D1" s="323"/>
      <c r="E1" s="323"/>
      <c r="F1" s="324"/>
      <c r="G1" s="325"/>
      <c r="H1" s="325"/>
      <c r="I1" s="324"/>
      <c r="J1" s="326"/>
    </row>
    <row r="2" spans="1:10">
      <c r="A2" s="327"/>
      <c r="B2" s="100" t="str">
        <f>INSTRUÇÕES!B2</f>
        <v>Seção Judiciária de Minas Gerais</v>
      </c>
      <c r="C2" s="58"/>
      <c r="D2" s="58"/>
      <c r="E2" s="58"/>
      <c r="F2" s="328"/>
      <c r="I2" s="328"/>
      <c r="J2" s="329"/>
    </row>
    <row r="3" spans="1:10">
      <c r="A3" s="164"/>
      <c r="B3" s="330" t="str">
        <f>INSTRUÇÕES!B3</f>
        <v>Subseção Judiciária de Divinópolis</v>
      </c>
      <c r="C3" s="58"/>
      <c r="D3" s="58"/>
      <c r="E3" s="58"/>
      <c r="F3" s="328"/>
      <c r="I3" s="328"/>
      <c r="J3" s="329"/>
    </row>
    <row r="4" spans="1:10" ht="19.5" customHeight="1">
      <c r="A4" s="654" t="s">
        <v>498</v>
      </c>
      <c r="B4" s="654"/>
      <c r="C4" s="654"/>
      <c r="D4" s="654"/>
      <c r="E4" s="654"/>
      <c r="F4" s="654"/>
      <c r="G4" s="654"/>
      <c r="H4" s="654"/>
      <c r="I4" s="654"/>
      <c r="J4" s="654"/>
    </row>
    <row r="5" spans="1:10" ht="19.5" customHeight="1">
      <c r="A5" s="655" t="s">
        <v>291</v>
      </c>
      <c r="B5" s="655"/>
      <c r="C5" s="655"/>
      <c r="D5" s="655"/>
      <c r="E5" s="655"/>
      <c r="F5" s="655"/>
      <c r="G5" s="655"/>
      <c r="H5" s="655"/>
      <c r="I5" s="655"/>
      <c r="J5" s="655"/>
    </row>
    <row r="6" spans="1:10" s="1" customFormat="1" ht="36" customHeight="1">
      <c r="A6" s="656" t="str">
        <f>Dados!A4</f>
        <v>Sindicato utilizado - SINTAPPI x SINSERHT. Vigência: 2024/2025. Sendo a data base da categoria 01° de Abril. Com número de registro no MTE MG002103/2024.</v>
      </c>
      <c r="B6" s="656"/>
      <c r="C6" s="656"/>
      <c r="D6" s="656"/>
      <c r="E6" s="656"/>
      <c r="F6" s="656"/>
      <c r="G6" s="656"/>
      <c r="H6" s="656"/>
      <c r="I6" s="656"/>
      <c r="J6" s="656"/>
    </row>
    <row r="7" spans="1:10" ht="19.5" customHeight="1">
      <c r="A7" s="657" t="str">
        <f>Dados!C9</f>
        <v>Auxiliar Administrativo</v>
      </c>
      <c r="B7" s="657"/>
      <c r="C7" s="657"/>
      <c r="D7" s="657"/>
      <c r="E7" s="657"/>
      <c r="F7" s="658" t="s">
        <v>499</v>
      </c>
      <c r="G7" s="658" t="s">
        <v>500</v>
      </c>
      <c r="H7" s="658" t="s">
        <v>501</v>
      </c>
      <c r="I7" s="658" t="s">
        <v>502</v>
      </c>
      <c r="J7" s="658" t="s">
        <v>503</v>
      </c>
    </row>
    <row r="8" spans="1:10" ht="19.5" customHeight="1">
      <c r="A8" s="659" t="s">
        <v>536</v>
      </c>
      <c r="B8" s="659"/>
      <c r="C8" s="659"/>
      <c r="D8" s="659"/>
      <c r="E8" s="331" t="s">
        <v>443</v>
      </c>
      <c r="F8" s="658"/>
      <c r="G8" s="658"/>
      <c r="H8" s="658"/>
      <c r="I8" s="658"/>
      <c r="J8" s="658"/>
    </row>
    <row r="9" spans="1:10" ht="19.5" customHeight="1">
      <c r="A9" s="639" t="s">
        <v>505</v>
      </c>
      <c r="B9" s="639"/>
      <c r="C9" s="639"/>
      <c r="D9" s="639"/>
      <c r="E9" s="639"/>
      <c r="F9" s="639"/>
      <c r="G9" s="639"/>
      <c r="H9" s="639"/>
      <c r="I9" s="639"/>
      <c r="J9" s="639"/>
    </row>
    <row r="10" spans="1:10" ht="24" customHeight="1">
      <c r="A10" s="169" t="s">
        <v>444</v>
      </c>
      <c r="B10" s="648" t="s">
        <v>506</v>
      </c>
      <c r="C10" s="648"/>
      <c r="D10" s="332" t="s">
        <v>507</v>
      </c>
      <c r="E10" s="333" t="s">
        <v>508</v>
      </c>
      <c r="F10" s="649" t="s">
        <v>447</v>
      </c>
      <c r="G10" s="649"/>
      <c r="H10" s="649"/>
      <c r="I10" s="649"/>
      <c r="J10" s="649"/>
    </row>
    <row r="11" spans="1:10" ht="19.5" customHeight="1">
      <c r="A11" s="650">
        <v>1</v>
      </c>
      <c r="B11" s="651" t="str">
        <f>A7</f>
        <v>Auxiliar Administrativo</v>
      </c>
      <c r="C11" s="651"/>
      <c r="D11" s="28">
        <f>Dados!$D$9</f>
        <v>200</v>
      </c>
      <c r="E11" s="335">
        <f>Dados!$E$9</f>
        <v>1914</v>
      </c>
      <c r="F11" s="336">
        <f>ROUND(E11/220*D11,2)</f>
        <v>1740</v>
      </c>
      <c r="G11" s="336">
        <f>F11</f>
        <v>1740</v>
      </c>
      <c r="H11" s="336"/>
      <c r="I11" s="336"/>
      <c r="J11" s="337"/>
    </row>
    <row r="12" spans="1:10" ht="19.5" customHeight="1">
      <c r="A12" s="650"/>
      <c r="B12" s="651" t="s">
        <v>509</v>
      </c>
      <c r="C12" s="651"/>
      <c r="D12" s="379">
        <f>Dados!G8</f>
        <v>0</v>
      </c>
      <c r="E12" s="335">
        <f>Dados!$G$26</f>
        <v>1412</v>
      </c>
      <c r="F12" s="336">
        <f>D12*E12</f>
        <v>0</v>
      </c>
      <c r="G12" s="336">
        <f>F12</f>
        <v>0</v>
      </c>
      <c r="H12" s="336"/>
      <c r="I12" s="336"/>
      <c r="J12" s="337">
        <f>F12</f>
        <v>0</v>
      </c>
    </row>
    <row r="13" spans="1:10" ht="21.75" customHeight="1">
      <c r="A13" s="650"/>
      <c r="B13" s="339" t="s">
        <v>510</v>
      </c>
      <c r="C13" s="340">
        <f>Dados!$I$9</f>
        <v>0</v>
      </c>
      <c r="D13" s="340">
        <f>Dados!$J$9</f>
        <v>0</v>
      </c>
      <c r="E13" s="341">
        <f>Dados!$K$9</f>
        <v>0</v>
      </c>
      <c r="F13" s="342">
        <f>ROUND((E13*D13*C13),2)</f>
        <v>0</v>
      </c>
      <c r="G13" s="342">
        <f>F13</f>
        <v>0</v>
      </c>
      <c r="H13" s="342"/>
      <c r="I13" s="342"/>
      <c r="J13" s="343"/>
    </row>
    <row r="14" spans="1:10" ht="19.5" customHeight="1">
      <c r="A14" s="650"/>
      <c r="B14" s="652" t="s">
        <v>511</v>
      </c>
      <c r="C14" s="652"/>
      <c r="D14" s="652"/>
      <c r="E14" s="652"/>
      <c r="F14" s="344">
        <f>SUM(F11:F13)</f>
        <v>1740</v>
      </c>
      <c r="G14" s="344">
        <f>SUM(G11:G13)</f>
        <v>1740</v>
      </c>
      <c r="H14" s="344">
        <f>SUM(H11:H13)</f>
        <v>0</v>
      </c>
      <c r="I14" s="344">
        <f>SUM(I11:I13)</f>
        <v>0</v>
      </c>
      <c r="J14" s="345">
        <f>SUM(J11:J13)</f>
        <v>0</v>
      </c>
    </row>
    <row r="15" spans="1:10" ht="19.5" customHeight="1">
      <c r="A15" s="650"/>
      <c r="B15" s="653" t="s">
        <v>512</v>
      </c>
      <c r="C15" s="653"/>
      <c r="D15" s="653"/>
      <c r="E15" s="346">
        <f>Encargos!$C$57</f>
        <v>0.76400000000000001</v>
      </c>
      <c r="F15" s="336">
        <f>ROUND((E15*F14),2)</f>
        <v>1329.36</v>
      </c>
      <c r="G15" s="336">
        <f>F15</f>
        <v>1329.36</v>
      </c>
      <c r="H15" s="336"/>
      <c r="I15" s="336"/>
      <c r="J15" s="337">
        <f>ROUND((E15*J14),2)</f>
        <v>0</v>
      </c>
    </row>
    <row r="16" spans="1:10" ht="19.5" customHeight="1">
      <c r="A16" s="645" t="s">
        <v>513</v>
      </c>
      <c r="B16" s="645"/>
      <c r="C16" s="645"/>
      <c r="D16" s="645"/>
      <c r="E16" s="645"/>
      <c r="F16" s="347">
        <f>SUM(F14:F15)</f>
        <v>3069.3599999999997</v>
      </c>
      <c r="G16" s="347">
        <f>SUM(G14:G15)</f>
        <v>3069.3599999999997</v>
      </c>
      <c r="H16" s="347">
        <f>SUM(H14:H15)</f>
        <v>0</v>
      </c>
      <c r="I16" s="347">
        <f>SUM(I14:I15)</f>
        <v>0</v>
      </c>
      <c r="J16" s="348">
        <f>SUM(J14:J15)</f>
        <v>0</v>
      </c>
    </row>
    <row r="17" spans="1:12" ht="19.5" customHeight="1">
      <c r="A17" s="646" t="s">
        <v>514</v>
      </c>
      <c r="B17" s="646"/>
      <c r="C17" s="646"/>
      <c r="D17" s="646"/>
      <c r="E17" s="646"/>
      <c r="F17" s="646"/>
      <c r="G17" s="646"/>
      <c r="H17" s="646"/>
      <c r="I17" s="646"/>
      <c r="J17" s="646"/>
    </row>
    <row r="18" spans="1:12" ht="19.5" customHeight="1">
      <c r="A18" s="640" t="s">
        <v>515</v>
      </c>
      <c r="B18" s="640"/>
      <c r="C18" s="39" t="s">
        <v>446</v>
      </c>
      <c r="D18" s="624" t="s">
        <v>535</v>
      </c>
      <c r="E18" s="624"/>
      <c r="F18" s="647" t="s">
        <v>447</v>
      </c>
      <c r="G18" s="647"/>
      <c r="H18" s="647"/>
      <c r="I18" s="647"/>
      <c r="J18" s="647"/>
    </row>
    <row r="19" spans="1:12" ht="19.5" customHeight="1">
      <c r="A19" s="631" t="s">
        <v>517</v>
      </c>
      <c r="B19" s="631"/>
      <c r="C19" s="351"/>
      <c r="D19" s="351"/>
      <c r="E19" s="351"/>
      <c r="F19" s="336">
        <f>Dados!$N$9</f>
        <v>63.83</v>
      </c>
      <c r="G19" s="336">
        <f>F19</f>
        <v>63.83</v>
      </c>
      <c r="H19" s="336"/>
      <c r="I19" s="336"/>
      <c r="J19" s="337"/>
    </row>
    <row r="20" spans="1:12" ht="19.5" customHeight="1">
      <c r="A20" s="631" t="s">
        <v>518</v>
      </c>
      <c r="B20" s="631"/>
      <c r="C20" s="351"/>
      <c r="D20" s="351"/>
      <c r="E20" s="351"/>
      <c r="F20" s="336">
        <f>Dados!$G$29</f>
        <v>7.2</v>
      </c>
      <c r="G20" s="336">
        <f>F20</f>
        <v>7.2</v>
      </c>
      <c r="H20" s="336"/>
      <c r="I20" s="336"/>
      <c r="J20" s="337"/>
    </row>
    <row r="21" spans="1:12" ht="23.25" customHeight="1">
      <c r="A21" s="644" t="s">
        <v>221</v>
      </c>
      <c r="B21" s="644"/>
      <c r="C21" s="351"/>
      <c r="D21" s="351"/>
      <c r="E21" s="351"/>
      <c r="F21" s="336">
        <f>Dados!G30</f>
        <v>0</v>
      </c>
      <c r="G21" s="336">
        <f>F21</f>
        <v>0</v>
      </c>
      <c r="H21" s="336"/>
      <c r="I21" s="336"/>
      <c r="J21" s="337"/>
    </row>
    <row r="22" spans="1:12" ht="19.5" customHeight="1">
      <c r="A22" s="631" t="s">
        <v>222</v>
      </c>
      <c r="B22" s="631"/>
      <c r="C22" s="352">
        <f>Dados!$G$33</f>
        <v>22</v>
      </c>
      <c r="D22" s="352">
        <f>Dados!$G$32</f>
        <v>2</v>
      </c>
      <c r="E22" s="351">
        <f>Dados!$G$31</f>
        <v>3.65</v>
      </c>
      <c r="F22" s="336">
        <f>IF(ROUND((E22*D22*C22)-(F11*Dados!$G$34),2)&lt;0,0,ROUND((E22*D22*C22)-(F11*Dados!$G$34),2))</f>
        <v>56.2</v>
      </c>
      <c r="G22" s="336">
        <f>F22</f>
        <v>56.2</v>
      </c>
      <c r="H22" s="336"/>
      <c r="I22" s="336">
        <f>F22</f>
        <v>56.2</v>
      </c>
      <c r="J22" s="337"/>
    </row>
    <row r="23" spans="1:12" ht="19.5" customHeight="1">
      <c r="A23" s="631" t="s">
        <v>230</v>
      </c>
      <c r="B23" s="631"/>
      <c r="C23" s="352">
        <f>Dados!G36</f>
        <v>22</v>
      </c>
      <c r="D23" s="353">
        <f>Dados!G37</f>
        <v>0.2</v>
      </c>
      <c r="E23" s="351">
        <f>Dados!$G$35</f>
        <v>27</v>
      </c>
      <c r="F23" s="258">
        <f>ROUND((IF(D11&gt;150,((C23*E23)-(C23*(D23*E23))),0)),2)</f>
        <v>475.2</v>
      </c>
      <c r="G23" s="336">
        <f>F23</f>
        <v>475.2</v>
      </c>
      <c r="H23" s="336">
        <f>$F$23</f>
        <v>475.2</v>
      </c>
      <c r="I23" s="258"/>
      <c r="J23" s="337"/>
    </row>
    <row r="24" spans="1:12" ht="19.5" customHeight="1">
      <c r="A24" s="631" t="s">
        <v>233</v>
      </c>
      <c r="B24" s="631"/>
      <c r="C24" s="352"/>
      <c r="D24" s="352"/>
      <c r="E24" s="351"/>
      <c r="F24" s="258">
        <f>Dados!$G$38</f>
        <v>0</v>
      </c>
      <c r="G24" s="336"/>
      <c r="H24" s="336"/>
      <c r="I24" s="258"/>
      <c r="J24" s="337"/>
    </row>
    <row r="25" spans="1:12" ht="19.5" customHeight="1">
      <c r="A25" s="631" t="s">
        <v>233</v>
      </c>
      <c r="B25" s="631"/>
      <c r="C25" s="352"/>
      <c r="D25" s="352"/>
      <c r="E25" s="351"/>
      <c r="F25" s="258">
        <f>Dados!$G$39</f>
        <v>0</v>
      </c>
      <c r="G25" s="336"/>
      <c r="H25" s="336"/>
      <c r="I25" s="258"/>
      <c r="J25" s="337"/>
    </row>
    <row r="26" spans="1:12" ht="19.5" customHeight="1">
      <c r="A26" s="631" t="s">
        <v>519</v>
      </c>
      <c r="B26" s="631"/>
      <c r="C26" s="352"/>
      <c r="D26" s="351"/>
      <c r="E26" s="351"/>
      <c r="F26" s="336"/>
      <c r="G26" s="336"/>
      <c r="H26" s="336"/>
      <c r="I26" s="336"/>
      <c r="J26" s="337"/>
      <c r="L26" s="58"/>
    </row>
    <row r="27" spans="1:12" ht="19.5" customHeight="1">
      <c r="A27" s="350" t="s">
        <v>520</v>
      </c>
      <c r="B27" s="354"/>
      <c r="C27" s="352"/>
      <c r="D27" s="351"/>
      <c r="E27" s="351"/>
      <c r="F27" s="336"/>
      <c r="G27" s="336"/>
      <c r="H27" s="336"/>
      <c r="I27" s="336"/>
      <c r="J27" s="337"/>
    </row>
    <row r="28" spans="1:12" ht="19.5" customHeight="1">
      <c r="A28" s="643" t="s">
        <v>521</v>
      </c>
      <c r="B28" s="643"/>
      <c r="C28" s="355"/>
      <c r="D28" s="356"/>
      <c r="E28" s="356"/>
      <c r="F28" s="342"/>
      <c r="G28" s="342"/>
      <c r="H28" s="342"/>
      <c r="I28" s="342"/>
      <c r="J28" s="343"/>
    </row>
    <row r="29" spans="1:12" ht="19.5" customHeight="1">
      <c r="A29" s="638" t="s">
        <v>522</v>
      </c>
      <c r="B29" s="638"/>
      <c r="C29" s="638"/>
      <c r="D29" s="638"/>
      <c r="E29" s="638"/>
      <c r="F29" s="347">
        <f>SUM(F19:F28)</f>
        <v>602.42999999999995</v>
      </c>
      <c r="G29" s="347">
        <f>SUM(G19:G28)</f>
        <v>602.42999999999995</v>
      </c>
      <c r="H29" s="347">
        <f>SUM(H19:H28)</f>
        <v>475.2</v>
      </c>
      <c r="I29" s="347">
        <f>SUM(I19:I28)</f>
        <v>56.2</v>
      </c>
      <c r="J29" s="348">
        <f>SUM(J19:J28)</f>
        <v>0</v>
      </c>
    </row>
    <row r="30" spans="1:12" ht="19.5" customHeight="1">
      <c r="A30" s="638" t="s">
        <v>523</v>
      </c>
      <c r="B30" s="638"/>
      <c r="C30" s="638"/>
      <c r="D30" s="638"/>
      <c r="E30" s="638"/>
      <c r="F30" s="347">
        <f>F16+F29</f>
        <v>3671.7899999999995</v>
      </c>
      <c r="G30" s="347">
        <f>G16+G29</f>
        <v>3671.7899999999995</v>
      </c>
      <c r="H30" s="347">
        <f>H16+H29</f>
        <v>475.2</v>
      </c>
      <c r="I30" s="347">
        <f>I16+I29</f>
        <v>56.2</v>
      </c>
      <c r="J30" s="348">
        <f>J16+J29</f>
        <v>0</v>
      </c>
    </row>
    <row r="31" spans="1:12" ht="19.5" customHeight="1">
      <c r="A31" s="639" t="s">
        <v>524</v>
      </c>
      <c r="B31" s="639"/>
      <c r="C31" s="639"/>
      <c r="D31" s="639"/>
      <c r="E31" s="639"/>
      <c r="F31" s="639"/>
      <c r="G31" s="639"/>
      <c r="H31" s="639"/>
      <c r="I31" s="639"/>
      <c r="J31" s="639"/>
    </row>
    <row r="32" spans="1:12" ht="19.5" customHeight="1">
      <c r="A32" s="640" t="s">
        <v>525</v>
      </c>
      <c r="B32" s="640"/>
      <c r="C32" s="640"/>
      <c r="D32" s="81" t="s">
        <v>526</v>
      </c>
      <c r="E32" s="641" t="s">
        <v>447</v>
      </c>
      <c r="F32" s="641"/>
      <c r="G32" s="641"/>
      <c r="H32" s="641"/>
      <c r="I32" s="641"/>
      <c r="J32" s="641"/>
    </row>
    <row r="33" spans="1:12" ht="19.5" customHeight="1">
      <c r="A33" s="357" t="s">
        <v>527</v>
      </c>
      <c r="B33" s="358"/>
      <c r="C33" s="358"/>
      <c r="D33" s="338">
        <f>Dados!$G$42</f>
        <v>0.03</v>
      </c>
      <c r="E33" s="359"/>
      <c r="F33" s="336">
        <f>ROUND((F30*$D$33),2)</f>
        <v>110.15</v>
      </c>
      <c r="G33" s="336">
        <f>ROUND((G30*$D$33),2)</f>
        <v>110.15</v>
      </c>
      <c r="H33" s="336">
        <f>ROUND((H30*$D$33),2)</f>
        <v>14.26</v>
      </c>
      <c r="I33" s="336">
        <f>ROUND((I30*$D$33),2)</f>
        <v>1.69</v>
      </c>
      <c r="J33" s="337">
        <f>ROUND((J30*$D$33),2)</f>
        <v>0</v>
      </c>
    </row>
    <row r="34" spans="1:12" ht="19.5" customHeight="1">
      <c r="A34" s="642" t="s">
        <v>528</v>
      </c>
      <c r="B34" s="642"/>
      <c r="C34" s="642"/>
      <c r="D34" s="338"/>
      <c r="E34" s="359"/>
      <c r="F34" s="336">
        <f>F30+F33</f>
        <v>3781.9399999999996</v>
      </c>
      <c r="G34" s="336">
        <f>G30+G33</f>
        <v>3781.9399999999996</v>
      </c>
      <c r="H34" s="336">
        <f>H30+H33</f>
        <v>489.46</v>
      </c>
      <c r="I34" s="336">
        <f>I30+I33</f>
        <v>57.89</v>
      </c>
      <c r="J34" s="337">
        <f>J30+J33</f>
        <v>0</v>
      </c>
    </row>
    <row r="35" spans="1:12" ht="19.5" customHeight="1">
      <c r="A35" s="360" t="s">
        <v>238</v>
      </c>
      <c r="B35" s="361"/>
      <c r="C35" s="361"/>
      <c r="D35" s="362">
        <f>Dados!$G$43</f>
        <v>6.7900000000000002E-2</v>
      </c>
      <c r="E35" s="363"/>
      <c r="F35" s="342">
        <f>ROUND((F34*$D$35),2)</f>
        <v>256.79000000000002</v>
      </c>
      <c r="G35" s="342">
        <f>ROUND((G34*$D$35),2)</f>
        <v>256.79000000000002</v>
      </c>
      <c r="H35" s="342">
        <f>ROUND((H34*$D$35),2)</f>
        <v>33.229999999999997</v>
      </c>
      <c r="I35" s="342">
        <f>ROUND((I34*$D$35),2)</f>
        <v>3.93</v>
      </c>
      <c r="J35" s="343">
        <f>ROUND((J34*$D$35),2)</f>
        <v>0</v>
      </c>
    </row>
    <row r="36" spans="1:12" ht="19.5" customHeight="1">
      <c r="A36" s="364" t="s">
        <v>529</v>
      </c>
      <c r="B36" s="365"/>
      <c r="C36" s="365"/>
      <c r="D36" s="366">
        <f>SUM(D33:D35)</f>
        <v>9.7900000000000001E-2</v>
      </c>
      <c r="E36" s="367"/>
      <c r="F36" s="347">
        <f>F33+F35</f>
        <v>366.94000000000005</v>
      </c>
      <c r="G36" s="347">
        <f>G33+G35</f>
        <v>366.94000000000005</v>
      </c>
      <c r="H36" s="347">
        <f>H33+H35</f>
        <v>47.489999999999995</v>
      </c>
      <c r="I36" s="347">
        <f>I33+I35</f>
        <v>5.62</v>
      </c>
      <c r="J36" s="348">
        <f>J33+J35</f>
        <v>0</v>
      </c>
    </row>
    <row r="37" spans="1:12" ht="19.5" customHeight="1">
      <c r="A37" s="636" t="s">
        <v>530</v>
      </c>
      <c r="B37" s="636"/>
      <c r="C37" s="636"/>
      <c r="D37" s="636"/>
      <c r="E37" s="636"/>
      <c r="F37" s="368">
        <f>F30+F36</f>
        <v>4038.7299999999996</v>
      </c>
      <c r="G37" s="368">
        <f>G30+G36</f>
        <v>4038.7299999999996</v>
      </c>
      <c r="H37" s="368">
        <f>H30+H36</f>
        <v>522.68999999999994</v>
      </c>
      <c r="I37" s="368">
        <f>I30+I36</f>
        <v>61.82</v>
      </c>
      <c r="J37" s="369">
        <f>J30+J36</f>
        <v>0</v>
      </c>
    </row>
    <row r="38" spans="1:12" ht="19.5" customHeight="1">
      <c r="A38" s="637" t="s">
        <v>531</v>
      </c>
      <c r="B38" s="637"/>
      <c r="C38" s="637"/>
      <c r="D38" s="637"/>
      <c r="E38" s="637"/>
      <c r="F38" s="637"/>
      <c r="G38" s="637"/>
      <c r="H38" s="637"/>
      <c r="I38" s="637"/>
      <c r="J38" s="637"/>
    </row>
    <row r="39" spans="1:12" ht="19.5" customHeight="1">
      <c r="A39" s="631" t="s">
        <v>244</v>
      </c>
      <c r="B39" s="631"/>
      <c r="C39" s="631"/>
      <c r="D39" s="338">
        <f>Dados!G50</f>
        <v>7.5999999999999998E-2</v>
      </c>
      <c r="E39" s="336"/>
      <c r="F39" s="336">
        <f>ROUND(($F$45*D39),2)</f>
        <v>357.95</v>
      </c>
      <c r="G39" s="336">
        <f>ROUND((G45*$D$39),2)</f>
        <v>357.95</v>
      </c>
      <c r="H39" s="336">
        <f>ROUND((H45*$D$39),2)</f>
        <v>46.33</v>
      </c>
      <c r="I39" s="336">
        <f>ROUND((I45*$D$39),2)</f>
        <v>5.48</v>
      </c>
      <c r="J39" s="337">
        <f>ROUND((J45*$D$39),2)</f>
        <v>0</v>
      </c>
    </row>
    <row r="40" spans="1:12" ht="19.5" customHeight="1">
      <c r="A40" s="631" t="s">
        <v>246</v>
      </c>
      <c r="B40" s="631"/>
      <c r="C40" s="631"/>
      <c r="D40" s="338">
        <f>Dados!G51</f>
        <v>1.6500000000000001E-2</v>
      </c>
      <c r="E40" s="336"/>
      <c r="F40" s="336">
        <f>ROUND((F45*$D$40),2)</f>
        <v>77.709999999999994</v>
      </c>
      <c r="G40" s="336">
        <f>ROUND((G45*$D$40),2)</f>
        <v>77.709999999999994</v>
      </c>
      <c r="H40" s="336">
        <f>ROUND((H45*$D$40),2)</f>
        <v>10.06</v>
      </c>
      <c r="I40" s="336">
        <f>ROUND((I45*$D$40),2)</f>
        <v>1.19</v>
      </c>
      <c r="J40" s="337">
        <f>ROUND((J45*$D$40),2)</f>
        <v>0</v>
      </c>
    </row>
    <row r="41" spans="1:12" ht="19.5" customHeight="1">
      <c r="A41" s="631" t="str">
        <f>Dados!B52</f>
        <v>ISSQN - Limpeza e Conservação</v>
      </c>
      <c r="B41" s="631"/>
      <c r="C41" s="631"/>
      <c r="D41" s="338">
        <v>0</v>
      </c>
      <c r="E41" s="336"/>
      <c r="F41" s="336">
        <f>ROUND((F45*$D$41),2)</f>
        <v>0</v>
      </c>
      <c r="G41" s="336">
        <f>ROUND((G45*$D$41),2)</f>
        <v>0</v>
      </c>
      <c r="H41" s="336">
        <f>ROUND((H45*$D$41),2)</f>
        <v>0</v>
      </c>
      <c r="I41" s="336">
        <f>ROUND((I45*$D$41),2)</f>
        <v>0</v>
      </c>
      <c r="J41" s="337">
        <f>ROUND((J45*$D$41),2)</f>
        <v>0</v>
      </c>
    </row>
    <row r="42" spans="1:12" ht="19.5" customHeight="1">
      <c r="A42" s="631" t="str">
        <f>Dados!B53</f>
        <v>ISSQN - Administrativo</v>
      </c>
      <c r="B42" s="631"/>
      <c r="C42" s="631"/>
      <c r="D42" s="338">
        <f>Dados!G53</f>
        <v>0.05</v>
      </c>
      <c r="E42" s="336"/>
      <c r="F42" s="336">
        <f>ROUND((F45*$D$42),2)</f>
        <v>235.49</v>
      </c>
      <c r="G42" s="336">
        <f>ROUND((G45*$D$42),2)</f>
        <v>235.49</v>
      </c>
      <c r="H42" s="336">
        <f>ROUND((H45*$D$42),2)</f>
        <v>30.48</v>
      </c>
      <c r="I42" s="336">
        <f>ROUND((I45*$D$42),2)</f>
        <v>3.6</v>
      </c>
      <c r="J42" s="337">
        <f>ROUND((J45*$D$42),2)</f>
        <v>0</v>
      </c>
    </row>
    <row r="43" spans="1:12" ht="19.5" customHeight="1">
      <c r="A43" s="632" t="s">
        <v>532</v>
      </c>
      <c r="B43" s="632"/>
      <c r="C43" s="632"/>
      <c r="D43" s="370">
        <f>SUM(D39:D42)</f>
        <v>0.14250000000000002</v>
      </c>
      <c r="E43" s="371"/>
      <c r="F43" s="372">
        <f>SUM(F39:F42)</f>
        <v>671.15</v>
      </c>
      <c r="G43" s="372">
        <f>SUM(G39:G42)</f>
        <v>671.15</v>
      </c>
      <c r="H43" s="372">
        <f>SUM(H39:H42)</f>
        <v>86.87</v>
      </c>
      <c r="I43" s="372">
        <f>SUM(I39:I42)</f>
        <v>10.27</v>
      </c>
      <c r="J43" s="373">
        <f>SUM(J39:J41)</f>
        <v>0</v>
      </c>
    </row>
    <row r="44" spans="1:12" ht="19.5" customHeight="1">
      <c r="A44" s="633" t="str">
        <f>CONCATENATE("Custo Mensal - ",A7)</f>
        <v>Custo Mensal - Auxiliar Administrativo</v>
      </c>
      <c r="B44" s="633"/>
      <c r="C44" s="633"/>
      <c r="D44" s="633"/>
      <c r="E44" s="633"/>
      <c r="F44" s="374">
        <f>ROUND(F37/(1-D43),2)</f>
        <v>4709.8900000000003</v>
      </c>
      <c r="G44" s="374">
        <f>ROUND(G37/(1-D43),2)</f>
        <v>4709.8900000000003</v>
      </c>
      <c r="H44" s="374">
        <f>ROUND(H37/(1-D43),2)</f>
        <v>609.54999999999995</v>
      </c>
      <c r="I44" s="374">
        <f>ROUND(I37/(1-D43),2)</f>
        <v>72.09</v>
      </c>
      <c r="J44" s="375">
        <f>ROUND(J37/(1-D43),2)</f>
        <v>0</v>
      </c>
    </row>
    <row r="45" spans="1:12" ht="19.5" customHeight="1">
      <c r="A45" s="634" t="str">
        <f>CONCATENATE("Valor do Custo Mensal - ",A7)</f>
        <v>Valor do Custo Mensal - Auxiliar Administrativo</v>
      </c>
      <c r="B45" s="634"/>
      <c r="C45" s="634"/>
      <c r="D45" s="634"/>
      <c r="E45" s="634"/>
      <c r="F45" s="374">
        <f>F44</f>
        <v>4709.8900000000003</v>
      </c>
      <c r="G45" s="374">
        <f>G44</f>
        <v>4709.8900000000003</v>
      </c>
      <c r="H45" s="374">
        <f>H44</f>
        <v>609.54999999999995</v>
      </c>
      <c r="I45" s="374">
        <f>I44</f>
        <v>72.09</v>
      </c>
      <c r="J45" s="375">
        <f>J44</f>
        <v>0</v>
      </c>
      <c r="K45" s="376"/>
      <c r="L45" s="376"/>
    </row>
    <row r="46" spans="1:12" ht="27.75" customHeight="1">
      <c r="A46" s="635" t="s">
        <v>533</v>
      </c>
      <c r="B46" s="635"/>
      <c r="C46" s="635"/>
      <c r="D46" s="635"/>
      <c r="E46" s="635"/>
      <c r="F46" s="377">
        <f>(F45/F14)</f>
        <v>2.7068333333333334</v>
      </c>
      <c r="G46" s="377">
        <f>(G45/G14)</f>
        <v>2.7068333333333334</v>
      </c>
      <c r="H46" s="630" t="s">
        <v>534</v>
      </c>
      <c r="I46" s="630"/>
      <c r="J46" s="378">
        <v>0</v>
      </c>
    </row>
    <row r="47" spans="1:12" ht="19.5" customHeight="1"/>
  </sheetData>
  <sheetProtection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xl/worksheets/sheet12.xml><?xml version="1.0" encoding="utf-8"?>
<worksheet xmlns="http://schemas.openxmlformats.org/spreadsheetml/2006/main" xmlns:r="http://schemas.openxmlformats.org/officeDocument/2006/relationships">
  <sheetPr>
    <tabColor theme="0" tint="-0.14999847407452621"/>
    <pageSetUpPr fitToPage="1"/>
  </sheetPr>
  <dimension ref="A1:AMK33"/>
  <sheetViews>
    <sheetView showGridLines="0" zoomScale="95" zoomScaleNormal="95" workbookViewId="0">
      <selection activeCell="I9" sqref="I9:K9"/>
    </sheetView>
  </sheetViews>
  <sheetFormatPr defaultRowHeight="14.4"/>
  <cols>
    <col min="1" max="1" width="7.33203125" style="69" customWidth="1"/>
    <col min="2" max="3" width="9.109375" style="69" customWidth="1"/>
    <col min="4" max="4" width="33" style="69" customWidth="1"/>
    <col min="5" max="5" width="9.44140625" style="69" customWidth="1"/>
    <col min="6" max="6" width="12.44140625" style="69" customWidth="1"/>
    <col min="7" max="8" width="8.88671875" style="69" customWidth="1"/>
    <col min="9" max="9" width="9.5546875" style="69" customWidth="1"/>
    <col min="10" max="10" width="8.88671875" style="69" customWidth="1"/>
    <col min="11" max="11" width="32.6640625" style="69" customWidth="1"/>
    <col min="12" max="12" width="9.88671875" style="69" customWidth="1"/>
    <col min="13" max="13" width="11.5546875" style="69" customWidth="1"/>
    <col min="14" max="1025" width="9.109375" style="69" customWidth="1"/>
  </cols>
  <sheetData>
    <row r="1" spans="1:17">
      <c r="A1" s="97"/>
      <c r="B1" s="98" t="str">
        <f>INSTRUÇÕES!B1</f>
        <v>Tribunal Regional Federal da 6ª Região</v>
      </c>
      <c r="C1" s="98"/>
      <c r="D1" s="98"/>
      <c r="E1" s="98"/>
      <c r="F1" s="98"/>
      <c r="G1" s="98"/>
      <c r="H1" s="98"/>
      <c r="I1" s="98"/>
      <c r="J1" s="98"/>
      <c r="K1" s="98"/>
      <c r="L1" s="98"/>
      <c r="M1" s="161"/>
    </row>
    <row r="2" spans="1:17">
      <c r="A2" s="99"/>
      <c r="B2" s="100" t="str">
        <f>INSTRUÇÕES!B2</f>
        <v>Seção Judiciária de Minas Gerais</v>
      </c>
      <c r="C2" s="100"/>
      <c r="D2" s="100"/>
      <c r="E2" s="100"/>
      <c r="F2" s="100"/>
      <c r="G2" s="100"/>
      <c r="H2" s="100"/>
      <c r="I2" s="100"/>
      <c r="J2" s="100"/>
      <c r="K2" s="100"/>
      <c r="L2" s="100"/>
      <c r="M2" s="163"/>
    </row>
    <row r="3" spans="1:17">
      <c r="A3" s="99"/>
      <c r="B3" s="69" t="str">
        <f>INSTRUÇÕES!B3</f>
        <v>Subseção Judiciária de Divinópolis</v>
      </c>
      <c r="C3" s="330"/>
      <c r="D3" s="330"/>
      <c r="E3" s="330"/>
      <c r="F3" s="330"/>
      <c r="G3" s="330"/>
      <c r="H3" s="330"/>
      <c r="I3" s="330"/>
      <c r="J3" s="330"/>
      <c r="K3" s="330"/>
      <c r="L3" s="330"/>
      <c r="M3" s="380"/>
    </row>
    <row r="4" spans="1:17" s="246" customFormat="1" ht="31.5" customHeight="1">
      <c r="A4" s="671" t="s">
        <v>537</v>
      </c>
      <c r="B4" s="671"/>
      <c r="C4" s="671"/>
      <c r="D4" s="671"/>
      <c r="E4" s="671"/>
      <c r="F4" s="671"/>
      <c r="G4" s="671"/>
      <c r="H4" s="671"/>
      <c r="I4" s="671"/>
      <c r="J4" s="671"/>
      <c r="K4" s="671"/>
      <c r="L4" s="671"/>
      <c r="M4" s="671"/>
      <c r="N4" s="381"/>
      <c r="O4" s="381"/>
      <c r="P4" s="381"/>
      <c r="Q4" s="381"/>
    </row>
    <row r="5" spans="1:17" s="385" customFormat="1" ht="41.25" customHeight="1">
      <c r="A5" s="672" t="s">
        <v>538</v>
      </c>
      <c r="B5" s="672"/>
      <c r="C5" s="672"/>
      <c r="D5" s="672"/>
      <c r="E5" s="673" t="s">
        <v>526</v>
      </c>
      <c r="F5" s="382" t="str">
        <f>Dados!C7</f>
        <v>Servente de Limpeza 40% Insalubridade</v>
      </c>
      <c r="G5" s="383" t="str">
        <f>Dados!C8</f>
        <v>Servente de Limpeza acúmulo função Copeira</v>
      </c>
      <c r="H5" s="672" t="s">
        <v>538</v>
      </c>
      <c r="I5" s="672"/>
      <c r="J5" s="672"/>
      <c r="K5" s="672"/>
      <c r="L5" s="673" t="s">
        <v>526</v>
      </c>
      <c r="M5" s="384" t="str">
        <f>Dados!C9</f>
        <v>Auxiliar Administrativo</v>
      </c>
    </row>
    <row r="6" spans="1:17" s="109" customFormat="1" ht="22.5" customHeight="1">
      <c r="A6" s="386" t="s">
        <v>539</v>
      </c>
      <c r="B6" s="674" t="s">
        <v>330</v>
      </c>
      <c r="C6" s="674"/>
      <c r="D6" s="674"/>
      <c r="E6" s="673"/>
      <c r="F6" s="675" t="s">
        <v>540</v>
      </c>
      <c r="G6" s="675"/>
      <c r="H6" s="386" t="s">
        <v>539</v>
      </c>
      <c r="I6" s="674" t="s">
        <v>330</v>
      </c>
      <c r="J6" s="674"/>
      <c r="K6" s="674"/>
      <c r="L6" s="673"/>
      <c r="M6" s="387"/>
    </row>
    <row r="7" spans="1:17" ht="14.25" customHeight="1">
      <c r="A7" s="388">
        <v>1</v>
      </c>
      <c r="B7" s="669" t="s">
        <v>541</v>
      </c>
      <c r="C7" s="669"/>
      <c r="D7" s="669"/>
      <c r="E7" s="669"/>
      <c r="F7" s="389">
        <f>Dados!M7</f>
        <v>1952.8000000000002</v>
      </c>
      <c r="G7" s="389">
        <f>Dados!M8</f>
        <v>1429.64</v>
      </c>
      <c r="H7" s="388">
        <v>1</v>
      </c>
      <c r="I7" s="669" t="s">
        <v>541</v>
      </c>
      <c r="J7" s="669"/>
      <c r="K7" s="669"/>
      <c r="L7" s="669"/>
      <c r="M7" s="390">
        <f>Dados!M9</f>
        <v>1740</v>
      </c>
    </row>
    <row r="8" spans="1:17">
      <c r="A8" s="391" t="s">
        <v>542</v>
      </c>
      <c r="B8" s="670" t="s">
        <v>331</v>
      </c>
      <c r="C8" s="670"/>
      <c r="D8" s="670"/>
      <c r="E8" s="346">
        <f>Encargos!C39</f>
        <v>9.0899999999999995E-2</v>
      </c>
      <c r="F8" s="392">
        <f>ROUND(F7*$E$8,2)</f>
        <v>177.51</v>
      </c>
      <c r="G8" s="392">
        <f>ROUND(G7*$E$8,2)</f>
        <v>129.94999999999999</v>
      </c>
      <c r="H8" s="391" t="s">
        <v>542</v>
      </c>
      <c r="I8" s="670" t="s">
        <v>331</v>
      </c>
      <c r="J8" s="670"/>
      <c r="K8" s="670"/>
      <c r="L8" s="346">
        <f>Encargos!C39</f>
        <v>9.0899999999999995E-2</v>
      </c>
      <c r="M8" s="393">
        <f>ROUND(M7*$E$8,2)</f>
        <v>158.16999999999999</v>
      </c>
    </row>
    <row r="9" spans="1:17">
      <c r="A9" s="349" t="s">
        <v>543</v>
      </c>
      <c r="B9" s="667" t="s">
        <v>337</v>
      </c>
      <c r="C9" s="667"/>
      <c r="D9" s="667"/>
      <c r="E9" s="394">
        <f>E8*Encargos!C18</f>
        <v>3.6178200000000008E-2</v>
      </c>
      <c r="F9" s="395">
        <f>ROUND(F7*$E$9,2)</f>
        <v>70.650000000000006</v>
      </c>
      <c r="G9" s="395">
        <f>ROUND(G7*$E$9,2)</f>
        <v>51.72</v>
      </c>
      <c r="H9" s="349" t="s">
        <v>543</v>
      </c>
      <c r="I9" s="667" t="s">
        <v>337</v>
      </c>
      <c r="J9" s="667"/>
      <c r="K9" s="667"/>
      <c r="L9" s="394">
        <f>L8*Encargos!C18</f>
        <v>3.6178200000000008E-2</v>
      </c>
      <c r="M9" s="396">
        <f>ROUND(M7*$E$9,2)</f>
        <v>62.95</v>
      </c>
    </row>
    <row r="10" spans="1:17" ht="12.75" customHeight="1">
      <c r="A10" s="668" t="s">
        <v>544</v>
      </c>
      <c r="B10" s="668"/>
      <c r="C10" s="668"/>
      <c r="D10" s="668"/>
      <c r="E10" s="397">
        <f>SUM(E8:E9)</f>
        <v>0.1270782</v>
      </c>
      <c r="F10" s="398">
        <f>SUM(F8:F9)</f>
        <v>248.16</v>
      </c>
      <c r="G10" s="398">
        <f>SUM(G8:G9)</f>
        <v>181.67</v>
      </c>
      <c r="H10" s="668" t="s">
        <v>544</v>
      </c>
      <c r="I10" s="668"/>
      <c r="J10" s="668"/>
      <c r="K10" s="668"/>
      <c r="L10" s="397">
        <f>SUM(L8:L9)</f>
        <v>0.1270782</v>
      </c>
      <c r="M10" s="399">
        <f>SUM(M8:M9)</f>
        <v>221.12</v>
      </c>
    </row>
    <row r="11" spans="1:17" ht="12.75" customHeight="1">
      <c r="A11" s="668" t="s">
        <v>545</v>
      </c>
      <c r="B11" s="668"/>
      <c r="C11" s="668"/>
      <c r="D11" s="668"/>
      <c r="E11" s="668"/>
      <c r="F11" s="398">
        <f>F10*12</f>
        <v>2977.92</v>
      </c>
      <c r="G11" s="398">
        <f>G10*12</f>
        <v>2180.04</v>
      </c>
      <c r="H11" s="668" t="s">
        <v>545</v>
      </c>
      <c r="I11" s="668"/>
      <c r="J11" s="668"/>
      <c r="K11" s="668"/>
      <c r="L11" s="668"/>
      <c r="M11" s="399">
        <f>M10*12</f>
        <v>2653.44</v>
      </c>
    </row>
    <row r="12" spans="1:17">
      <c r="A12" s="400">
        <v>2</v>
      </c>
      <c r="B12" s="401" t="s">
        <v>546</v>
      </c>
      <c r="C12" s="401"/>
      <c r="D12" s="401"/>
      <c r="E12" s="401"/>
      <c r="F12" s="666" t="s">
        <v>443</v>
      </c>
      <c r="G12" s="666"/>
      <c r="H12" s="400">
        <v>2</v>
      </c>
      <c r="I12" s="401" t="s">
        <v>546</v>
      </c>
      <c r="J12" s="401"/>
      <c r="K12" s="401"/>
      <c r="L12" s="401"/>
      <c r="M12" s="402"/>
    </row>
    <row r="13" spans="1:17">
      <c r="A13" s="349" t="s">
        <v>542</v>
      </c>
      <c r="B13" s="667" t="s">
        <v>547</v>
      </c>
      <c r="C13" s="667"/>
      <c r="D13" s="667"/>
      <c r="E13" s="403"/>
      <c r="F13" s="404">
        <f>'Servente Insalubre'!$F$23</f>
        <v>475.2</v>
      </c>
      <c r="G13" s="404">
        <f>'Servente acúmulo função Copeira'!$F$23</f>
        <v>475.2</v>
      </c>
      <c r="H13" s="349" t="s">
        <v>542</v>
      </c>
      <c r="I13" s="667" t="s">
        <v>547</v>
      </c>
      <c r="J13" s="667"/>
      <c r="K13" s="667"/>
      <c r="L13" s="403"/>
      <c r="M13" s="38">
        <f>'Auxiliar Administrativo'!$F$23</f>
        <v>475.2</v>
      </c>
    </row>
    <row r="14" spans="1:17">
      <c r="A14" s="349" t="s">
        <v>548</v>
      </c>
      <c r="B14" s="667" t="s">
        <v>549</v>
      </c>
      <c r="C14" s="667"/>
      <c r="D14" s="667"/>
      <c r="E14" s="403"/>
      <c r="F14" s="404">
        <f>'Servente Insalubre'!$F$22</f>
        <v>77.319999999999993</v>
      </c>
      <c r="G14" s="404">
        <f>'Servente acúmulo função Copeira'!$F$22</f>
        <v>77.319999999999993</v>
      </c>
      <c r="H14" s="349" t="s">
        <v>548</v>
      </c>
      <c r="I14" s="667" t="s">
        <v>549</v>
      </c>
      <c r="J14" s="667"/>
      <c r="K14" s="667"/>
      <c r="L14" s="403"/>
      <c r="M14" s="38">
        <f>'Auxiliar Administrativo'!$F$22</f>
        <v>56.2</v>
      </c>
    </row>
    <row r="15" spans="1:17">
      <c r="A15" s="349" t="s">
        <v>550</v>
      </c>
      <c r="B15" s="403" t="s">
        <v>551</v>
      </c>
      <c r="C15" s="403"/>
      <c r="D15" s="403"/>
      <c r="E15" s="403"/>
      <c r="F15" s="404">
        <v>0</v>
      </c>
      <c r="G15" s="404">
        <v>0</v>
      </c>
      <c r="H15" s="349" t="s">
        <v>550</v>
      </c>
      <c r="I15" s="403" t="s">
        <v>551</v>
      </c>
      <c r="J15" s="403"/>
      <c r="K15" s="403"/>
      <c r="L15" s="403"/>
      <c r="M15" s="38">
        <v>0</v>
      </c>
    </row>
    <row r="16" spans="1:17">
      <c r="A16" s="663" t="s">
        <v>552</v>
      </c>
      <c r="B16" s="663"/>
      <c r="C16" s="663"/>
      <c r="D16" s="663"/>
      <c r="E16" s="663"/>
      <c r="F16" s="405">
        <f>SUM(F13:F15)</f>
        <v>552.52</v>
      </c>
      <c r="G16" s="405">
        <f>SUM(G13:G15)</f>
        <v>552.52</v>
      </c>
      <c r="H16" s="663" t="s">
        <v>552</v>
      </c>
      <c r="I16" s="663"/>
      <c r="J16" s="663"/>
      <c r="K16" s="663"/>
      <c r="L16" s="663"/>
      <c r="M16" s="406">
        <f>SUM(M13:M15)</f>
        <v>531.4</v>
      </c>
    </row>
    <row r="17" spans="1:13" ht="12.75" customHeight="1">
      <c r="A17" s="400">
        <v>5</v>
      </c>
      <c r="B17" s="665" t="s">
        <v>553</v>
      </c>
      <c r="C17" s="665"/>
      <c r="D17" s="665"/>
      <c r="E17" s="407" t="s">
        <v>526</v>
      </c>
      <c r="F17" s="666" t="s">
        <v>443</v>
      </c>
      <c r="G17" s="666"/>
      <c r="H17" s="400">
        <v>5</v>
      </c>
      <c r="I17" s="665" t="s">
        <v>553</v>
      </c>
      <c r="J17" s="665"/>
      <c r="K17" s="665"/>
      <c r="L17" s="407" t="s">
        <v>526</v>
      </c>
      <c r="M17" s="402"/>
    </row>
    <row r="18" spans="1:13" ht="12.75" customHeight="1">
      <c r="A18" s="349" t="s">
        <v>542</v>
      </c>
      <c r="B18" s="651" t="s">
        <v>554</v>
      </c>
      <c r="C18" s="651"/>
      <c r="D18" s="651"/>
      <c r="E18" s="408">
        <f>Dados!$G$42</f>
        <v>0.03</v>
      </c>
      <c r="F18" s="409">
        <f>ROUND(($E$18*F31),2)</f>
        <v>105.91</v>
      </c>
      <c r="G18" s="409">
        <f>ROUND(($E$18*G31),2)</f>
        <v>81.98</v>
      </c>
      <c r="H18" s="349" t="s">
        <v>542</v>
      </c>
      <c r="I18" s="651" t="s">
        <v>554</v>
      </c>
      <c r="J18" s="651"/>
      <c r="K18" s="651"/>
      <c r="L18" s="408">
        <f>Dados!$G$42</f>
        <v>0.03</v>
      </c>
      <c r="M18" s="410">
        <f>ROUND(($E$18*M31),2)</f>
        <v>95.55</v>
      </c>
    </row>
    <row r="19" spans="1:13" ht="12.75" customHeight="1">
      <c r="A19" s="349" t="s">
        <v>548</v>
      </c>
      <c r="B19" s="651" t="s">
        <v>238</v>
      </c>
      <c r="C19" s="651"/>
      <c r="D19" s="651"/>
      <c r="E19" s="408">
        <f>Dados!$G$43</f>
        <v>6.7900000000000002E-2</v>
      </c>
      <c r="F19" s="409">
        <f>ROUND(($E$19*(F18+F31)),2)</f>
        <v>246.91</v>
      </c>
      <c r="G19" s="409">
        <f>ROUND(($E$19*(G18+G31)),2)</f>
        <v>191.11</v>
      </c>
      <c r="H19" s="349" t="s">
        <v>548</v>
      </c>
      <c r="I19" s="651" t="s">
        <v>238</v>
      </c>
      <c r="J19" s="651"/>
      <c r="K19" s="651"/>
      <c r="L19" s="408">
        <f>Dados!$G$43</f>
        <v>6.7900000000000002E-2</v>
      </c>
      <c r="M19" s="410">
        <f>ROUND(($E$19*(M18+M31)),2)</f>
        <v>222.74</v>
      </c>
    </row>
    <row r="20" spans="1:13" ht="12.75" customHeight="1">
      <c r="A20" s="411" t="s">
        <v>550</v>
      </c>
      <c r="B20" s="664" t="s">
        <v>555</v>
      </c>
      <c r="C20" s="664"/>
      <c r="D20" s="664"/>
      <c r="E20" s="412">
        <f>SUM(E21:E24)</f>
        <v>0.1225</v>
      </c>
      <c r="F20" s="413">
        <f>ROUND((((F31+F18+F19)/(1-$E$20))-(F31+F18+F19)),2)</f>
        <v>542.11</v>
      </c>
      <c r="G20" s="413">
        <f>ROUND((((G31+G18+G19)/(1-$E$20))-(G31+G18+G19)),2)</f>
        <v>419.59</v>
      </c>
      <c r="H20" s="411" t="s">
        <v>550</v>
      </c>
      <c r="I20" s="664" t="s">
        <v>555</v>
      </c>
      <c r="J20" s="664"/>
      <c r="K20" s="664"/>
      <c r="L20" s="412">
        <f>SUM(L21:L24)</f>
        <v>0.14250000000000002</v>
      </c>
      <c r="M20" s="414">
        <f>ROUND((((M31+M18+M19)/(1-$E$20))-(M31+M18+M19)),2)</f>
        <v>489.04</v>
      </c>
    </row>
    <row r="21" spans="1:13" ht="12.75" customHeight="1">
      <c r="A21" s="415" t="s">
        <v>556</v>
      </c>
      <c r="B21" s="651" t="s">
        <v>557</v>
      </c>
      <c r="C21" s="651"/>
      <c r="D21" s="651"/>
      <c r="E21" s="408">
        <f>Dados!G50+Dados!G51</f>
        <v>9.2499999999999999E-2</v>
      </c>
      <c r="F21" s="409">
        <f>ROUND($E$21*F33,2)</f>
        <v>409.35</v>
      </c>
      <c r="G21" s="409">
        <f>ROUND($E$21*G33,2)</f>
        <v>316.83</v>
      </c>
      <c r="H21" s="415" t="s">
        <v>556</v>
      </c>
      <c r="I21" s="651" t="s">
        <v>557</v>
      </c>
      <c r="J21" s="651"/>
      <c r="K21" s="651"/>
      <c r="L21" s="408">
        <f>Dados!G50+Dados!G51</f>
        <v>9.2499999999999999E-2</v>
      </c>
      <c r="M21" s="410">
        <f>ROUND($E$21*M33,2)</f>
        <v>369.28</v>
      </c>
    </row>
    <row r="22" spans="1:13" ht="12.75" customHeight="1">
      <c r="A22" s="349" t="s">
        <v>558</v>
      </c>
      <c r="B22" s="651" t="s">
        <v>559</v>
      </c>
      <c r="C22" s="651"/>
      <c r="D22" s="651"/>
      <c r="E22" s="408">
        <v>0</v>
      </c>
      <c r="F22" s="409">
        <f>ROUND($E$22*F33,2)</f>
        <v>0</v>
      </c>
      <c r="G22" s="409">
        <f>ROUND($E$22*G33,2)</f>
        <v>0</v>
      </c>
      <c r="H22" s="349" t="s">
        <v>558</v>
      </c>
      <c r="I22" s="651" t="s">
        <v>559</v>
      </c>
      <c r="J22" s="651"/>
      <c r="K22" s="651"/>
      <c r="L22" s="408">
        <v>0</v>
      </c>
      <c r="M22" s="410">
        <f>ROUND($E$22*M33,2)</f>
        <v>0</v>
      </c>
    </row>
    <row r="23" spans="1:13" ht="12.75" customHeight="1">
      <c r="A23" s="349" t="s">
        <v>560</v>
      </c>
      <c r="B23" s="651" t="str">
        <f>Dados!B52</f>
        <v>ISSQN - Limpeza e Conservação</v>
      </c>
      <c r="C23" s="651"/>
      <c r="D23" s="651"/>
      <c r="E23" s="408">
        <f>Dados!G52</f>
        <v>0.03</v>
      </c>
      <c r="F23" s="409">
        <f>ROUND($E$23*F33,2)</f>
        <v>132.76</v>
      </c>
      <c r="G23" s="409">
        <f>ROUND($E$23*G33,2)</f>
        <v>102.76</v>
      </c>
      <c r="H23" s="349" t="s">
        <v>560</v>
      </c>
      <c r="I23" s="651" t="str">
        <f>Dados!B52</f>
        <v>ISSQN - Limpeza e Conservação</v>
      </c>
      <c r="J23" s="651"/>
      <c r="K23" s="651"/>
      <c r="L23" s="408">
        <v>0</v>
      </c>
      <c r="M23" s="410">
        <v>0</v>
      </c>
    </row>
    <row r="24" spans="1:13">
      <c r="A24" s="349" t="s">
        <v>561</v>
      </c>
      <c r="B24" s="651" t="str">
        <f>Dados!B53</f>
        <v>ISSQN - Administrativo</v>
      </c>
      <c r="C24" s="651"/>
      <c r="D24" s="651"/>
      <c r="E24" s="408">
        <v>0</v>
      </c>
      <c r="F24" s="409">
        <f>ROUND($E$24*F33,2)</f>
        <v>0</v>
      </c>
      <c r="G24" s="409">
        <f>ROUND($E$24*G33,2)</f>
        <v>0</v>
      </c>
      <c r="H24" s="349" t="s">
        <v>561</v>
      </c>
      <c r="I24" s="651" t="str">
        <f>Dados!B53</f>
        <v>ISSQN - Administrativo</v>
      </c>
      <c r="J24" s="651"/>
      <c r="K24" s="651"/>
      <c r="L24" s="408">
        <f>Dados!G53</f>
        <v>0.05</v>
      </c>
      <c r="M24" s="410">
        <f>ROUND(L24*M33,2)</f>
        <v>199.61</v>
      </c>
    </row>
    <row r="25" spans="1:13">
      <c r="A25" s="416" t="s">
        <v>562</v>
      </c>
      <c r="B25" s="339"/>
      <c r="C25" s="339"/>
      <c r="D25" s="339"/>
      <c r="E25" s="339"/>
      <c r="F25" s="417">
        <f>SUM(F18:F20)</f>
        <v>894.93000000000006</v>
      </c>
      <c r="G25" s="417">
        <f>SUM(G18:G20)</f>
        <v>692.68000000000006</v>
      </c>
      <c r="H25" s="416" t="s">
        <v>562</v>
      </c>
      <c r="I25" s="339"/>
      <c r="J25" s="339"/>
      <c r="K25" s="339"/>
      <c r="L25" s="339"/>
      <c r="M25" s="418">
        <f>SUM(M18:M20)</f>
        <v>807.33</v>
      </c>
    </row>
    <row r="26" spans="1:13" ht="19.5" customHeight="1">
      <c r="A26" s="660" t="s">
        <v>563</v>
      </c>
      <c r="B26" s="660"/>
      <c r="C26" s="660"/>
      <c r="D26" s="660"/>
      <c r="E26" s="660"/>
      <c r="F26" s="660"/>
      <c r="G26" s="660"/>
      <c r="H26" s="660"/>
      <c r="I26" s="660"/>
      <c r="J26" s="660"/>
      <c r="K26" s="660"/>
      <c r="L26" s="660"/>
      <c r="M26" s="660"/>
    </row>
    <row r="27" spans="1:13" ht="18" customHeight="1">
      <c r="A27" s="661" t="s">
        <v>564</v>
      </c>
      <c r="B27" s="661"/>
      <c r="C27" s="661"/>
      <c r="D27" s="661"/>
      <c r="E27" s="661"/>
      <c r="F27" s="661"/>
      <c r="G27" s="661"/>
      <c r="H27" s="661"/>
      <c r="I27" s="661"/>
      <c r="J27" s="661"/>
      <c r="K27" s="661"/>
      <c r="L27" s="661"/>
      <c r="M27" s="661"/>
    </row>
    <row r="28" spans="1:13" ht="14.25" customHeight="1">
      <c r="A28" s="419" t="s">
        <v>565</v>
      </c>
      <c r="B28" s="420"/>
      <c r="C28" s="420"/>
      <c r="D28" s="420"/>
      <c r="E28" s="420"/>
      <c r="F28" s="662" t="s">
        <v>443</v>
      </c>
      <c r="G28" s="662"/>
      <c r="H28" s="419" t="s">
        <v>565</v>
      </c>
      <c r="I28" s="420"/>
      <c r="J28" s="420"/>
      <c r="K28" s="420"/>
      <c r="L28" s="421"/>
      <c r="M28" s="421"/>
    </row>
    <row r="29" spans="1:13">
      <c r="A29" s="349" t="s">
        <v>542</v>
      </c>
      <c r="B29" s="403" t="s">
        <v>566</v>
      </c>
      <c r="C29" s="403"/>
      <c r="D29" s="403"/>
      <c r="E29" s="403"/>
      <c r="F29" s="422">
        <f>F11</f>
        <v>2977.92</v>
      </c>
      <c r="G29" s="422">
        <f>G11</f>
        <v>2180.04</v>
      </c>
      <c r="H29" s="349" t="s">
        <v>542</v>
      </c>
      <c r="I29" s="403" t="s">
        <v>566</v>
      </c>
      <c r="J29" s="403"/>
      <c r="K29" s="403"/>
      <c r="L29" s="423"/>
      <c r="M29" s="424">
        <f>M11</f>
        <v>2653.44</v>
      </c>
    </row>
    <row r="30" spans="1:13">
      <c r="A30" s="349" t="s">
        <v>548</v>
      </c>
      <c r="B30" s="403" t="s">
        <v>546</v>
      </c>
      <c r="C30" s="403"/>
      <c r="D30" s="403"/>
      <c r="E30" s="403"/>
      <c r="F30" s="422">
        <f>F16</f>
        <v>552.52</v>
      </c>
      <c r="G30" s="422">
        <f>G16</f>
        <v>552.52</v>
      </c>
      <c r="H30" s="349" t="s">
        <v>548</v>
      </c>
      <c r="I30" s="403" t="s">
        <v>546</v>
      </c>
      <c r="J30" s="403"/>
      <c r="K30" s="403"/>
      <c r="L30" s="423"/>
      <c r="M30" s="424">
        <f>M16</f>
        <v>531.4</v>
      </c>
    </row>
    <row r="31" spans="1:13">
      <c r="A31" s="663" t="s">
        <v>567</v>
      </c>
      <c r="B31" s="663"/>
      <c r="C31" s="663"/>
      <c r="D31" s="663"/>
      <c r="E31" s="425"/>
      <c r="F31" s="426">
        <f>SUM(F29:F30)</f>
        <v>3530.44</v>
      </c>
      <c r="G31" s="426">
        <f>SUM(G29:G30)</f>
        <v>2732.56</v>
      </c>
      <c r="H31" s="663" t="s">
        <v>567</v>
      </c>
      <c r="I31" s="663"/>
      <c r="J31" s="663"/>
      <c r="K31" s="663"/>
      <c r="L31" s="427"/>
      <c r="M31" s="428">
        <f>SUM(M29:M30)</f>
        <v>3184.84</v>
      </c>
    </row>
    <row r="32" spans="1:13">
      <c r="A32" s="334" t="s">
        <v>568</v>
      </c>
      <c r="B32" s="429" t="s">
        <v>569</v>
      </c>
      <c r="C32" s="429"/>
      <c r="D32" s="429"/>
      <c r="E32" s="429"/>
      <c r="F32" s="430">
        <f>F25</f>
        <v>894.93000000000006</v>
      </c>
      <c r="G32" s="430">
        <f>G25</f>
        <v>692.68000000000006</v>
      </c>
      <c r="H32" s="334" t="s">
        <v>568</v>
      </c>
      <c r="I32" s="429" t="s">
        <v>569</v>
      </c>
      <c r="J32" s="429"/>
      <c r="K32" s="429"/>
      <c r="L32" s="431"/>
      <c r="M32" s="432">
        <f>M25</f>
        <v>807.33</v>
      </c>
    </row>
    <row r="33" spans="1:13" ht="19.5" customHeight="1">
      <c r="A33" s="433" t="s">
        <v>570</v>
      </c>
      <c r="B33" s="434"/>
      <c r="C33" s="434"/>
      <c r="D33" s="434"/>
      <c r="E33" s="434"/>
      <c r="F33" s="435">
        <f>SUM(F31:F32)</f>
        <v>4425.37</v>
      </c>
      <c r="G33" s="435">
        <f>SUM(G31:G32)</f>
        <v>3425.24</v>
      </c>
      <c r="H33" s="433" t="s">
        <v>570</v>
      </c>
      <c r="I33" s="434"/>
      <c r="J33" s="434"/>
      <c r="K33" s="434"/>
      <c r="L33" s="436"/>
      <c r="M33" s="437">
        <f>SUM(M31:M32)</f>
        <v>3992.17</v>
      </c>
    </row>
  </sheetData>
  <sheetProtection sheet="1" objects="1" scenarios="1"/>
  <mergeCells count="47">
    <mergeCell ref="A4:M4"/>
    <mergeCell ref="A5:D5"/>
    <mergeCell ref="E5:E6"/>
    <mergeCell ref="H5:K5"/>
    <mergeCell ref="L5:L6"/>
    <mergeCell ref="B6:D6"/>
    <mergeCell ref="F6:G6"/>
    <mergeCell ref="I6:K6"/>
    <mergeCell ref="B7:E7"/>
    <mergeCell ref="I7:L7"/>
    <mergeCell ref="B8:D8"/>
    <mergeCell ref="I8:K8"/>
    <mergeCell ref="B9:D9"/>
    <mergeCell ref="I9:K9"/>
    <mergeCell ref="A10:D10"/>
    <mergeCell ref="H10:K10"/>
    <mergeCell ref="A11:E11"/>
    <mergeCell ref="H11:L11"/>
    <mergeCell ref="F12:G12"/>
    <mergeCell ref="B13:D13"/>
    <mergeCell ref="I13:K13"/>
    <mergeCell ref="B14:D14"/>
    <mergeCell ref="I14:K14"/>
    <mergeCell ref="A16:E16"/>
    <mergeCell ref="H16:L16"/>
    <mergeCell ref="B17:D17"/>
    <mergeCell ref="F17:G17"/>
    <mergeCell ref="I17:K17"/>
    <mergeCell ref="B18:D18"/>
    <mergeCell ref="I18:K18"/>
    <mergeCell ref="B19:D19"/>
    <mergeCell ref="I19:K19"/>
    <mergeCell ref="B20:D20"/>
    <mergeCell ref="I20:K20"/>
    <mergeCell ref="B21:D21"/>
    <mergeCell ref="I21:K21"/>
    <mergeCell ref="B22:D22"/>
    <mergeCell ref="I22:K22"/>
    <mergeCell ref="B23:D23"/>
    <mergeCell ref="I23:K23"/>
    <mergeCell ref="B24:D24"/>
    <mergeCell ref="I24:K24"/>
    <mergeCell ref="A26:M26"/>
    <mergeCell ref="A27:M27"/>
    <mergeCell ref="F28:G28"/>
    <mergeCell ref="A31:D31"/>
    <mergeCell ref="H31:K31"/>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xl/worksheets/sheet13.xml><?xml version="1.0" encoding="utf-8"?>
<worksheet xmlns="http://schemas.openxmlformats.org/spreadsheetml/2006/main" xmlns:r="http://schemas.openxmlformats.org/officeDocument/2006/relationships">
  <sheetPr>
    <tabColor rgb="FF0070C0"/>
    <pageSetUpPr fitToPage="1"/>
  </sheetPr>
  <dimension ref="A1:AMK22"/>
  <sheetViews>
    <sheetView showGridLines="0" zoomScale="95" zoomScaleNormal="95" workbookViewId="0">
      <selection activeCell="B13" sqref="B13"/>
    </sheetView>
  </sheetViews>
  <sheetFormatPr defaultRowHeight="14.4"/>
  <cols>
    <col min="1" max="1" width="12" style="1" customWidth="1"/>
    <col min="2" max="2" width="44.44140625" style="1" customWidth="1"/>
    <col min="3" max="3" width="7.109375" style="1" customWidth="1"/>
    <col min="4" max="4" width="6.6640625" style="1" customWidth="1"/>
    <col min="5" max="5" width="10.109375" style="1" customWidth="1"/>
    <col min="6" max="6" width="12.5546875" style="1" customWidth="1"/>
    <col min="7" max="7" width="12.33203125" style="1" customWidth="1"/>
    <col min="8" max="8" width="13.44140625" style="1" customWidth="1"/>
    <col min="9" max="9" width="11.88671875" style="1" customWidth="1"/>
    <col min="10" max="10" width="13.6640625" style="1" customWidth="1"/>
    <col min="11" max="11" width="11.33203125" style="1" customWidth="1"/>
    <col min="12" max="12" width="15.5546875" style="1" customWidth="1"/>
    <col min="13" max="13" width="12.33203125" style="1" customWidth="1"/>
    <col min="14" max="14" width="7.44140625" style="1" customWidth="1"/>
    <col min="15" max="15" width="13.33203125" style="1" customWidth="1"/>
    <col min="16" max="16" width="12" style="1" customWidth="1"/>
    <col min="17" max="17" width="9.5546875" style="1" customWidth="1"/>
    <col min="18" max="18" width="11.33203125" style="1" customWidth="1"/>
    <col min="19" max="19" width="16.109375" style="1" customWidth="1"/>
    <col min="20" max="20" width="12.109375" style="1" customWidth="1"/>
    <col min="21" max="22" width="10.109375" style="1" customWidth="1"/>
    <col min="23" max="23" width="16.44140625" style="1" customWidth="1"/>
    <col min="24" max="259" width="9.109375" style="1" customWidth="1"/>
    <col min="260" max="260" width="13.109375" style="1" customWidth="1"/>
    <col min="261" max="261" width="38.44140625" style="1" customWidth="1"/>
    <col min="262" max="262" width="7.109375" style="1" customWidth="1"/>
    <col min="263" max="263" width="6.6640625" style="1" customWidth="1"/>
    <col min="264" max="264" width="10.109375" style="1" customWidth="1"/>
    <col min="265" max="265" width="12.5546875" style="1" customWidth="1"/>
    <col min="266" max="266" width="12.33203125" style="1" customWidth="1"/>
    <col min="267" max="267" width="13.44140625" style="1" customWidth="1"/>
    <col min="268" max="268" width="12.109375" style="1" customWidth="1"/>
    <col min="269" max="269" width="13.6640625" style="1" customWidth="1"/>
    <col min="270" max="270" width="11.33203125" style="1" customWidth="1"/>
    <col min="271" max="271" width="15.5546875" style="1" customWidth="1"/>
    <col min="272" max="272" width="12.33203125" style="1" customWidth="1"/>
    <col min="273" max="273" width="7.44140625" style="1" customWidth="1"/>
    <col min="274" max="274" width="13.33203125" style="1" customWidth="1"/>
    <col min="275" max="275" width="14" style="1" customWidth="1"/>
    <col min="276" max="276" width="12.109375" style="1" customWidth="1"/>
    <col min="277" max="278" width="10.109375" style="1" customWidth="1"/>
    <col min="279" max="279" width="16.44140625" style="1" customWidth="1"/>
    <col min="280" max="515" width="9.109375" style="1" customWidth="1"/>
    <col min="516" max="516" width="13.109375" style="1" customWidth="1"/>
    <col min="517" max="517" width="38.44140625" style="1" customWidth="1"/>
    <col min="518" max="518" width="7.109375" style="1" customWidth="1"/>
    <col min="519" max="519" width="6.6640625" style="1" customWidth="1"/>
    <col min="520" max="520" width="10.109375" style="1" customWidth="1"/>
    <col min="521" max="521" width="12.5546875" style="1" customWidth="1"/>
    <col min="522" max="522" width="12.33203125" style="1" customWidth="1"/>
    <col min="523" max="523" width="13.44140625" style="1" customWidth="1"/>
    <col min="524" max="524" width="12.109375" style="1" customWidth="1"/>
    <col min="525" max="525" width="13.6640625" style="1" customWidth="1"/>
    <col min="526" max="526" width="11.33203125" style="1" customWidth="1"/>
    <col min="527" max="527" width="15.5546875" style="1" customWidth="1"/>
    <col min="528" max="528" width="12.33203125" style="1" customWidth="1"/>
    <col min="529" max="529" width="7.44140625" style="1" customWidth="1"/>
    <col min="530" max="530" width="13.33203125" style="1" customWidth="1"/>
    <col min="531" max="531" width="14" style="1" customWidth="1"/>
    <col min="532" max="532" width="12.109375" style="1" customWidth="1"/>
    <col min="533" max="534" width="10.109375" style="1" customWidth="1"/>
    <col min="535" max="535" width="16.44140625" style="1" customWidth="1"/>
    <col min="536" max="771" width="9.109375" style="1" customWidth="1"/>
    <col min="772" max="772" width="13.109375" style="1" customWidth="1"/>
    <col min="773" max="773" width="38.44140625" style="1" customWidth="1"/>
    <col min="774" max="774" width="7.109375" style="1" customWidth="1"/>
    <col min="775" max="775" width="6.6640625" style="1" customWidth="1"/>
    <col min="776" max="776" width="10.109375" style="1" customWidth="1"/>
    <col min="777" max="777" width="12.5546875" style="1" customWidth="1"/>
    <col min="778" max="778" width="12.33203125" style="1" customWidth="1"/>
    <col min="779" max="779" width="13.44140625" style="1" customWidth="1"/>
    <col min="780" max="780" width="12.109375" style="1" customWidth="1"/>
    <col min="781" max="781" width="13.6640625" style="1" customWidth="1"/>
    <col min="782" max="782" width="11.33203125" style="1" customWidth="1"/>
    <col min="783" max="783" width="15.5546875" style="1" customWidth="1"/>
    <col min="784" max="784" width="12.33203125" style="1" customWidth="1"/>
    <col min="785" max="785" width="7.44140625" style="1" customWidth="1"/>
    <col min="786" max="786" width="13.33203125" style="1" customWidth="1"/>
    <col min="787" max="787" width="14" style="1" customWidth="1"/>
    <col min="788" max="788" width="12.109375" style="1" customWidth="1"/>
    <col min="789" max="790" width="10.109375" style="1" customWidth="1"/>
    <col min="791" max="791" width="16.44140625" style="1" customWidth="1"/>
    <col min="792" max="1025" width="9.109375" style="1" customWidth="1"/>
  </cols>
  <sheetData>
    <row r="1" spans="1:25">
      <c r="A1" s="4"/>
      <c r="B1" s="438" t="str">
        <f>INSTRUÇÕES!B1</f>
        <v>Tribunal Regional Federal da 6ª Região</v>
      </c>
      <c r="C1" s="204"/>
      <c r="D1" s="204"/>
      <c r="E1" s="204"/>
      <c r="F1" s="204"/>
      <c r="G1" s="204"/>
      <c r="H1" s="204"/>
      <c r="I1" s="204"/>
      <c r="J1" s="439"/>
      <c r="K1" s="439"/>
      <c r="L1" s="439"/>
      <c r="M1" s="439"/>
      <c r="N1" s="439"/>
      <c r="O1" s="439"/>
      <c r="P1" s="439"/>
      <c r="Q1" s="439"/>
      <c r="R1" s="439"/>
      <c r="S1" s="439"/>
      <c r="T1" s="439"/>
      <c r="U1" s="439"/>
      <c r="V1" s="439"/>
      <c r="W1" s="440"/>
    </row>
    <row r="2" spans="1:25">
      <c r="A2" s="276"/>
      <c r="B2" s="114" t="str">
        <f>INSTRUÇÕES!B2</f>
        <v>Seção Judiciária de Minas Gerais</v>
      </c>
      <c r="C2" s="69"/>
      <c r="D2" s="69"/>
      <c r="E2" s="69"/>
      <c r="F2" s="69"/>
      <c r="G2" s="69"/>
      <c r="H2" s="69"/>
      <c r="I2" s="69"/>
      <c r="W2" s="441"/>
    </row>
    <row r="3" spans="1:25">
      <c r="A3" s="276"/>
      <c r="B3" s="114" t="str">
        <f>INSTRUÇÕES!B3</f>
        <v>Subseção Judiciária de Divinópolis</v>
      </c>
      <c r="C3" s="69"/>
      <c r="D3" s="69"/>
      <c r="E3" s="69"/>
      <c r="F3" s="69"/>
      <c r="G3" s="69"/>
      <c r="H3" s="69"/>
      <c r="I3" s="69"/>
      <c r="W3" s="441"/>
    </row>
    <row r="4" spans="1:25" s="442" customFormat="1" ht="18.75" customHeight="1">
      <c r="A4" s="686" t="s">
        <v>571</v>
      </c>
      <c r="B4" s="686"/>
      <c r="C4" s="686"/>
      <c r="D4" s="686"/>
      <c r="E4" s="686"/>
      <c r="F4" s="686"/>
      <c r="G4" s="686"/>
      <c r="H4" s="686"/>
      <c r="I4" s="686"/>
      <c r="J4" s="686"/>
      <c r="K4" s="686"/>
      <c r="L4" s="686"/>
      <c r="M4" s="686"/>
      <c r="N4" s="686"/>
      <c r="O4" s="686"/>
      <c r="P4" s="686"/>
      <c r="Q4" s="686"/>
      <c r="R4" s="686"/>
      <c r="S4" s="686"/>
      <c r="T4" s="686"/>
      <c r="U4" s="686"/>
      <c r="V4" s="686"/>
      <c r="W4" s="686"/>
    </row>
    <row r="5" spans="1:25" s="117" customFormat="1" ht="21" customHeight="1">
      <c r="A5" s="687" t="str">
        <f>"PREÇO MENSAL GLOBAL - "&amp;B3</f>
        <v>PREÇO MENSAL GLOBAL - Subseção Judiciária de Divinópolis</v>
      </c>
      <c r="B5" s="687"/>
      <c r="C5" s="687"/>
      <c r="D5" s="687"/>
      <c r="E5" s="687"/>
      <c r="F5" s="687"/>
      <c r="G5" s="687"/>
      <c r="H5" s="687"/>
      <c r="I5" s="687"/>
      <c r="J5" s="687"/>
      <c r="K5" s="687"/>
      <c r="L5" s="687"/>
      <c r="M5" s="687"/>
      <c r="N5" s="687"/>
      <c r="O5" s="687"/>
      <c r="P5" s="687"/>
      <c r="Q5" s="687"/>
      <c r="R5" s="687"/>
      <c r="S5" s="687"/>
      <c r="T5" s="687"/>
      <c r="U5" s="687"/>
      <c r="V5" s="687"/>
      <c r="W5" s="687"/>
    </row>
    <row r="6" spans="1:25" s="3" customFormat="1" ht="23.25" customHeight="1">
      <c r="A6" s="688" t="str">
        <f>Dados!A4</f>
        <v>Sindicato utilizado - SINTAPPI x SINSERHT. Vigência: 2024/2025. Sendo a data base da categoria 01° de Abril. Com número de registro no MTE MG002103/2024.</v>
      </c>
      <c r="B6" s="688"/>
      <c r="C6" s="688"/>
      <c r="D6" s="688"/>
      <c r="E6" s="688"/>
      <c r="F6" s="688"/>
      <c r="G6" s="688"/>
      <c r="H6" s="688"/>
      <c r="I6" s="688"/>
      <c r="J6" s="688"/>
      <c r="K6" s="688"/>
      <c r="L6" s="688"/>
      <c r="M6" s="688"/>
      <c r="N6" s="688"/>
      <c r="O6" s="688"/>
      <c r="P6" s="688"/>
      <c r="Q6" s="688"/>
      <c r="R6" s="688"/>
      <c r="S6" s="688"/>
      <c r="T6" s="688"/>
      <c r="U6" s="688"/>
      <c r="V6" s="688"/>
      <c r="W6" s="688"/>
    </row>
    <row r="7" spans="1:25" s="17" customFormat="1" ht="18.75" customHeight="1">
      <c r="A7" s="443"/>
      <c r="B7" s="444"/>
      <c r="C7" s="444"/>
      <c r="D7" s="444"/>
      <c r="E7" s="445"/>
      <c r="F7" s="445"/>
      <c r="G7" s="445"/>
      <c r="H7" s="446" t="s">
        <v>572</v>
      </c>
      <c r="I7" s="447"/>
      <c r="J7" s="447"/>
      <c r="K7" s="445"/>
      <c r="L7" s="445"/>
      <c r="M7" s="445"/>
      <c r="N7" s="445"/>
      <c r="O7" s="445"/>
      <c r="P7" s="445"/>
      <c r="Q7" s="445"/>
      <c r="R7" s="445"/>
      <c r="S7" s="689" t="s">
        <v>573</v>
      </c>
      <c r="T7" s="689"/>
      <c r="U7" s="689"/>
      <c r="V7" s="689"/>
      <c r="W7" s="689"/>
    </row>
    <row r="8" spans="1:25" s="17" customFormat="1" ht="22.5" customHeight="1">
      <c r="A8" s="690" t="s">
        <v>574</v>
      </c>
      <c r="B8" s="691" t="s">
        <v>575</v>
      </c>
      <c r="C8" s="691"/>
      <c r="D8" s="692" t="s">
        <v>44</v>
      </c>
      <c r="E8" s="692"/>
      <c r="F8" s="692"/>
      <c r="G8" s="692"/>
      <c r="H8" s="692"/>
      <c r="I8" s="692"/>
      <c r="J8" s="692"/>
      <c r="K8" s="692"/>
      <c r="L8" s="692"/>
      <c r="M8" s="692"/>
      <c r="N8" s="692"/>
      <c r="O8" s="692"/>
      <c r="P8" s="692"/>
      <c r="Q8" s="692"/>
      <c r="R8" s="692"/>
      <c r="S8" s="692"/>
      <c r="T8" s="692"/>
      <c r="U8" s="692"/>
      <c r="V8" s="692"/>
      <c r="W8" s="693" t="s">
        <v>576</v>
      </c>
    </row>
    <row r="9" spans="1:25" s="17" customFormat="1" ht="20.25" customHeight="1">
      <c r="A9" s="690"/>
      <c r="B9" s="691"/>
      <c r="C9" s="691"/>
      <c r="D9" s="694" t="s">
        <v>577</v>
      </c>
      <c r="E9" s="694"/>
      <c r="F9" s="694"/>
      <c r="G9" s="694" t="s">
        <v>578</v>
      </c>
      <c r="H9" s="694"/>
      <c r="I9" s="694"/>
      <c r="J9" s="695" t="s">
        <v>579</v>
      </c>
      <c r="K9" s="695"/>
      <c r="L9" s="695"/>
      <c r="M9" s="695"/>
      <c r="N9" s="695"/>
      <c r="O9" s="695"/>
      <c r="P9" s="696" t="s">
        <v>580</v>
      </c>
      <c r="Q9" s="696"/>
      <c r="R9" s="696"/>
      <c r="S9" s="448" t="s">
        <v>581</v>
      </c>
      <c r="T9" s="697" t="s">
        <v>582</v>
      </c>
      <c r="U9" s="697"/>
      <c r="V9" s="697"/>
      <c r="W9" s="693"/>
    </row>
    <row r="10" spans="1:25" s="17" customFormat="1" ht="27.75" customHeight="1">
      <c r="A10" s="690"/>
      <c r="B10" s="691"/>
      <c r="C10" s="691"/>
      <c r="D10" s="698" t="s">
        <v>583</v>
      </c>
      <c r="E10" s="698"/>
      <c r="F10" s="698"/>
      <c r="G10" s="699" t="s">
        <v>584</v>
      </c>
      <c r="H10" s="700" t="s">
        <v>585</v>
      </c>
      <c r="I10" s="700"/>
      <c r="J10" s="682" t="s">
        <v>586</v>
      </c>
      <c r="K10" s="682"/>
      <c r="L10" s="682"/>
      <c r="M10" s="683" t="s">
        <v>587</v>
      </c>
      <c r="N10" s="683"/>
      <c r="O10" s="683"/>
      <c r="P10" s="684" t="s">
        <v>588</v>
      </c>
      <c r="Q10" s="684"/>
      <c r="R10" s="684"/>
      <c r="S10" s="685" t="s">
        <v>589</v>
      </c>
      <c r="T10" s="684" t="s">
        <v>590</v>
      </c>
      <c r="U10" s="684"/>
      <c r="V10" s="684"/>
      <c r="W10" s="693"/>
    </row>
    <row r="11" spans="1:25" s="17" customFormat="1" ht="69">
      <c r="A11" s="690"/>
      <c r="B11" s="449" t="s">
        <v>25</v>
      </c>
      <c r="C11" s="450" t="s">
        <v>26</v>
      </c>
      <c r="D11" s="451" t="s">
        <v>24</v>
      </c>
      <c r="E11" s="452" t="s">
        <v>591</v>
      </c>
      <c r="F11" s="453" t="s">
        <v>592</v>
      </c>
      <c r="G11" s="699"/>
      <c r="H11" s="454" t="s">
        <v>593</v>
      </c>
      <c r="I11" s="455" t="s">
        <v>594</v>
      </c>
      <c r="J11" s="456" t="s">
        <v>595</v>
      </c>
      <c r="K11" s="454" t="s">
        <v>33</v>
      </c>
      <c r="L11" s="457" t="s">
        <v>596</v>
      </c>
      <c r="M11" s="449" t="s">
        <v>597</v>
      </c>
      <c r="N11" s="452" t="s">
        <v>34</v>
      </c>
      <c r="O11" s="458" t="s">
        <v>598</v>
      </c>
      <c r="P11" s="449" t="s">
        <v>599</v>
      </c>
      <c r="Q11" s="452" t="s">
        <v>600</v>
      </c>
      <c r="R11" s="450" t="s">
        <v>601</v>
      </c>
      <c r="S11" s="685"/>
      <c r="T11" s="449" t="s">
        <v>602</v>
      </c>
      <c r="U11" s="452" t="s">
        <v>603</v>
      </c>
      <c r="V11" s="459" t="s">
        <v>604</v>
      </c>
      <c r="W11" s="693"/>
    </row>
    <row r="12" spans="1:25" s="17" customFormat="1" ht="15.75" customHeight="1">
      <c r="A12" s="679" t="str">
        <f>Dados!A7</f>
        <v>333903702</v>
      </c>
      <c r="B12" s="460" t="str">
        <f>Dados!C7</f>
        <v>Servente de Limpeza 40% Insalubridade</v>
      </c>
      <c r="C12" s="461">
        <f>Dados!D7</f>
        <v>200</v>
      </c>
      <c r="D12" s="462">
        <f>Dados!B7</f>
        <v>1</v>
      </c>
      <c r="E12" s="463">
        <f>'Servente Insalubre'!$F$45</f>
        <v>6501.79</v>
      </c>
      <c r="F12" s="464">
        <f>ROUND((D12*E12),2)</f>
        <v>6501.79</v>
      </c>
      <c r="G12" s="465">
        <f>'Servente Insalubre'!$I$45</f>
        <v>96.92</v>
      </c>
      <c r="H12" s="466">
        <f>'Ocorrências Mensais - FAT'!F11+'Ocorrências Mensais - FAT'!H11</f>
        <v>0</v>
      </c>
      <c r="I12" s="467">
        <f>(ROUND((G12/Dados!$G$33*H12)-(G12/'Ocorrências Mensais - FAT'!$E$5*'Ocorrências Mensais - FAT'!G11),2))</f>
        <v>0</v>
      </c>
      <c r="J12" s="468">
        <f>'Servente Insalubre'!$G$45</f>
        <v>5077.33</v>
      </c>
      <c r="K12" s="466">
        <f>'Ocorrências Mensais - FAT'!K11</f>
        <v>0</v>
      </c>
      <c r="L12" s="467">
        <f>J12/'Ocorrências Mensais - FAT'!$E$5*K12</f>
        <v>0</v>
      </c>
      <c r="M12" s="469">
        <f>'Custo Estimado Substituto'!$F$33</f>
        <v>4425.37</v>
      </c>
      <c r="N12" s="470">
        <f>'Ocorrências Mensais - FAT'!L11</f>
        <v>0</v>
      </c>
      <c r="O12" s="471">
        <f>M12/'Ocorrências Mensais - FAT'!$E$5*N12</f>
        <v>0</v>
      </c>
      <c r="P12" s="472">
        <f>'Servente Insalubre'!$H$45</f>
        <v>595.66</v>
      </c>
      <c r="Q12" s="473">
        <f>'Ocorrências Mensais - FAT'!M11</f>
        <v>0</v>
      </c>
      <c r="R12" s="471">
        <f>ROUND((P12/Dados!$G$36*Q12),2)</f>
        <v>0</v>
      </c>
      <c r="S12" s="474">
        <f>I12+L12+O12+R12</f>
        <v>0</v>
      </c>
      <c r="T12" s="475"/>
      <c r="U12" s="476"/>
      <c r="V12" s="477"/>
      <c r="W12" s="478">
        <f>ROUND((F12-S12+V12),2)</f>
        <v>6501.79</v>
      </c>
    </row>
    <row r="13" spans="1:25" s="17" customFormat="1" ht="15.6">
      <c r="A13" s="679"/>
      <c r="B13" s="460" t="str">
        <f>Dados!C8</f>
        <v>Servente de Limpeza acúmulo função Copeira</v>
      </c>
      <c r="C13" s="461">
        <f>Dados!D8</f>
        <v>200</v>
      </c>
      <c r="D13" s="462">
        <f>Dados!B8</f>
        <v>1</v>
      </c>
      <c r="E13" s="463">
        <f>'Servente acúmulo função Copeira'!$F$45</f>
        <v>5611.13</v>
      </c>
      <c r="F13" s="464">
        <f>ROUND((D13*E13),2)</f>
        <v>5611.13</v>
      </c>
      <c r="G13" s="479">
        <f>'Servente acúmulo função Copeira'!$I$45</f>
        <v>96.92</v>
      </c>
      <c r="H13" s="480">
        <f>'Ocorrências Mensais - FAT'!F12+'Ocorrências Mensais - FAT'!H12</f>
        <v>0</v>
      </c>
      <c r="I13" s="481">
        <f>(ROUND((G13/Dados!$G$33*H13)-(G13/'Ocorrências Mensais - FAT'!$E$5*'Ocorrências Mensais - FAT'!G12),2))</f>
        <v>0</v>
      </c>
      <c r="J13" s="482">
        <f>'Servente acúmulo função Copeira'!$G$45</f>
        <v>3926.54</v>
      </c>
      <c r="K13" s="480">
        <f>'Ocorrências Mensais - FAT'!K12</f>
        <v>0</v>
      </c>
      <c r="L13" s="481">
        <f>J13/'Ocorrências Mensais - FAT'!$E$5*K13</f>
        <v>0</v>
      </c>
      <c r="M13" s="482">
        <f>'Custo Estimado Substituto'!G33</f>
        <v>3425.24</v>
      </c>
      <c r="N13" s="480">
        <f>'Ocorrências Mensais - FAT'!L12</f>
        <v>0</v>
      </c>
      <c r="O13" s="483">
        <f>M13/'Ocorrências Mensais - FAT'!$E$5*N13</f>
        <v>0</v>
      </c>
      <c r="P13" s="484">
        <f>'Servente acúmulo função Copeira'!$H$45</f>
        <v>595.66</v>
      </c>
      <c r="Q13" s="485">
        <f>'Ocorrências Mensais - FAT'!M12</f>
        <v>0</v>
      </c>
      <c r="R13" s="483">
        <f>ROUND((P13/Dados!$G$36*Q13),2)</f>
        <v>0</v>
      </c>
      <c r="S13" s="486">
        <f>I13+L13+O13+R13</f>
        <v>0</v>
      </c>
      <c r="T13" s="479">
        <f>'Servente Insalubre'!$J$46</f>
        <v>41.63</v>
      </c>
      <c r="U13" s="485">
        <f>'Ocorrências Mensais - FAT'!N12</f>
        <v>0</v>
      </c>
      <c r="V13" s="487">
        <f>T13*U13</f>
        <v>0</v>
      </c>
      <c r="W13" s="478">
        <f>ROUND((F13-S13+V13),2)</f>
        <v>5611.13</v>
      </c>
    </row>
    <row r="14" spans="1:25" s="17" customFormat="1" ht="15.6">
      <c r="A14" s="488" t="str">
        <f>Dados!A9</f>
        <v>333903701</v>
      </c>
      <c r="B14" s="489" t="str">
        <f>Dados!C9</f>
        <v>Auxiliar Administrativo</v>
      </c>
      <c r="C14" s="490">
        <f>Dados!D9</f>
        <v>200</v>
      </c>
      <c r="D14" s="491">
        <f>Dados!B9</f>
        <v>3</v>
      </c>
      <c r="E14" s="492">
        <f>'Auxiliar Administrativo'!$F$45</f>
        <v>4709.8900000000003</v>
      </c>
      <c r="F14" s="493">
        <f>ROUND((D14*E14),2)</f>
        <v>14129.67</v>
      </c>
      <c r="G14" s="494">
        <f>'Auxiliar Administrativo'!$I$45</f>
        <v>72.09</v>
      </c>
      <c r="H14" s="495">
        <f>'Ocorrências Mensais - FAT'!F13+'Ocorrências Mensais - FAT'!H13</f>
        <v>0</v>
      </c>
      <c r="I14" s="496">
        <f>(ROUND((G14/Dados!$G$33*H14)-(G14/'Ocorrências Mensais - FAT'!$E$5*'Ocorrências Mensais - FAT'!G13),2))</f>
        <v>0</v>
      </c>
      <c r="J14" s="497">
        <f>'Auxiliar Administrativo'!$G$45</f>
        <v>4709.8900000000003</v>
      </c>
      <c r="K14" s="495">
        <f>'Ocorrências Mensais - FAT'!K13</f>
        <v>0</v>
      </c>
      <c r="L14" s="496">
        <f>J14/'Ocorrências Mensais - FAT'!$E$5*K14</f>
        <v>0</v>
      </c>
      <c r="M14" s="497">
        <f>'Custo Estimado Substituto'!M33</f>
        <v>3992.17</v>
      </c>
      <c r="N14" s="495">
        <f>'Ocorrências Mensais - FAT'!L13</f>
        <v>0</v>
      </c>
      <c r="O14" s="498">
        <f>M14/'Ocorrências Mensais - FAT'!$E$5*N14</f>
        <v>0</v>
      </c>
      <c r="P14" s="499">
        <f>'Auxiliar Administrativo'!$H$45</f>
        <v>609.54999999999995</v>
      </c>
      <c r="Q14" s="500">
        <f>'Ocorrências Mensais - FAT'!M13</f>
        <v>0</v>
      </c>
      <c r="R14" s="498">
        <f>ROUND((P14/Dados!$G$36*Q14),2)</f>
        <v>0</v>
      </c>
      <c r="S14" s="501">
        <f>I14+L14+O14+R14</f>
        <v>0</v>
      </c>
      <c r="T14" s="502"/>
      <c r="U14" s="503"/>
      <c r="V14" s="504"/>
      <c r="W14" s="505">
        <f>ROUND((F14-S14+V14),2)</f>
        <v>14129.67</v>
      </c>
    </row>
    <row r="15" spans="1:25" s="64" customFormat="1" ht="21.75" customHeight="1">
      <c r="A15" s="654" t="s">
        <v>605</v>
      </c>
      <c r="B15" s="654"/>
      <c r="C15" s="654"/>
      <c r="D15" s="506">
        <f>SUM(D12:D14)</f>
        <v>5</v>
      </c>
      <c r="E15" s="507"/>
      <c r="F15" s="508">
        <f>SUM(F12:F14)</f>
        <v>26242.59</v>
      </c>
      <c r="G15" s="509"/>
      <c r="H15" s="507">
        <f t="shared" ref="H15:O15" si="0">SUM(H12:H14)</f>
        <v>0</v>
      </c>
      <c r="I15" s="510">
        <f t="shared" si="0"/>
        <v>0</v>
      </c>
      <c r="J15" s="511">
        <f t="shared" si="0"/>
        <v>13713.759999999998</v>
      </c>
      <c r="K15" s="507">
        <f t="shared" si="0"/>
        <v>0</v>
      </c>
      <c r="L15" s="510">
        <f t="shared" si="0"/>
        <v>0</v>
      </c>
      <c r="M15" s="512">
        <f t="shared" si="0"/>
        <v>11842.779999999999</v>
      </c>
      <c r="N15" s="507">
        <f t="shared" si="0"/>
        <v>0</v>
      </c>
      <c r="O15" s="508">
        <f t="shared" si="0"/>
        <v>0</v>
      </c>
      <c r="P15" s="509"/>
      <c r="Q15" s="507">
        <f>SUM(Q12:Q14)</f>
        <v>0</v>
      </c>
      <c r="R15" s="508">
        <f>SUM(R12:R14)</f>
        <v>0</v>
      </c>
      <c r="S15" s="513">
        <f>SUM(S12:S14)</f>
        <v>0</v>
      </c>
      <c r="T15" s="514"/>
      <c r="U15" s="507">
        <f>SUM(U12:U14)</f>
        <v>0</v>
      </c>
      <c r="V15" s="510">
        <f>SUM(V12:V14)</f>
        <v>0</v>
      </c>
      <c r="W15" s="515">
        <f>SUM(W12:W14)</f>
        <v>26242.59</v>
      </c>
      <c r="X15" s="516" t="s">
        <v>606</v>
      </c>
      <c r="Y15" s="106"/>
    </row>
    <row r="16" spans="1:25" s="58" customFormat="1" ht="18" customHeight="1">
      <c r="A16" s="680" t="s">
        <v>607</v>
      </c>
      <c r="B16" s="680"/>
      <c r="C16" s="680"/>
      <c r="D16" s="680"/>
      <c r="E16" s="680"/>
      <c r="F16" s="680"/>
      <c r="G16" s="680"/>
      <c r="H16" s="680"/>
      <c r="I16" s="680"/>
      <c r="J16" s="680"/>
      <c r="K16" s="680"/>
      <c r="L16" s="680"/>
      <c r="M16" s="680"/>
      <c r="N16" s="680"/>
      <c r="O16" s="680"/>
      <c r="P16" s="680"/>
      <c r="Q16" s="680"/>
      <c r="R16" s="680"/>
      <c r="S16" s="680"/>
      <c r="T16" s="680"/>
      <c r="U16" s="680"/>
      <c r="V16" s="680"/>
      <c r="W16" s="517">
        <f>Materiais!K35+Materiais!K44</f>
        <v>2480.3066666666668</v>
      </c>
    </row>
    <row r="17" spans="1:23" s="58" customFormat="1" ht="20.25" customHeight="1">
      <c r="A17" s="680" t="s">
        <v>608</v>
      </c>
      <c r="B17" s="680"/>
      <c r="C17" s="680"/>
      <c r="D17" s="680"/>
      <c r="E17" s="680"/>
      <c r="F17" s="680"/>
      <c r="G17" s="680"/>
      <c r="H17" s="680"/>
      <c r="I17" s="680"/>
      <c r="J17" s="680"/>
      <c r="K17" s="680"/>
      <c r="L17" s="680"/>
      <c r="M17" s="680"/>
      <c r="N17" s="680"/>
      <c r="O17" s="680"/>
      <c r="P17" s="680"/>
      <c r="Q17" s="680"/>
      <c r="R17" s="680"/>
      <c r="S17" s="680"/>
      <c r="T17" s="680"/>
      <c r="U17" s="680"/>
      <c r="V17" s="680"/>
      <c r="W17" s="518">
        <f>W15*12</f>
        <v>314911.08</v>
      </c>
    </row>
    <row r="18" spans="1:23" s="69" customFormat="1" ht="24" customHeight="1">
      <c r="A18" s="681" t="s">
        <v>50</v>
      </c>
      <c r="B18" s="681"/>
      <c r="C18" s="681"/>
      <c r="D18" s="681"/>
      <c r="E18" s="681"/>
      <c r="F18" s="681"/>
      <c r="G18" s="681"/>
      <c r="H18" s="681"/>
      <c r="I18" s="681"/>
      <c r="J18" s="681"/>
      <c r="K18" s="681"/>
      <c r="L18" s="681"/>
      <c r="M18" s="681"/>
      <c r="N18" s="681"/>
      <c r="O18" s="681"/>
      <c r="P18" s="681"/>
      <c r="Q18" s="681"/>
      <c r="R18" s="681"/>
      <c r="S18" s="681"/>
      <c r="T18" s="681"/>
      <c r="U18" s="681"/>
      <c r="V18" s="681"/>
      <c r="W18" s="681"/>
    </row>
    <row r="19" spans="1:23" s="58" customFormat="1" ht="13.8">
      <c r="A19" s="676" t="str">
        <f>CONCATENATE("1. Nas FÉRIAS SEM SUBSTITUIÇÃO DA SERVENTE INSALUBRE, quando o trabalho de limpeza de banheiros públicos ou de grande circulação for efetuado por outra servente do quadro, deverá ser acrescentado o valor de R$",T13," por dia em que este fato ocorrer.")</f>
        <v>1. Nas FÉRIAS SEM SUBSTITUIÇÃO DA SERVENTE INSALUBRE, quando o trabalho de limpeza de banheiros públicos ou de grande circulação for efetuado por outra servente do quadro, deverá ser acrescentado o valor de R$41.63 por dia em que este fato ocorrer.</v>
      </c>
      <c r="B19" s="676"/>
      <c r="C19" s="676"/>
      <c r="D19" s="676"/>
      <c r="E19" s="676"/>
      <c r="F19" s="676"/>
      <c r="G19" s="676"/>
      <c r="H19" s="676"/>
      <c r="I19" s="676"/>
      <c r="J19" s="676"/>
      <c r="K19" s="676"/>
      <c r="L19" s="676"/>
      <c r="M19" s="676"/>
      <c r="N19" s="676"/>
      <c r="O19" s="676"/>
      <c r="P19" s="676"/>
      <c r="Q19" s="676"/>
      <c r="R19" s="676"/>
      <c r="S19" s="676"/>
      <c r="T19" s="676"/>
      <c r="U19" s="676"/>
      <c r="V19" s="676"/>
      <c r="W19" s="676"/>
    </row>
    <row r="20" spans="1:23" s="519" customFormat="1" ht="18.75" customHeight="1">
      <c r="A20" s="677" t="s">
        <v>657</v>
      </c>
      <c r="B20" s="677"/>
      <c r="C20" s="677"/>
      <c r="D20" s="677"/>
      <c r="E20" s="677"/>
      <c r="F20" s="677"/>
      <c r="G20" s="677"/>
      <c r="H20" s="677"/>
      <c r="I20" s="677"/>
      <c r="J20" s="677"/>
      <c r="K20" s="677"/>
      <c r="L20" s="677"/>
      <c r="M20" s="677"/>
      <c r="N20" s="677"/>
      <c r="O20" s="677"/>
      <c r="P20" s="677"/>
      <c r="Q20" s="677"/>
      <c r="R20" s="677"/>
      <c r="S20" s="677"/>
      <c r="T20" s="677"/>
      <c r="U20" s="677"/>
      <c r="V20" s="677"/>
      <c r="W20" s="677"/>
    </row>
    <row r="21" spans="1:23">
      <c r="A21" s="678"/>
      <c r="B21" s="678"/>
      <c r="C21" s="678"/>
      <c r="D21" s="678"/>
      <c r="E21" s="678"/>
      <c r="F21" s="678"/>
      <c r="G21" s="678"/>
      <c r="H21" s="678"/>
      <c r="I21" s="678"/>
      <c r="J21" s="678"/>
      <c r="K21" s="678"/>
      <c r="L21" s="678"/>
      <c r="M21" s="678"/>
      <c r="N21" s="678"/>
      <c r="O21" s="678"/>
      <c r="P21" s="678"/>
      <c r="Q21" s="678"/>
      <c r="R21" s="678"/>
      <c r="S21" s="678"/>
      <c r="T21" s="678"/>
      <c r="U21" s="678"/>
      <c r="V21" s="678"/>
      <c r="W21" s="678"/>
    </row>
    <row r="22" spans="1:23">
      <c r="A22" s="678"/>
      <c r="B22" s="678"/>
      <c r="C22" s="678"/>
      <c r="D22" s="678"/>
      <c r="E22" s="678"/>
      <c r="F22" s="678"/>
      <c r="G22" s="678"/>
      <c r="H22" s="678"/>
      <c r="I22" s="678"/>
      <c r="J22" s="678"/>
      <c r="K22" s="678"/>
      <c r="L22" s="678"/>
      <c r="M22" s="678"/>
      <c r="N22" s="678"/>
      <c r="O22" s="678"/>
      <c r="P22" s="678"/>
      <c r="Q22" s="678"/>
      <c r="R22" s="678"/>
      <c r="S22" s="678"/>
      <c r="T22" s="678"/>
      <c r="U22" s="678"/>
      <c r="V22" s="678"/>
      <c r="W22" s="678"/>
    </row>
  </sheetData>
  <sheetProtection algorithmName="SHA-512" hashValue="EglFO/oiERyc5QHjQjbCyjADWZllnwkzph27OSyRbYGU9zvPnfbduCkZwwCiso3lT1UxWX9xK6QxBJ4dr5rjpg==" saltValue="kUwQZ7H1EeagY5FVbWdxyQ==" spinCount="100000" sheet="1" objects="1" scenarios="1"/>
  <mergeCells count="30">
    <mergeCell ref="A4:W4"/>
    <mergeCell ref="A5:W5"/>
    <mergeCell ref="A6:W6"/>
    <mergeCell ref="S7:W7"/>
    <mergeCell ref="A8:A11"/>
    <mergeCell ref="B8:C10"/>
    <mergeCell ref="D8:V8"/>
    <mergeCell ref="W8:W11"/>
    <mergeCell ref="D9:F9"/>
    <mergeCell ref="G9:I9"/>
    <mergeCell ref="J9:O9"/>
    <mergeCell ref="P9:R9"/>
    <mergeCell ref="T9:V9"/>
    <mergeCell ref="D10:F10"/>
    <mergeCell ref="G10:G11"/>
    <mergeCell ref="H10:I10"/>
    <mergeCell ref="J10:L10"/>
    <mergeCell ref="M10:O10"/>
    <mergeCell ref="P10:R10"/>
    <mergeCell ref="S10:S11"/>
    <mergeCell ref="T10:V10"/>
    <mergeCell ref="A19:W19"/>
    <mergeCell ref="A20:W20"/>
    <mergeCell ref="A21:W21"/>
    <mergeCell ref="A22:W22"/>
    <mergeCell ref="A12:A13"/>
    <mergeCell ref="A15:C15"/>
    <mergeCell ref="A16:V16"/>
    <mergeCell ref="A17:V17"/>
    <mergeCell ref="A18:W18"/>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colBreaks count="1" manualBreakCount="1">
    <brk id="23" max="1048575" man="1"/>
  </colBreaks>
  <drawing r:id="rId1"/>
</worksheet>
</file>

<file path=xl/worksheets/sheet14.xml><?xml version="1.0" encoding="utf-8"?>
<worksheet xmlns="http://schemas.openxmlformats.org/spreadsheetml/2006/main" xmlns:r="http://schemas.openxmlformats.org/officeDocument/2006/relationships">
  <dimension ref="A1:H75"/>
  <sheetViews>
    <sheetView zoomScale="95" zoomScaleNormal="95" workbookViewId="0">
      <selection activeCell="C21" sqref="C21"/>
    </sheetView>
  </sheetViews>
  <sheetFormatPr defaultRowHeight="14.4"/>
  <cols>
    <col min="1" max="1" width="8.6640625" customWidth="1"/>
    <col min="2" max="2" width="85.33203125" customWidth="1"/>
    <col min="3" max="3" width="25.5546875" customWidth="1"/>
    <col min="4" max="1025" width="8.6640625" customWidth="1"/>
  </cols>
  <sheetData>
    <row r="1" spans="1:3">
      <c r="B1" s="438" t="str">
        <f>INSTRUÇÕES!B1</f>
        <v>Tribunal Regional Federal da 6ª Região</v>
      </c>
    </row>
    <row r="2" spans="1:3">
      <c r="B2" s="114" t="str">
        <f>INSTRUÇÕES!B2</f>
        <v>Seção Judiciária de Minas Gerais</v>
      </c>
    </row>
    <row r="3" spans="1:3">
      <c r="B3" s="114" t="str">
        <f>INSTRUÇÕES!B3</f>
        <v>Subseção Judiciária de Divinópolis</v>
      </c>
    </row>
    <row r="5" spans="1:3" ht="27.6" customHeight="1">
      <c r="A5" s="609" t="s">
        <v>609</v>
      </c>
      <c r="B5" s="609"/>
      <c r="C5" s="210" t="s">
        <v>610</v>
      </c>
    </row>
    <row r="6" spans="1:3">
      <c r="A6" s="319" t="str">
        <f>Dados!C7</f>
        <v>Servente de Limpeza 40% Insalubridade</v>
      </c>
      <c r="B6" s="319"/>
      <c r="C6" s="520">
        <v>1526.8</v>
      </c>
    </row>
    <row r="7" spans="1:3">
      <c r="A7" s="319" t="str">
        <f>Dados!C8</f>
        <v>Servente de Limpeza acúmulo função Copeira</v>
      </c>
      <c r="B7" s="319"/>
      <c r="C7" s="520">
        <v>1526.8</v>
      </c>
    </row>
    <row r="8" spans="1:3">
      <c r="A8" s="319" t="str">
        <f>Dados!C9</f>
        <v>Auxiliar Administrativo</v>
      </c>
      <c r="B8" s="319"/>
      <c r="C8" s="520">
        <v>1914</v>
      </c>
    </row>
    <row r="9" spans="1:3" ht="14.4" customHeight="1">
      <c r="A9" s="609" t="s">
        <v>611</v>
      </c>
      <c r="B9" s="609"/>
      <c r="C9" s="319">
        <v>3.65</v>
      </c>
    </row>
    <row r="11" spans="1:3" ht="14.4" customHeight="1">
      <c r="A11" s="609" t="s">
        <v>612</v>
      </c>
      <c r="B11" s="609"/>
      <c r="C11" s="521">
        <v>0.03</v>
      </c>
    </row>
    <row r="12" spans="1:3" ht="14.4" customHeight="1">
      <c r="A12" s="609" t="s">
        <v>613</v>
      </c>
      <c r="B12" s="609"/>
      <c r="C12" s="521">
        <v>0.05</v>
      </c>
    </row>
    <row r="14" spans="1:3" ht="14.4" customHeight="1">
      <c r="A14" s="609" t="s">
        <v>614</v>
      </c>
      <c r="B14" s="609"/>
      <c r="C14" s="609"/>
    </row>
    <row r="15" spans="1:3">
      <c r="A15" s="702" t="s">
        <v>615</v>
      </c>
      <c r="B15" s="702"/>
      <c r="C15" s="338">
        <v>0.3</v>
      </c>
    </row>
    <row r="16" spans="1:3">
      <c r="A16" s="702" t="s">
        <v>616</v>
      </c>
      <c r="B16" s="702"/>
      <c r="C16" s="39" t="s">
        <v>617</v>
      </c>
    </row>
    <row r="18" spans="1:3" ht="14.4" customHeight="1">
      <c r="A18" s="703" t="s">
        <v>57</v>
      </c>
      <c r="B18" s="609" t="s">
        <v>369</v>
      </c>
      <c r="C18" s="609"/>
    </row>
    <row r="19" spans="1:3">
      <c r="A19" s="703"/>
      <c r="B19" s="609"/>
      <c r="C19" s="609"/>
    </row>
    <row r="20" spans="1:3">
      <c r="A20" s="703"/>
      <c r="B20" s="210" t="s">
        <v>62</v>
      </c>
      <c r="C20" s="212" t="s">
        <v>373</v>
      </c>
    </row>
    <row r="21" spans="1:3" ht="56.1" customHeight="1">
      <c r="A21" s="313">
        <v>1</v>
      </c>
      <c r="B21" s="522" t="s">
        <v>376</v>
      </c>
      <c r="C21" s="523">
        <v>51.61</v>
      </c>
    </row>
    <row r="22" spans="1:3" ht="28.8">
      <c r="A22" s="313">
        <v>2</v>
      </c>
      <c r="B22" s="522" t="s">
        <v>380</v>
      </c>
      <c r="C22" s="523">
        <v>6.04</v>
      </c>
    </row>
    <row r="23" spans="1:3">
      <c r="A23" s="313">
        <v>3</v>
      </c>
      <c r="B23" s="522" t="s">
        <v>382</v>
      </c>
      <c r="C23" s="523">
        <v>7.43</v>
      </c>
    </row>
    <row r="24" spans="1:3" ht="28.8">
      <c r="A24" s="313">
        <v>4</v>
      </c>
      <c r="B24" s="522" t="s">
        <v>384</v>
      </c>
      <c r="C24" s="523">
        <v>14.68</v>
      </c>
    </row>
    <row r="25" spans="1:3" ht="86.4">
      <c r="A25" s="313">
        <v>5</v>
      </c>
      <c r="B25" s="522" t="s">
        <v>387</v>
      </c>
      <c r="C25" s="523">
        <v>4.91</v>
      </c>
    </row>
    <row r="26" spans="1:3" ht="28.8">
      <c r="A26" s="313">
        <v>6</v>
      </c>
      <c r="B26" s="522" t="s">
        <v>388</v>
      </c>
      <c r="C26" s="523">
        <v>21.67</v>
      </c>
    </row>
    <row r="27" spans="1:3">
      <c r="A27" s="313">
        <v>7</v>
      </c>
      <c r="B27" s="522" t="s">
        <v>389</v>
      </c>
      <c r="C27" s="523">
        <v>16.66</v>
      </c>
    </row>
    <row r="28" spans="1:3">
      <c r="A28" s="313">
        <v>8</v>
      </c>
      <c r="B28" s="522" t="s">
        <v>391</v>
      </c>
      <c r="C28" s="523">
        <v>35.270000000000003</v>
      </c>
    </row>
    <row r="29" spans="1:3" ht="43.2">
      <c r="A29" s="313">
        <v>9</v>
      </c>
      <c r="B29" s="522" t="s">
        <v>393</v>
      </c>
      <c r="C29" s="523">
        <v>4.62</v>
      </c>
    </row>
    <row r="30" spans="1:3" ht="28.8">
      <c r="A30" s="313">
        <v>10</v>
      </c>
      <c r="B30" s="522" t="s">
        <v>395</v>
      </c>
      <c r="C30" s="523">
        <v>11.75</v>
      </c>
    </row>
    <row r="31" spans="1:3" ht="43.2">
      <c r="A31" s="313">
        <v>11</v>
      </c>
      <c r="B31" s="522" t="s">
        <v>397</v>
      </c>
      <c r="C31" s="523">
        <v>4.6399999999999997</v>
      </c>
    </row>
    <row r="32" spans="1:3" ht="28.8">
      <c r="A32" s="313">
        <v>12</v>
      </c>
      <c r="B32" s="522" t="s">
        <v>400</v>
      </c>
      <c r="C32" s="523">
        <v>2.67</v>
      </c>
    </row>
    <row r="33" spans="1:8" ht="100.8">
      <c r="A33" s="313">
        <v>13</v>
      </c>
      <c r="B33" s="522" t="s">
        <v>402</v>
      </c>
      <c r="C33" s="523">
        <v>4.13</v>
      </c>
    </row>
    <row r="34" spans="1:8">
      <c r="A34" s="313">
        <v>14</v>
      </c>
      <c r="B34" s="522" t="s">
        <v>404</v>
      </c>
      <c r="C34" s="523">
        <v>17.64</v>
      </c>
    </row>
    <row r="35" spans="1:8" ht="43.2">
      <c r="A35" s="313">
        <v>15</v>
      </c>
      <c r="B35" s="522" t="s">
        <v>406</v>
      </c>
      <c r="C35" s="523">
        <v>14.16</v>
      </c>
    </row>
    <row r="36" spans="1:8" ht="43.2">
      <c r="A36" s="313">
        <v>16</v>
      </c>
      <c r="B36" s="522" t="s">
        <v>409</v>
      </c>
      <c r="C36" s="523">
        <v>6.35</v>
      </c>
    </row>
    <row r="37" spans="1:8" ht="43.2">
      <c r="A37" s="313">
        <v>17</v>
      </c>
      <c r="B37" s="522" t="s">
        <v>412</v>
      </c>
      <c r="C37" s="523">
        <v>25.26</v>
      </c>
    </row>
    <row r="38" spans="1:8" ht="28.8">
      <c r="A38" s="313">
        <v>18</v>
      </c>
      <c r="B38" s="522" t="s">
        <v>414</v>
      </c>
      <c r="C38" s="523">
        <v>3.52</v>
      </c>
    </row>
    <row r="39" spans="1:8" ht="43.2">
      <c r="A39" s="313">
        <v>19</v>
      </c>
      <c r="B39" s="522" t="s">
        <v>416</v>
      </c>
      <c r="C39" s="523">
        <v>14.95</v>
      </c>
    </row>
    <row r="40" spans="1:8">
      <c r="A40" s="313">
        <v>20</v>
      </c>
      <c r="B40" s="522" t="s">
        <v>418</v>
      </c>
      <c r="C40" s="523">
        <v>10.25</v>
      </c>
    </row>
    <row r="41" spans="1:8" ht="28.8">
      <c r="A41" s="313">
        <v>21</v>
      </c>
      <c r="B41" s="522" t="s">
        <v>420</v>
      </c>
      <c r="C41" s="523">
        <v>16.27</v>
      </c>
    </row>
    <row r="42" spans="1:8" ht="28.8">
      <c r="A42" s="313">
        <v>22</v>
      </c>
      <c r="B42" s="522" t="s">
        <v>423</v>
      </c>
      <c r="C42" s="523">
        <v>20.52</v>
      </c>
    </row>
    <row r="43" spans="1:8" ht="28.8">
      <c r="A43" s="313">
        <v>23</v>
      </c>
      <c r="B43" s="522" t="s">
        <v>425</v>
      </c>
      <c r="C43" s="523">
        <v>10.85</v>
      </c>
    </row>
    <row r="44" spans="1:8" ht="43.2">
      <c r="A44" s="313">
        <v>24</v>
      </c>
      <c r="B44" s="522" t="s">
        <v>427</v>
      </c>
      <c r="C44" s="523">
        <v>59.17</v>
      </c>
    </row>
    <row r="45" spans="1:8" ht="43.2">
      <c r="A45" s="313">
        <v>25</v>
      </c>
      <c r="B45" s="522" t="s">
        <v>429</v>
      </c>
      <c r="C45" s="523">
        <v>16.100000000000001</v>
      </c>
    </row>
    <row r="46" spans="1:8" ht="28.8">
      <c r="A46" s="313">
        <v>26</v>
      </c>
      <c r="B46" s="522" t="s">
        <v>431</v>
      </c>
      <c r="C46" s="523">
        <v>17.61</v>
      </c>
    </row>
    <row r="48" spans="1:8" ht="18">
      <c r="A48" s="704" t="s">
        <v>618</v>
      </c>
      <c r="B48" s="704"/>
      <c r="C48" s="704"/>
      <c r="D48" s="524"/>
      <c r="E48" s="524"/>
      <c r="F48" s="524"/>
      <c r="G48" s="524"/>
      <c r="H48" s="524"/>
    </row>
    <row r="50" spans="1:6" ht="14.4" customHeight="1">
      <c r="A50" s="608" t="s">
        <v>57</v>
      </c>
      <c r="B50" s="609" t="s">
        <v>369</v>
      </c>
      <c r="C50" s="609"/>
    </row>
    <row r="51" spans="1:6">
      <c r="A51" s="608"/>
      <c r="B51" s="609"/>
      <c r="C51" s="609"/>
    </row>
    <row r="52" spans="1:6">
      <c r="A52" s="608"/>
      <c r="B52" s="210" t="s">
        <v>62</v>
      </c>
      <c r="C52" s="212" t="s">
        <v>373</v>
      </c>
    </row>
    <row r="53" spans="1:6" ht="57.6">
      <c r="A53" s="313">
        <v>1</v>
      </c>
      <c r="B53" s="522" t="s">
        <v>435</v>
      </c>
      <c r="C53" s="523">
        <v>5.23</v>
      </c>
    </row>
    <row r="54" spans="1:6" ht="57.6">
      <c r="A54" s="313">
        <v>2</v>
      </c>
      <c r="B54" s="522" t="s">
        <v>438</v>
      </c>
      <c r="C54" s="523">
        <v>6.3</v>
      </c>
    </row>
    <row r="55" spans="1:6">
      <c r="A55" s="313">
        <v>3</v>
      </c>
      <c r="B55" s="522" t="s">
        <v>440</v>
      </c>
      <c r="C55" s="523">
        <v>6.89</v>
      </c>
    </row>
    <row r="57" spans="1:6">
      <c r="A57" s="210" t="s">
        <v>444</v>
      </c>
      <c r="B57" s="210" t="s">
        <v>445</v>
      </c>
      <c r="C57" s="210" t="s">
        <v>373</v>
      </c>
    </row>
    <row r="58" spans="1:6" ht="28.8">
      <c r="A58" s="313">
        <v>1</v>
      </c>
      <c r="B58" s="522" t="s">
        <v>452</v>
      </c>
      <c r="C58" s="313">
        <v>50.05</v>
      </c>
    </row>
    <row r="60" spans="1:6" ht="15.6">
      <c r="A60" s="701" t="s">
        <v>619</v>
      </c>
      <c r="B60" s="701"/>
      <c r="C60" s="701"/>
      <c r="D60" s="525"/>
      <c r="E60" s="525"/>
      <c r="F60" s="525"/>
    </row>
    <row r="61" spans="1:6">
      <c r="A61" s="210" t="s">
        <v>444</v>
      </c>
      <c r="B61" s="210" t="s">
        <v>445</v>
      </c>
      <c r="C61" s="210" t="s">
        <v>373</v>
      </c>
    </row>
    <row r="62" spans="1:6" ht="41.4">
      <c r="A62" s="39" t="s">
        <v>468</v>
      </c>
      <c r="B62" s="317" t="s">
        <v>620</v>
      </c>
      <c r="C62" s="313">
        <v>74.430000000000007</v>
      </c>
    </row>
    <row r="63" spans="1:6" ht="110.4">
      <c r="A63" s="39" t="s">
        <v>621</v>
      </c>
      <c r="B63" s="75" t="s">
        <v>622</v>
      </c>
      <c r="C63" s="313">
        <v>47.42</v>
      </c>
    </row>
    <row r="64" spans="1:6" ht="27.6">
      <c r="A64" s="39" t="s">
        <v>474</v>
      </c>
      <c r="B64" s="75" t="s">
        <v>623</v>
      </c>
      <c r="C64" s="313">
        <v>72.13</v>
      </c>
    </row>
    <row r="65" spans="1:3" ht="46.5" customHeight="1">
      <c r="A65" s="39" t="s">
        <v>477</v>
      </c>
      <c r="B65" s="526" t="s">
        <v>478</v>
      </c>
      <c r="C65" s="313">
        <v>139.85</v>
      </c>
    </row>
    <row r="66" spans="1:3">
      <c r="A66" s="701" t="s">
        <v>624</v>
      </c>
      <c r="B66" s="701"/>
      <c r="C66" s="701"/>
    </row>
    <row r="67" spans="1:3">
      <c r="A67" s="210" t="s">
        <v>444</v>
      </c>
      <c r="B67" s="210" t="s">
        <v>445</v>
      </c>
      <c r="C67" s="210" t="s">
        <v>373</v>
      </c>
    </row>
    <row r="68" spans="1:3" ht="55.2">
      <c r="A68" s="39" t="s">
        <v>483</v>
      </c>
      <c r="B68" s="75" t="s">
        <v>625</v>
      </c>
      <c r="C68" s="313">
        <v>30.82</v>
      </c>
    </row>
    <row r="69" spans="1:3" ht="41.4">
      <c r="A69" s="39" t="s">
        <v>486</v>
      </c>
      <c r="B69" s="223" t="s">
        <v>487</v>
      </c>
      <c r="C69" s="313">
        <v>13.33</v>
      </c>
    </row>
    <row r="70" spans="1:3">
      <c r="A70" s="701" t="s">
        <v>626</v>
      </c>
      <c r="B70" s="701"/>
      <c r="C70" s="701"/>
    </row>
    <row r="71" spans="1:3">
      <c r="A71" s="210" t="s">
        <v>444</v>
      </c>
      <c r="B71" s="210" t="s">
        <v>445</v>
      </c>
      <c r="C71" s="210" t="s">
        <v>373</v>
      </c>
    </row>
    <row r="72" spans="1:3" ht="201.6">
      <c r="A72" s="39" t="s">
        <v>468</v>
      </c>
      <c r="B72" s="522" t="s">
        <v>627</v>
      </c>
      <c r="C72" s="313">
        <v>100.44</v>
      </c>
    </row>
    <row r="73" spans="1:3" ht="187.2">
      <c r="A73" s="39" t="s">
        <v>621</v>
      </c>
      <c r="B73" s="522" t="s">
        <v>628</v>
      </c>
      <c r="C73" s="313">
        <v>103.32</v>
      </c>
    </row>
    <row r="74" spans="1:3" ht="86.4">
      <c r="A74" s="39" t="s">
        <v>474</v>
      </c>
      <c r="B74" s="522" t="s">
        <v>629</v>
      </c>
      <c r="C74" s="313">
        <v>81.349999999999994</v>
      </c>
    </row>
    <row r="75" spans="1:3" ht="55.2">
      <c r="A75" s="39" t="s">
        <v>477</v>
      </c>
      <c r="B75" s="526" t="s">
        <v>478</v>
      </c>
      <c r="C75" s="313">
        <v>139.85</v>
      </c>
    </row>
  </sheetData>
  <sheetProtection algorithmName="SHA-512" hashValue="yss3ZCWl19cV8R4KiRNvU3Cl0IIvTHzZ8VRo6ERZ/+milIcpqebVPu6C9wxh9u0mxsN7E1+c+sL0yN9ccSSr2w==" saltValue="ZelQ9gXvFapXoeNIJLksKw==" spinCount="100000" sheet="1" objects="1" scenarios="1"/>
  <mergeCells count="15">
    <mergeCell ref="A5:B5"/>
    <mergeCell ref="A9:B9"/>
    <mergeCell ref="A11:B11"/>
    <mergeCell ref="A12:B12"/>
    <mergeCell ref="A14:C14"/>
    <mergeCell ref="A15:B15"/>
    <mergeCell ref="A16:B16"/>
    <mergeCell ref="A18:A20"/>
    <mergeCell ref="B18:C19"/>
    <mergeCell ref="A48:C48"/>
    <mergeCell ref="A50:A52"/>
    <mergeCell ref="B50:C51"/>
    <mergeCell ref="A60:C60"/>
    <mergeCell ref="A66:C66"/>
    <mergeCell ref="A70:C70"/>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5.xml><?xml version="1.0" encoding="utf-8"?>
<worksheet xmlns="http://schemas.openxmlformats.org/spreadsheetml/2006/main" xmlns:r="http://schemas.openxmlformats.org/officeDocument/2006/relationships">
  <sheetPr>
    <pageSetUpPr fitToPage="1"/>
  </sheetPr>
  <dimension ref="A1:AI23"/>
  <sheetViews>
    <sheetView showGridLines="0" zoomScale="95" zoomScaleNormal="95" workbookViewId="0"/>
  </sheetViews>
  <sheetFormatPr defaultRowHeight="14.4"/>
  <cols>
    <col min="1" max="1" width="7.88671875" customWidth="1"/>
    <col min="2" max="2" width="7.33203125" customWidth="1"/>
    <col min="3" max="3" width="4.44140625" customWidth="1"/>
    <col min="4" max="4" width="7.5546875" customWidth="1"/>
    <col min="5" max="5" width="5.44140625" customWidth="1"/>
    <col min="6" max="6" width="8.33203125" customWidth="1"/>
    <col min="7" max="7" width="7.44140625" customWidth="1"/>
    <col min="8" max="8" width="3.33203125" customWidth="1"/>
    <col min="9" max="9" width="7.33203125" customWidth="1"/>
    <col min="10" max="10" width="4.44140625" customWidth="1"/>
    <col min="11" max="11" width="7.5546875" customWidth="1"/>
    <col min="12" max="12" width="5.44140625" customWidth="1"/>
    <col min="13" max="13" width="8.33203125" customWidth="1"/>
    <col min="14" max="14" width="7.44140625" customWidth="1"/>
    <col min="15" max="15" width="3" customWidth="1"/>
    <col min="16" max="16" width="7.33203125" customWidth="1"/>
    <col min="17" max="17" width="4.44140625" customWidth="1"/>
    <col min="18" max="18" width="7.5546875" customWidth="1"/>
    <col min="19" max="19" width="5.44140625" customWidth="1"/>
    <col min="20" max="20" width="8.33203125" customWidth="1"/>
    <col min="21" max="21" width="7.44140625" customWidth="1"/>
    <col min="22" max="22" width="3" customWidth="1"/>
    <col min="23" max="23" width="7.33203125" customWidth="1"/>
    <col min="24" max="24" width="4.44140625" customWidth="1"/>
    <col min="25" max="25" width="7.5546875" customWidth="1"/>
    <col min="26" max="26" width="5.44140625" customWidth="1"/>
    <col min="27" max="27" width="8.33203125" customWidth="1"/>
    <col min="28" max="28" width="7.44140625" customWidth="1"/>
    <col min="29" max="29" width="3" customWidth="1"/>
    <col min="30" max="30" width="7.33203125" customWidth="1"/>
    <col min="31" max="31" width="4.44140625" customWidth="1"/>
    <col min="32" max="256" width="8.6640625" customWidth="1"/>
    <col min="257" max="257" width="1.44140625" customWidth="1"/>
    <col min="258" max="258" width="7.33203125" customWidth="1"/>
    <col min="259" max="259" width="4.44140625" customWidth="1"/>
    <col min="260" max="260" width="7.5546875" customWidth="1"/>
    <col min="261" max="261" width="5.44140625" customWidth="1"/>
    <col min="262" max="262" width="8.33203125" customWidth="1"/>
    <col min="263" max="263" width="7.44140625" customWidth="1"/>
    <col min="264" max="264" width="3.33203125" customWidth="1"/>
    <col min="265" max="265" width="7.33203125" customWidth="1"/>
    <col min="266" max="266" width="4.44140625" customWidth="1"/>
    <col min="267" max="267" width="7.5546875" customWidth="1"/>
    <col min="268" max="268" width="5.44140625" customWidth="1"/>
    <col min="269" max="269" width="8.33203125" customWidth="1"/>
    <col min="270" max="270" width="7.44140625" customWidth="1"/>
    <col min="271" max="271" width="3" customWidth="1"/>
    <col min="272" max="272" width="7.33203125" customWidth="1"/>
    <col min="273" max="273" width="4.44140625" customWidth="1"/>
    <col min="274" max="274" width="7.5546875" customWidth="1"/>
    <col min="275" max="275" width="5.44140625" customWidth="1"/>
    <col min="276" max="276" width="8.33203125" customWidth="1"/>
    <col min="277" max="277" width="7.44140625" customWidth="1"/>
    <col min="278" max="278" width="3" customWidth="1"/>
    <col min="279" max="279" width="7.33203125" customWidth="1"/>
    <col min="280" max="280" width="4.44140625" customWidth="1"/>
    <col min="281" max="281" width="7.5546875" customWidth="1"/>
    <col min="282" max="282" width="5.44140625" customWidth="1"/>
    <col min="283" max="283" width="8.33203125" customWidth="1"/>
    <col min="284" max="284" width="7.44140625" customWidth="1"/>
    <col min="285" max="285" width="3" customWidth="1"/>
    <col min="286" max="286" width="7.33203125" customWidth="1"/>
    <col min="287" max="287" width="4.44140625" customWidth="1"/>
    <col min="288" max="512" width="8.6640625" customWidth="1"/>
    <col min="513" max="513" width="1.44140625" customWidth="1"/>
    <col min="514" max="514" width="7.33203125" customWidth="1"/>
    <col min="515" max="515" width="4.44140625" customWidth="1"/>
    <col min="516" max="516" width="7.5546875" customWidth="1"/>
    <col min="517" max="517" width="5.44140625" customWidth="1"/>
    <col min="518" max="518" width="8.33203125" customWidth="1"/>
    <col min="519" max="519" width="7.44140625" customWidth="1"/>
    <col min="520" max="520" width="3.33203125" customWidth="1"/>
    <col min="521" max="521" width="7.33203125" customWidth="1"/>
    <col min="522" max="522" width="4.44140625" customWidth="1"/>
    <col min="523" max="523" width="7.5546875" customWidth="1"/>
    <col min="524" max="524" width="5.44140625" customWidth="1"/>
    <col min="525" max="525" width="8.33203125" customWidth="1"/>
    <col min="526" max="526" width="7.44140625" customWidth="1"/>
    <col min="527" max="527" width="3" customWidth="1"/>
    <col min="528" max="528" width="7.33203125" customWidth="1"/>
    <col min="529" max="529" width="4.44140625" customWidth="1"/>
    <col min="530" max="530" width="7.5546875" customWidth="1"/>
    <col min="531" max="531" width="5.44140625" customWidth="1"/>
    <col min="532" max="532" width="8.33203125" customWidth="1"/>
    <col min="533" max="533" width="7.44140625" customWidth="1"/>
    <col min="534" max="534" width="3" customWidth="1"/>
    <col min="535" max="535" width="7.33203125" customWidth="1"/>
    <col min="536" max="536" width="4.44140625" customWidth="1"/>
    <col min="537" max="537" width="7.5546875" customWidth="1"/>
    <col min="538" max="538" width="5.44140625" customWidth="1"/>
    <col min="539" max="539" width="8.33203125" customWidth="1"/>
    <col min="540" max="540" width="7.44140625" customWidth="1"/>
    <col min="541" max="541" width="3" customWidth="1"/>
    <col min="542" max="542" width="7.33203125" customWidth="1"/>
    <col min="543" max="543" width="4.44140625" customWidth="1"/>
    <col min="544" max="768" width="8.6640625" customWidth="1"/>
    <col min="769" max="769" width="1.44140625" customWidth="1"/>
    <col min="770" max="770" width="7.33203125" customWidth="1"/>
    <col min="771" max="771" width="4.44140625" customWidth="1"/>
    <col min="772" max="772" width="7.5546875" customWidth="1"/>
    <col min="773" max="773" width="5.44140625" customWidth="1"/>
    <col min="774" max="774" width="8.33203125" customWidth="1"/>
    <col min="775" max="775" width="7.44140625" customWidth="1"/>
    <col min="776" max="776" width="3.33203125" customWidth="1"/>
    <col min="777" max="777" width="7.33203125" customWidth="1"/>
    <col min="778" max="778" width="4.44140625" customWidth="1"/>
    <col min="779" max="779" width="7.5546875" customWidth="1"/>
    <col min="780" max="780" width="5.44140625" customWidth="1"/>
    <col min="781" max="781" width="8.33203125" customWidth="1"/>
    <col min="782" max="782" width="7.44140625" customWidth="1"/>
    <col min="783" max="783" width="3" customWidth="1"/>
    <col min="784" max="784" width="7.33203125" customWidth="1"/>
    <col min="785" max="785" width="4.44140625" customWidth="1"/>
    <col min="786" max="786" width="7.5546875" customWidth="1"/>
    <col min="787" max="787" width="5.44140625" customWidth="1"/>
    <col min="788" max="788" width="8.33203125" customWidth="1"/>
    <col min="789" max="789" width="7.44140625" customWidth="1"/>
    <col min="790" max="790" width="3" customWidth="1"/>
    <col min="791" max="791" width="7.33203125" customWidth="1"/>
    <col min="792" max="792" width="4.44140625" customWidth="1"/>
    <col min="793" max="793" width="7.5546875" customWidth="1"/>
    <col min="794" max="794" width="5.44140625" customWidth="1"/>
    <col min="795" max="795" width="8.33203125" customWidth="1"/>
    <col min="796" max="796" width="7.44140625" customWidth="1"/>
    <col min="797" max="797" width="3" customWidth="1"/>
    <col min="798" max="798" width="7.33203125" customWidth="1"/>
    <col min="799" max="799" width="4.44140625" customWidth="1"/>
    <col min="800" max="1025" width="8.6640625" customWidth="1"/>
  </cols>
  <sheetData>
    <row r="1" spans="1:35">
      <c r="A1" s="100"/>
      <c r="B1" s="100" t="s">
        <v>88</v>
      </c>
    </row>
    <row r="2" spans="1:35">
      <c r="A2" s="100"/>
      <c r="B2" s="100" t="s">
        <v>89</v>
      </c>
    </row>
    <row r="3" spans="1:35">
      <c r="A3" s="330"/>
      <c r="B3" s="69" t="s">
        <v>630</v>
      </c>
    </row>
    <row r="4" spans="1:35" ht="6" customHeight="1"/>
    <row r="5" spans="1:35" ht="6" customHeight="1"/>
    <row r="6" spans="1:35" ht="15.75" customHeight="1">
      <c r="B6" s="707" t="s">
        <v>260</v>
      </c>
      <c r="C6" s="707"/>
      <c r="D6" s="707"/>
      <c r="E6" s="707"/>
      <c r="F6" s="707"/>
      <c r="G6" s="707"/>
      <c r="I6" s="707" t="s">
        <v>264</v>
      </c>
      <c r="J6" s="707"/>
      <c r="K6" s="707"/>
      <c r="L6" s="707"/>
      <c r="M6" s="707"/>
      <c r="N6" s="707"/>
      <c r="P6" s="707" t="s">
        <v>265</v>
      </c>
      <c r="Q6" s="707"/>
      <c r="R6" s="707"/>
      <c r="S6" s="707"/>
      <c r="T6" s="707"/>
      <c r="U6" s="707"/>
      <c r="W6" s="707" t="s">
        <v>266</v>
      </c>
      <c r="X6" s="707"/>
      <c r="Y6" s="707"/>
      <c r="Z6" s="707"/>
      <c r="AA6" s="707"/>
      <c r="AB6" s="707"/>
      <c r="AD6" s="707" t="s">
        <v>267</v>
      </c>
      <c r="AE6" s="707"/>
      <c r="AF6" s="707"/>
      <c r="AG6" s="707"/>
      <c r="AH6" s="707"/>
      <c r="AI6" s="707"/>
    </row>
    <row r="7" spans="1:35">
      <c r="B7" s="527" t="s">
        <v>631</v>
      </c>
      <c r="C7" s="706"/>
      <c r="D7" s="706"/>
      <c r="E7" s="706"/>
      <c r="F7" s="706"/>
      <c r="G7" s="706"/>
      <c r="I7" s="527" t="s">
        <v>631</v>
      </c>
      <c r="J7" s="706"/>
      <c r="K7" s="706"/>
      <c r="L7" s="706"/>
      <c r="M7" s="706"/>
      <c r="N7" s="706"/>
      <c r="P7" s="527" t="s">
        <v>631</v>
      </c>
      <c r="Q7" s="706"/>
      <c r="R7" s="706"/>
      <c r="S7" s="706"/>
      <c r="T7" s="706"/>
      <c r="U7" s="706"/>
      <c r="W7" s="527" t="s">
        <v>631</v>
      </c>
      <c r="X7" s="706"/>
      <c r="Y7" s="706"/>
      <c r="Z7" s="706"/>
      <c r="AA7" s="706"/>
      <c r="AB7" s="706"/>
      <c r="AD7" s="527" t="s">
        <v>631</v>
      </c>
      <c r="AE7" s="706"/>
      <c r="AF7" s="706"/>
      <c r="AG7" s="706"/>
      <c r="AH7" s="706"/>
      <c r="AI7" s="706"/>
    </row>
    <row r="8" spans="1:35" ht="25.5" customHeight="1">
      <c r="B8" s="611" t="s">
        <v>632</v>
      </c>
      <c r="C8" s="611"/>
      <c r="D8" s="211" t="s">
        <v>633</v>
      </c>
      <c r="E8" s="211" t="s">
        <v>634</v>
      </c>
      <c r="F8" s="211" t="s">
        <v>635</v>
      </c>
      <c r="G8" s="211" t="s">
        <v>636</v>
      </c>
      <c r="I8" s="611" t="s">
        <v>632</v>
      </c>
      <c r="J8" s="611"/>
      <c r="K8" s="211" t="s">
        <v>633</v>
      </c>
      <c r="L8" s="211" t="s">
        <v>634</v>
      </c>
      <c r="M8" s="211" t="s">
        <v>635</v>
      </c>
      <c r="N8" s="211" t="s">
        <v>636</v>
      </c>
      <c r="P8" s="611" t="s">
        <v>632</v>
      </c>
      <c r="Q8" s="611"/>
      <c r="R8" s="211" t="s">
        <v>633</v>
      </c>
      <c r="S8" s="211" t="s">
        <v>634</v>
      </c>
      <c r="T8" s="211" t="s">
        <v>635</v>
      </c>
      <c r="U8" s="211" t="s">
        <v>636</v>
      </c>
      <c r="W8" s="611" t="s">
        <v>632</v>
      </c>
      <c r="X8" s="611"/>
      <c r="Y8" s="211" t="s">
        <v>633</v>
      </c>
      <c r="Z8" s="211" t="s">
        <v>634</v>
      </c>
      <c r="AA8" s="211" t="s">
        <v>635</v>
      </c>
      <c r="AB8" s="211" t="s">
        <v>636</v>
      </c>
      <c r="AD8" s="611" t="s">
        <v>632</v>
      </c>
      <c r="AE8" s="611"/>
      <c r="AF8" s="211" t="s">
        <v>633</v>
      </c>
      <c r="AG8" s="211" t="s">
        <v>634</v>
      </c>
      <c r="AH8" s="211" t="s">
        <v>635</v>
      </c>
      <c r="AI8" s="211" t="s">
        <v>636</v>
      </c>
    </row>
    <row r="9" spans="1:35">
      <c r="B9" s="528" t="s">
        <v>637</v>
      </c>
      <c r="C9" s="528" t="s">
        <v>638</v>
      </c>
      <c r="D9" s="528" t="s">
        <v>639</v>
      </c>
      <c r="E9" s="528"/>
      <c r="F9" s="528" t="s">
        <v>640</v>
      </c>
      <c r="G9" s="529">
        <v>100</v>
      </c>
      <c r="I9" s="528" t="s">
        <v>637</v>
      </c>
      <c r="J9" s="528" t="s">
        <v>638</v>
      </c>
      <c r="K9" s="528" t="s">
        <v>639</v>
      </c>
      <c r="L9" s="528"/>
      <c r="M9" s="528" t="s">
        <v>640</v>
      </c>
      <c r="N9" s="529">
        <v>100</v>
      </c>
      <c r="P9" s="528" t="s">
        <v>637</v>
      </c>
      <c r="Q9" s="528" t="s">
        <v>638</v>
      </c>
      <c r="R9" s="528" t="s">
        <v>639</v>
      </c>
      <c r="S9" s="528"/>
      <c r="T9" s="528" t="s">
        <v>640</v>
      </c>
      <c r="U9" s="529">
        <v>100</v>
      </c>
      <c r="W9" s="528" t="s">
        <v>637</v>
      </c>
      <c r="X9" s="528" t="s">
        <v>638</v>
      </c>
      <c r="Y9" s="528" t="s">
        <v>639</v>
      </c>
      <c r="Z9" s="528"/>
      <c r="AA9" s="528" t="s">
        <v>640</v>
      </c>
      <c r="AB9" s="529">
        <v>100</v>
      </c>
      <c r="AD9" s="528" t="s">
        <v>637</v>
      </c>
      <c r="AE9" s="528" t="s">
        <v>638</v>
      </c>
      <c r="AF9" s="528" t="s">
        <v>639</v>
      </c>
      <c r="AG9" s="528"/>
      <c r="AH9" s="528" t="s">
        <v>640</v>
      </c>
      <c r="AI9" s="529">
        <v>100</v>
      </c>
    </row>
    <row r="10" spans="1:35">
      <c r="B10" s="528">
        <v>2023</v>
      </c>
      <c r="C10" s="530" t="s">
        <v>641</v>
      </c>
      <c r="D10" s="531"/>
      <c r="E10" s="532">
        <v>25</v>
      </c>
      <c r="F10" s="531">
        <f t="shared" ref="F10:F22" si="0">D10/30*E10</f>
        <v>0</v>
      </c>
      <c r="G10" s="533">
        <f t="shared" ref="G10:G22" si="1">(G9*F10)+G9</f>
        <v>100</v>
      </c>
      <c r="I10" s="528">
        <f t="shared" ref="I10:I22" si="2">B10+1</f>
        <v>2024</v>
      </c>
      <c r="J10" s="530" t="str">
        <f>$C$10</f>
        <v>AGO</v>
      </c>
      <c r="K10" s="531"/>
      <c r="L10" s="532">
        <f>$E$10</f>
        <v>25</v>
      </c>
      <c r="M10" s="531">
        <f t="shared" ref="M10:M22" si="3">K10/30*L10</f>
        <v>0</v>
      </c>
      <c r="N10" s="533">
        <f t="shared" ref="N10:N22" si="4">(N9*M10)+N9</f>
        <v>100</v>
      </c>
      <c r="P10" s="528">
        <f t="shared" ref="P10:P22" si="5">I10+1</f>
        <v>2025</v>
      </c>
      <c r="Q10" s="530" t="str">
        <f>$C$10</f>
        <v>AGO</v>
      </c>
      <c r="R10" s="531"/>
      <c r="S10" s="532">
        <f>$E$10</f>
        <v>25</v>
      </c>
      <c r="T10" s="531">
        <f t="shared" ref="T10:T22" si="6">R10/30*S10</f>
        <v>0</v>
      </c>
      <c r="U10" s="533">
        <f t="shared" ref="U10:U22" si="7">(U9*T10)+U9</f>
        <v>100</v>
      </c>
      <c r="W10" s="528">
        <f t="shared" ref="W10:W22" si="8">P10+1</f>
        <v>2026</v>
      </c>
      <c r="X10" s="530" t="str">
        <f>$C$10</f>
        <v>AGO</v>
      </c>
      <c r="Y10" s="531"/>
      <c r="Z10" s="532">
        <f>$E$10</f>
        <v>25</v>
      </c>
      <c r="AA10" s="531">
        <f t="shared" ref="AA10:AA22" si="9">Y10/30*Z10</f>
        <v>0</v>
      </c>
      <c r="AB10" s="533">
        <f t="shared" ref="AB10:AB22" si="10">(AB9*AA10)+AB9</f>
        <v>100</v>
      </c>
      <c r="AD10" s="528">
        <f t="shared" ref="AD10:AD22" si="11">W10+1</f>
        <v>2027</v>
      </c>
      <c r="AE10" s="530" t="str">
        <f>$C$10</f>
        <v>AGO</v>
      </c>
      <c r="AF10" s="531"/>
      <c r="AG10" s="532">
        <f>$E$10</f>
        <v>25</v>
      </c>
      <c r="AH10" s="531">
        <f t="shared" ref="AH10:AH22" si="12">AF10/30*AG10</f>
        <v>0</v>
      </c>
      <c r="AI10" s="533">
        <f t="shared" ref="AI10:AI22" si="13">(AI9*AH10)+AI9</f>
        <v>100</v>
      </c>
    </row>
    <row r="11" spans="1:35">
      <c r="B11" s="528">
        <v>2023</v>
      </c>
      <c r="C11" s="530" t="s">
        <v>642</v>
      </c>
      <c r="D11" s="531"/>
      <c r="E11" s="532"/>
      <c r="F11" s="531">
        <f t="shared" si="0"/>
        <v>0</v>
      </c>
      <c r="G11" s="533">
        <f t="shared" si="1"/>
        <v>100</v>
      </c>
      <c r="I11" s="528">
        <f t="shared" si="2"/>
        <v>2024</v>
      </c>
      <c r="J11" s="530" t="str">
        <f>$C$11</f>
        <v>SET</v>
      </c>
      <c r="K11" s="531"/>
      <c r="L11" s="532"/>
      <c r="M11" s="531">
        <f t="shared" si="3"/>
        <v>0</v>
      </c>
      <c r="N11" s="533">
        <f t="shared" si="4"/>
        <v>100</v>
      </c>
      <c r="P11" s="528">
        <f t="shared" si="5"/>
        <v>2025</v>
      </c>
      <c r="Q11" s="530" t="str">
        <f>$C$11</f>
        <v>SET</v>
      </c>
      <c r="R11" s="531"/>
      <c r="S11" s="532"/>
      <c r="T11" s="531">
        <f t="shared" si="6"/>
        <v>0</v>
      </c>
      <c r="U11" s="533">
        <f t="shared" si="7"/>
        <v>100</v>
      </c>
      <c r="W11" s="528">
        <f t="shared" si="8"/>
        <v>2026</v>
      </c>
      <c r="X11" s="530" t="str">
        <f>$C$11</f>
        <v>SET</v>
      </c>
      <c r="Y11" s="531"/>
      <c r="Z11" s="532"/>
      <c r="AA11" s="531">
        <f t="shared" si="9"/>
        <v>0</v>
      </c>
      <c r="AB11" s="533">
        <f t="shared" si="10"/>
        <v>100</v>
      </c>
      <c r="AD11" s="528">
        <f t="shared" si="11"/>
        <v>2027</v>
      </c>
      <c r="AE11" s="530" t="str">
        <f>$C$11</f>
        <v>SET</v>
      </c>
      <c r="AF11" s="531"/>
      <c r="AG11" s="532"/>
      <c r="AH11" s="531">
        <f t="shared" si="12"/>
        <v>0</v>
      </c>
      <c r="AI11" s="533">
        <f t="shared" si="13"/>
        <v>100</v>
      </c>
    </row>
    <row r="12" spans="1:35">
      <c r="B12" s="528">
        <v>2023</v>
      </c>
      <c r="C12" s="530" t="s">
        <v>643</v>
      </c>
      <c r="D12" s="531"/>
      <c r="E12" s="532"/>
      <c r="F12" s="531">
        <f t="shared" si="0"/>
        <v>0</v>
      </c>
      <c r="G12" s="533">
        <f t="shared" si="1"/>
        <v>100</v>
      </c>
      <c r="I12" s="528">
        <f t="shared" si="2"/>
        <v>2024</v>
      </c>
      <c r="J12" s="530" t="str">
        <f>$C$12</f>
        <v>OUT</v>
      </c>
      <c r="K12" s="531"/>
      <c r="L12" s="532"/>
      <c r="M12" s="531">
        <f t="shared" si="3"/>
        <v>0</v>
      </c>
      <c r="N12" s="533">
        <f t="shared" si="4"/>
        <v>100</v>
      </c>
      <c r="P12" s="528">
        <f t="shared" si="5"/>
        <v>2025</v>
      </c>
      <c r="Q12" s="530" t="str">
        <f>$C$12</f>
        <v>OUT</v>
      </c>
      <c r="R12" s="531"/>
      <c r="S12" s="532"/>
      <c r="T12" s="531">
        <f t="shared" si="6"/>
        <v>0</v>
      </c>
      <c r="U12" s="533">
        <f t="shared" si="7"/>
        <v>100</v>
      </c>
      <c r="W12" s="528">
        <f t="shared" si="8"/>
        <v>2026</v>
      </c>
      <c r="X12" s="530" t="str">
        <f>$C$12</f>
        <v>OUT</v>
      </c>
      <c r="Y12" s="531"/>
      <c r="Z12" s="532"/>
      <c r="AA12" s="531">
        <f t="shared" si="9"/>
        <v>0</v>
      </c>
      <c r="AB12" s="533">
        <f t="shared" si="10"/>
        <v>100</v>
      </c>
      <c r="AD12" s="528">
        <f t="shared" si="11"/>
        <v>2027</v>
      </c>
      <c r="AE12" s="530" t="str">
        <f>$C$12</f>
        <v>OUT</v>
      </c>
      <c r="AF12" s="531"/>
      <c r="AG12" s="532"/>
      <c r="AH12" s="531">
        <f t="shared" si="12"/>
        <v>0</v>
      </c>
      <c r="AI12" s="533">
        <f t="shared" si="13"/>
        <v>100</v>
      </c>
    </row>
    <row r="13" spans="1:35">
      <c r="B13" s="528">
        <v>2023</v>
      </c>
      <c r="C13" s="530" t="s">
        <v>644</v>
      </c>
      <c r="D13" s="531"/>
      <c r="E13" s="532"/>
      <c r="F13" s="531">
        <f t="shared" si="0"/>
        <v>0</v>
      </c>
      <c r="G13" s="533">
        <f t="shared" si="1"/>
        <v>100</v>
      </c>
      <c r="I13" s="528">
        <f t="shared" si="2"/>
        <v>2024</v>
      </c>
      <c r="J13" s="530" t="str">
        <f>$C$13</f>
        <v>NOV</v>
      </c>
      <c r="K13" s="531"/>
      <c r="L13" s="532"/>
      <c r="M13" s="531">
        <f t="shared" si="3"/>
        <v>0</v>
      </c>
      <c r="N13" s="533">
        <f t="shared" si="4"/>
        <v>100</v>
      </c>
      <c r="P13" s="528">
        <f t="shared" si="5"/>
        <v>2025</v>
      </c>
      <c r="Q13" s="530" t="str">
        <f>$C$13</f>
        <v>NOV</v>
      </c>
      <c r="R13" s="531"/>
      <c r="S13" s="532"/>
      <c r="T13" s="531">
        <f t="shared" si="6"/>
        <v>0</v>
      </c>
      <c r="U13" s="533">
        <f t="shared" si="7"/>
        <v>100</v>
      </c>
      <c r="W13" s="528">
        <f t="shared" si="8"/>
        <v>2026</v>
      </c>
      <c r="X13" s="530" t="str">
        <f>$C$13</f>
        <v>NOV</v>
      </c>
      <c r="Y13" s="531"/>
      <c r="Z13" s="532"/>
      <c r="AA13" s="531">
        <f t="shared" si="9"/>
        <v>0</v>
      </c>
      <c r="AB13" s="533">
        <f t="shared" si="10"/>
        <v>100</v>
      </c>
      <c r="AD13" s="528">
        <f t="shared" si="11"/>
        <v>2027</v>
      </c>
      <c r="AE13" s="530" t="str">
        <f>$C$13</f>
        <v>NOV</v>
      </c>
      <c r="AF13" s="531"/>
      <c r="AG13" s="532"/>
      <c r="AH13" s="531">
        <f t="shared" si="12"/>
        <v>0</v>
      </c>
      <c r="AI13" s="533">
        <f t="shared" si="13"/>
        <v>100</v>
      </c>
    </row>
    <row r="14" spans="1:35">
      <c r="B14" s="528">
        <v>2023</v>
      </c>
      <c r="C14" s="530" t="s">
        <v>645</v>
      </c>
      <c r="D14" s="531"/>
      <c r="E14" s="532"/>
      <c r="F14" s="531">
        <f t="shared" si="0"/>
        <v>0</v>
      </c>
      <c r="G14" s="533">
        <f t="shared" si="1"/>
        <v>100</v>
      </c>
      <c r="I14" s="528">
        <f t="shared" si="2"/>
        <v>2024</v>
      </c>
      <c r="J14" s="530" t="str">
        <f>$C$14</f>
        <v>DEZ</v>
      </c>
      <c r="K14" s="531"/>
      <c r="L14" s="532"/>
      <c r="M14" s="531">
        <f t="shared" si="3"/>
        <v>0</v>
      </c>
      <c r="N14" s="533">
        <f t="shared" si="4"/>
        <v>100</v>
      </c>
      <c r="P14" s="528">
        <f t="shared" si="5"/>
        <v>2025</v>
      </c>
      <c r="Q14" s="530" t="str">
        <f>$C$14</f>
        <v>DEZ</v>
      </c>
      <c r="R14" s="531"/>
      <c r="S14" s="532"/>
      <c r="T14" s="531">
        <f t="shared" si="6"/>
        <v>0</v>
      </c>
      <c r="U14" s="533">
        <f t="shared" si="7"/>
        <v>100</v>
      </c>
      <c r="W14" s="528">
        <f t="shared" si="8"/>
        <v>2026</v>
      </c>
      <c r="X14" s="530" t="str">
        <f>$C$14</f>
        <v>DEZ</v>
      </c>
      <c r="Y14" s="531"/>
      <c r="Z14" s="532"/>
      <c r="AA14" s="531">
        <f t="shared" si="9"/>
        <v>0</v>
      </c>
      <c r="AB14" s="533">
        <f t="shared" si="10"/>
        <v>100</v>
      </c>
      <c r="AD14" s="528">
        <f t="shared" si="11"/>
        <v>2027</v>
      </c>
      <c r="AE14" s="530" t="str">
        <f>$C$14</f>
        <v>DEZ</v>
      </c>
      <c r="AF14" s="531"/>
      <c r="AG14" s="532"/>
      <c r="AH14" s="531">
        <f t="shared" si="12"/>
        <v>0</v>
      </c>
      <c r="AI14" s="533">
        <f t="shared" si="13"/>
        <v>100</v>
      </c>
    </row>
    <row r="15" spans="1:35">
      <c r="B15" s="528">
        <v>2023</v>
      </c>
      <c r="C15" s="530" t="s">
        <v>645</v>
      </c>
      <c r="D15" s="531"/>
      <c r="E15" s="532"/>
      <c r="F15" s="531">
        <f t="shared" si="0"/>
        <v>0</v>
      </c>
      <c r="G15" s="533">
        <f t="shared" si="1"/>
        <v>100</v>
      </c>
      <c r="I15" s="528">
        <f t="shared" si="2"/>
        <v>2024</v>
      </c>
      <c r="J15" s="530" t="str">
        <f>$C$15</f>
        <v>DEZ</v>
      </c>
      <c r="K15" s="531"/>
      <c r="L15" s="532"/>
      <c r="M15" s="531">
        <f t="shared" si="3"/>
        <v>0</v>
      </c>
      <c r="N15" s="533">
        <f t="shared" si="4"/>
        <v>100</v>
      </c>
      <c r="P15" s="528">
        <f t="shared" si="5"/>
        <v>2025</v>
      </c>
      <c r="Q15" s="530" t="str">
        <f>$C$15</f>
        <v>DEZ</v>
      </c>
      <c r="R15" s="531"/>
      <c r="S15" s="532"/>
      <c r="T15" s="531">
        <f t="shared" si="6"/>
        <v>0</v>
      </c>
      <c r="U15" s="533">
        <f t="shared" si="7"/>
        <v>100</v>
      </c>
      <c r="W15" s="528">
        <f t="shared" si="8"/>
        <v>2026</v>
      </c>
      <c r="X15" s="530" t="str">
        <f>$C$15</f>
        <v>DEZ</v>
      </c>
      <c r="Y15" s="531"/>
      <c r="Z15" s="532"/>
      <c r="AA15" s="531">
        <f t="shared" si="9"/>
        <v>0</v>
      </c>
      <c r="AB15" s="533">
        <f t="shared" si="10"/>
        <v>100</v>
      </c>
      <c r="AD15" s="528">
        <f t="shared" si="11"/>
        <v>2027</v>
      </c>
      <c r="AE15" s="530" t="str">
        <f>$C$15</f>
        <v>DEZ</v>
      </c>
      <c r="AF15" s="531"/>
      <c r="AG15" s="532"/>
      <c r="AH15" s="531">
        <f t="shared" si="12"/>
        <v>0</v>
      </c>
      <c r="AI15" s="533">
        <f t="shared" si="13"/>
        <v>100</v>
      </c>
    </row>
    <row r="16" spans="1:35">
      <c r="B16" s="528">
        <v>2024</v>
      </c>
      <c r="C16" s="534" t="s">
        <v>646</v>
      </c>
      <c r="D16" s="535"/>
      <c r="E16" s="536"/>
      <c r="F16" s="531">
        <f t="shared" si="0"/>
        <v>0</v>
      </c>
      <c r="G16" s="533">
        <f t="shared" si="1"/>
        <v>100</v>
      </c>
      <c r="I16" s="528">
        <f t="shared" si="2"/>
        <v>2025</v>
      </c>
      <c r="J16" s="530" t="str">
        <f>$C$16</f>
        <v>JAN</v>
      </c>
      <c r="K16" s="535"/>
      <c r="L16" s="532"/>
      <c r="M16" s="531">
        <f t="shared" si="3"/>
        <v>0</v>
      </c>
      <c r="N16" s="533">
        <f t="shared" si="4"/>
        <v>100</v>
      </c>
      <c r="P16" s="528">
        <f t="shared" si="5"/>
        <v>2026</v>
      </c>
      <c r="Q16" s="530" t="str">
        <f>$C$16</f>
        <v>JAN</v>
      </c>
      <c r="R16" s="535"/>
      <c r="S16" s="532"/>
      <c r="T16" s="531">
        <f t="shared" si="6"/>
        <v>0</v>
      </c>
      <c r="U16" s="533">
        <f t="shared" si="7"/>
        <v>100</v>
      </c>
      <c r="W16" s="528">
        <f t="shared" si="8"/>
        <v>2027</v>
      </c>
      <c r="X16" s="530" t="str">
        <f>$C$16</f>
        <v>JAN</v>
      </c>
      <c r="Y16" s="535"/>
      <c r="Z16" s="532"/>
      <c r="AA16" s="531">
        <f t="shared" si="9"/>
        <v>0</v>
      </c>
      <c r="AB16" s="533">
        <f t="shared" si="10"/>
        <v>100</v>
      </c>
      <c r="AD16" s="528">
        <f t="shared" si="11"/>
        <v>2028</v>
      </c>
      <c r="AE16" s="530" t="str">
        <f>$C$16</f>
        <v>JAN</v>
      </c>
      <c r="AF16" s="535"/>
      <c r="AG16" s="532"/>
      <c r="AH16" s="531">
        <f t="shared" si="12"/>
        <v>0</v>
      </c>
      <c r="AI16" s="533">
        <f t="shared" si="13"/>
        <v>100</v>
      </c>
    </row>
    <row r="17" spans="2:35">
      <c r="B17" s="528">
        <v>2024</v>
      </c>
      <c r="C17" s="530" t="s">
        <v>647</v>
      </c>
      <c r="D17" s="531"/>
      <c r="E17" s="532"/>
      <c r="F17" s="531">
        <f t="shared" si="0"/>
        <v>0</v>
      </c>
      <c r="G17" s="533">
        <f t="shared" si="1"/>
        <v>100</v>
      </c>
      <c r="I17" s="528">
        <f t="shared" si="2"/>
        <v>2025</v>
      </c>
      <c r="J17" s="530" t="str">
        <f>$C$17</f>
        <v>FEV</v>
      </c>
      <c r="K17" s="531"/>
      <c r="L17" s="532"/>
      <c r="M17" s="531">
        <f t="shared" si="3"/>
        <v>0</v>
      </c>
      <c r="N17" s="533">
        <f t="shared" si="4"/>
        <v>100</v>
      </c>
      <c r="P17" s="528">
        <f t="shared" si="5"/>
        <v>2026</v>
      </c>
      <c r="Q17" s="530" t="str">
        <f>$C$17</f>
        <v>FEV</v>
      </c>
      <c r="R17" s="531"/>
      <c r="S17" s="532"/>
      <c r="T17" s="531">
        <f t="shared" si="6"/>
        <v>0</v>
      </c>
      <c r="U17" s="533">
        <f t="shared" si="7"/>
        <v>100</v>
      </c>
      <c r="W17" s="528">
        <f t="shared" si="8"/>
        <v>2027</v>
      </c>
      <c r="X17" s="530" t="str">
        <f>$C$17</f>
        <v>FEV</v>
      </c>
      <c r="Y17" s="531"/>
      <c r="Z17" s="532"/>
      <c r="AA17" s="531">
        <f t="shared" si="9"/>
        <v>0</v>
      </c>
      <c r="AB17" s="533">
        <f t="shared" si="10"/>
        <v>100</v>
      </c>
      <c r="AD17" s="528">
        <f t="shared" si="11"/>
        <v>2028</v>
      </c>
      <c r="AE17" s="530" t="str">
        <f>$C$17</f>
        <v>FEV</v>
      </c>
      <c r="AF17" s="531"/>
      <c r="AG17" s="532"/>
      <c r="AH17" s="531">
        <f t="shared" si="12"/>
        <v>0</v>
      </c>
      <c r="AI17" s="533">
        <f t="shared" si="13"/>
        <v>100</v>
      </c>
    </row>
    <row r="18" spans="2:35">
      <c r="B18" s="528">
        <v>2024</v>
      </c>
      <c r="C18" s="534" t="s">
        <v>648</v>
      </c>
      <c r="D18" s="531"/>
      <c r="E18" s="532"/>
      <c r="F18" s="531">
        <f t="shared" si="0"/>
        <v>0</v>
      </c>
      <c r="G18" s="533">
        <f t="shared" si="1"/>
        <v>100</v>
      </c>
      <c r="I18" s="528">
        <f t="shared" si="2"/>
        <v>2025</v>
      </c>
      <c r="J18" s="530" t="str">
        <f>$C$18</f>
        <v>MAR</v>
      </c>
      <c r="K18" s="531"/>
      <c r="L18" s="532"/>
      <c r="M18" s="531">
        <f t="shared" si="3"/>
        <v>0</v>
      </c>
      <c r="N18" s="533">
        <f t="shared" si="4"/>
        <v>100</v>
      </c>
      <c r="P18" s="528">
        <f t="shared" si="5"/>
        <v>2026</v>
      </c>
      <c r="Q18" s="530" t="str">
        <f>$C$18</f>
        <v>MAR</v>
      </c>
      <c r="R18" s="531"/>
      <c r="S18" s="532"/>
      <c r="T18" s="531">
        <f t="shared" si="6"/>
        <v>0</v>
      </c>
      <c r="U18" s="533">
        <f t="shared" si="7"/>
        <v>100</v>
      </c>
      <c r="W18" s="528">
        <f t="shared" si="8"/>
        <v>2027</v>
      </c>
      <c r="X18" s="530" t="str">
        <f>$C$18</f>
        <v>MAR</v>
      </c>
      <c r="Y18" s="531"/>
      <c r="Z18" s="532"/>
      <c r="AA18" s="531">
        <f t="shared" si="9"/>
        <v>0</v>
      </c>
      <c r="AB18" s="533">
        <f t="shared" si="10"/>
        <v>100</v>
      </c>
      <c r="AD18" s="528">
        <f t="shared" si="11"/>
        <v>2028</v>
      </c>
      <c r="AE18" s="530" t="str">
        <f>$C$18</f>
        <v>MAR</v>
      </c>
      <c r="AF18" s="531"/>
      <c r="AG18" s="532"/>
      <c r="AH18" s="531">
        <f t="shared" si="12"/>
        <v>0</v>
      </c>
      <c r="AI18" s="533">
        <f t="shared" si="13"/>
        <v>100</v>
      </c>
    </row>
    <row r="19" spans="2:35">
      <c r="B19" s="528">
        <v>2024</v>
      </c>
      <c r="C19" s="530" t="s">
        <v>649</v>
      </c>
      <c r="D19" s="531"/>
      <c r="E19" s="532"/>
      <c r="F19" s="531">
        <f t="shared" si="0"/>
        <v>0</v>
      </c>
      <c r="G19" s="533">
        <f t="shared" si="1"/>
        <v>100</v>
      </c>
      <c r="I19" s="528">
        <f t="shared" si="2"/>
        <v>2025</v>
      </c>
      <c r="J19" s="530" t="str">
        <f>$C$19</f>
        <v>ABR</v>
      </c>
      <c r="K19" s="531"/>
      <c r="L19" s="532"/>
      <c r="M19" s="531">
        <f t="shared" si="3"/>
        <v>0</v>
      </c>
      <c r="N19" s="533">
        <f t="shared" si="4"/>
        <v>100</v>
      </c>
      <c r="P19" s="528">
        <f t="shared" si="5"/>
        <v>2026</v>
      </c>
      <c r="Q19" s="530" t="str">
        <f>$C$19</f>
        <v>ABR</v>
      </c>
      <c r="R19" s="531"/>
      <c r="S19" s="532"/>
      <c r="T19" s="531">
        <f t="shared" si="6"/>
        <v>0</v>
      </c>
      <c r="U19" s="533">
        <f t="shared" si="7"/>
        <v>100</v>
      </c>
      <c r="W19" s="528">
        <f t="shared" si="8"/>
        <v>2027</v>
      </c>
      <c r="X19" s="530" t="str">
        <f>$C$19</f>
        <v>ABR</v>
      </c>
      <c r="Y19" s="531"/>
      <c r="Z19" s="532"/>
      <c r="AA19" s="531">
        <f t="shared" si="9"/>
        <v>0</v>
      </c>
      <c r="AB19" s="533">
        <f t="shared" si="10"/>
        <v>100</v>
      </c>
      <c r="AD19" s="528">
        <f t="shared" si="11"/>
        <v>2028</v>
      </c>
      <c r="AE19" s="530" t="str">
        <f>$C$19</f>
        <v>ABR</v>
      </c>
      <c r="AF19" s="531"/>
      <c r="AG19" s="532"/>
      <c r="AH19" s="531">
        <f t="shared" si="12"/>
        <v>0</v>
      </c>
      <c r="AI19" s="533">
        <f t="shared" si="13"/>
        <v>100</v>
      </c>
    </row>
    <row r="20" spans="2:35">
      <c r="B20" s="528">
        <v>2024</v>
      </c>
      <c r="C20" s="534" t="s">
        <v>650</v>
      </c>
      <c r="D20" s="531"/>
      <c r="E20" s="532"/>
      <c r="F20" s="531">
        <f t="shared" si="0"/>
        <v>0</v>
      </c>
      <c r="G20" s="533">
        <f t="shared" si="1"/>
        <v>100</v>
      </c>
      <c r="I20" s="528">
        <f t="shared" si="2"/>
        <v>2025</v>
      </c>
      <c r="J20" s="530" t="str">
        <f>$C$20</f>
        <v>MAI</v>
      </c>
      <c r="K20" s="531"/>
      <c r="L20" s="532"/>
      <c r="M20" s="531">
        <f t="shared" si="3"/>
        <v>0</v>
      </c>
      <c r="N20" s="533">
        <f t="shared" si="4"/>
        <v>100</v>
      </c>
      <c r="P20" s="528">
        <f t="shared" si="5"/>
        <v>2026</v>
      </c>
      <c r="Q20" s="530" t="str">
        <f>$C$20</f>
        <v>MAI</v>
      </c>
      <c r="R20" s="531"/>
      <c r="S20" s="532"/>
      <c r="T20" s="531">
        <f t="shared" si="6"/>
        <v>0</v>
      </c>
      <c r="U20" s="533">
        <f t="shared" si="7"/>
        <v>100</v>
      </c>
      <c r="W20" s="528">
        <f t="shared" si="8"/>
        <v>2027</v>
      </c>
      <c r="X20" s="530" t="str">
        <f>$C$20</f>
        <v>MAI</v>
      </c>
      <c r="Y20" s="531"/>
      <c r="Z20" s="532"/>
      <c r="AA20" s="531">
        <f t="shared" si="9"/>
        <v>0</v>
      </c>
      <c r="AB20" s="533">
        <f t="shared" si="10"/>
        <v>100</v>
      </c>
      <c r="AD20" s="528">
        <f t="shared" si="11"/>
        <v>2028</v>
      </c>
      <c r="AE20" s="530" t="str">
        <f>$C$20</f>
        <v>MAI</v>
      </c>
      <c r="AF20" s="531"/>
      <c r="AG20" s="532"/>
      <c r="AH20" s="531">
        <f t="shared" si="12"/>
        <v>0</v>
      </c>
      <c r="AI20" s="533">
        <f t="shared" si="13"/>
        <v>100</v>
      </c>
    </row>
    <row r="21" spans="2:35">
      <c r="B21" s="528">
        <v>2024</v>
      </c>
      <c r="C21" s="530" t="s">
        <v>651</v>
      </c>
      <c r="D21" s="531"/>
      <c r="E21" s="532"/>
      <c r="F21" s="531">
        <f t="shared" si="0"/>
        <v>0</v>
      </c>
      <c r="G21" s="533">
        <f t="shared" si="1"/>
        <v>100</v>
      </c>
      <c r="I21" s="528">
        <f t="shared" si="2"/>
        <v>2025</v>
      </c>
      <c r="J21" s="530" t="str">
        <f>$C$21</f>
        <v>JUN</v>
      </c>
      <c r="K21" s="531"/>
      <c r="L21" s="532"/>
      <c r="M21" s="531">
        <f t="shared" si="3"/>
        <v>0</v>
      </c>
      <c r="N21" s="533">
        <f t="shared" si="4"/>
        <v>100</v>
      </c>
      <c r="P21" s="528">
        <f t="shared" si="5"/>
        <v>2026</v>
      </c>
      <c r="Q21" s="530" t="str">
        <f>$C$21</f>
        <v>JUN</v>
      </c>
      <c r="R21" s="531"/>
      <c r="S21" s="532"/>
      <c r="T21" s="531">
        <f t="shared" si="6"/>
        <v>0</v>
      </c>
      <c r="U21" s="533">
        <f t="shared" si="7"/>
        <v>100</v>
      </c>
      <c r="W21" s="528">
        <f t="shared" si="8"/>
        <v>2027</v>
      </c>
      <c r="X21" s="530" t="str">
        <f>$C$21</f>
        <v>JUN</v>
      </c>
      <c r="Y21" s="531"/>
      <c r="Z21" s="532"/>
      <c r="AA21" s="531">
        <f t="shared" si="9"/>
        <v>0</v>
      </c>
      <c r="AB21" s="533">
        <f t="shared" si="10"/>
        <v>100</v>
      </c>
      <c r="AD21" s="528">
        <f t="shared" si="11"/>
        <v>2028</v>
      </c>
      <c r="AE21" s="530" t="str">
        <f>$C$21</f>
        <v>JUN</v>
      </c>
      <c r="AF21" s="531"/>
      <c r="AG21" s="532"/>
      <c r="AH21" s="531">
        <f t="shared" si="12"/>
        <v>0</v>
      </c>
      <c r="AI21" s="533">
        <f t="shared" si="13"/>
        <v>100</v>
      </c>
    </row>
    <row r="22" spans="2:35">
      <c r="B22" s="528">
        <v>2024</v>
      </c>
      <c r="C22" s="534" t="s">
        <v>652</v>
      </c>
      <c r="D22" s="531"/>
      <c r="E22" s="532">
        <v>5</v>
      </c>
      <c r="F22" s="531">
        <f t="shared" si="0"/>
        <v>0</v>
      </c>
      <c r="G22" s="533">
        <f t="shared" si="1"/>
        <v>100</v>
      </c>
      <c r="I22" s="528">
        <f t="shared" si="2"/>
        <v>2025</v>
      </c>
      <c r="J22" s="530" t="str">
        <f>$C$22</f>
        <v>JUL</v>
      </c>
      <c r="K22" s="531"/>
      <c r="L22" s="532">
        <f>$E$22</f>
        <v>5</v>
      </c>
      <c r="M22" s="531">
        <f t="shared" si="3"/>
        <v>0</v>
      </c>
      <c r="N22" s="533">
        <f t="shared" si="4"/>
        <v>100</v>
      </c>
      <c r="P22" s="528">
        <f t="shared" si="5"/>
        <v>2026</v>
      </c>
      <c r="Q22" s="530" t="str">
        <f>$C$22</f>
        <v>JUL</v>
      </c>
      <c r="R22" s="531"/>
      <c r="S22" s="532">
        <f>$E$22</f>
        <v>5</v>
      </c>
      <c r="T22" s="531">
        <f t="shared" si="6"/>
        <v>0</v>
      </c>
      <c r="U22" s="533">
        <f t="shared" si="7"/>
        <v>100</v>
      </c>
      <c r="W22" s="528">
        <f t="shared" si="8"/>
        <v>2027</v>
      </c>
      <c r="X22" s="530" t="str">
        <f>$C$22</f>
        <v>JUL</v>
      </c>
      <c r="Y22" s="531"/>
      <c r="Z22" s="532">
        <f>$E$22</f>
        <v>5</v>
      </c>
      <c r="AA22" s="531">
        <f t="shared" si="9"/>
        <v>0</v>
      </c>
      <c r="AB22" s="533">
        <f t="shared" si="10"/>
        <v>100</v>
      </c>
      <c r="AD22" s="528">
        <f t="shared" si="11"/>
        <v>2028</v>
      </c>
      <c r="AE22" s="530" t="str">
        <f>$C$22</f>
        <v>JUL</v>
      </c>
      <c r="AF22" s="531"/>
      <c r="AG22" s="532">
        <f>$E$22</f>
        <v>5</v>
      </c>
      <c r="AH22" s="531">
        <f t="shared" si="12"/>
        <v>0</v>
      </c>
      <c r="AI22" s="533">
        <f t="shared" si="13"/>
        <v>100</v>
      </c>
    </row>
    <row r="23" spans="2:35">
      <c r="B23" s="705" t="s">
        <v>653</v>
      </c>
      <c r="C23" s="705"/>
      <c r="D23" s="705"/>
      <c r="E23" s="705"/>
      <c r="F23" s="705"/>
      <c r="G23" s="537">
        <f>ROUND(((G22-G9)/G9),4)</f>
        <v>0</v>
      </c>
      <c r="I23" s="705" t="s">
        <v>653</v>
      </c>
      <c r="J23" s="705"/>
      <c r="K23" s="705"/>
      <c r="L23" s="705"/>
      <c r="M23" s="705"/>
      <c r="N23" s="537">
        <f>ROUND(((N22-N9)/N9),4)</f>
        <v>0</v>
      </c>
      <c r="P23" s="705" t="s">
        <v>653</v>
      </c>
      <c r="Q23" s="705"/>
      <c r="R23" s="705"/>
      <c r="S23" s="705"/>
      <c r="T23" s="705"/>
      <c r="U23" s="537">
        <f>ROUND(((U22-U9)/U9),4)</f>
        <v>0</v>
      </c>
      <c r="W23" s="705" t="s">
        <v>653</v>
      </c>
      <c r="X23" s="705"/>
      <c r="Y23" s="705"/>
      <c r="Z23" s="705"/>
      <c r="AA23" s="705"/>
      <c r="AB23" s="537">
        <f>ROUND(((AB22-AB9)/AB9),4)</f>
        <v>0</v>
      </c>
      <c r="AD23" s="705" t="s">
        <v>653</v>
      </c>
      <c r="AE23" s="705"/>
      <c r="AF23" s="705"/>
      <c r="AG23" s="705"/>
      <c r="AH23" s="705"/>
      <c r="AI23" s="537">
        <f>ROUND(((AI22-AI9)/AI9),4)</f>
        <v>0</v>
      </c>
    </row>
  </sheetData>
  <sheetProtection sheet="1" objects="1" scenarios="1"/>
  <mergeCells count="20">
    <mergeCell ref="B6:G6"/>
    <mergeCell ref="I6:N6"/>
    <mergeCell ref="P6:U6"/>
    <mergeCell ref="W6:AB6"/>
    <mergeCell ref="AD6:AI6"/>
    <mergeCell ref="C7:G7"/>
    <mergeCell ref="J7:N7"/>
    <mergeCell ref="Q7:U7"/>
    <mergeCell ref="X7:AB7"/>
    <mergeCell ref="AE7:AI7"/>
    <mergeCell ref="B8:C8"/>
    <mergeCell ref="I8:J8"/>
    <mergeCell ref="P8:Q8"/>
    <mergeCell ref="W8:X8"/>
    <mergeCell ref="AD8:AE8"/>
    <mergeCell ref="B23:F23"/>
    <mergeCell ref="I23:M23"/>
    <mergeCell ref="P23:T23"/>
    <mergeCell ref="W23:AA23"/>
    <mergeCell ref="AD23:AH23"/>
  </mergeCells>
  <pageMargins left="0.51180555555555496" right="0.51180555555555496" top="0.78749999999999998" bottom="0.78749999999999998" header="0.51180555555555496" footer="0.51180555555555496"/>
  <pageSetup paperSize="9"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sheetPr>
    <pageSetUpPr fitToPage="1"/>
  </sheetPr>
  <dimension ref="A1:AMK81"/>
  <sheetViews>
    <sheetView showGridLines="0" tabSelected="1" zoomScaleNormal="100" workbookViewId="0">
      <selection activeCell="A20" sqref="A20:XFD20"/>
    </sheetView>
  </sheetViews>
  <sheetFormatPr defaultRowHeight="14.4"/>
  <cols>
    <col min="1" max="1" width="6.33203125" style="64" customWidth="1"/>
    <col min="2" max="2" width="8.6640625" style="96" customWidth="1"/>
    <col min="3" max="3" width="4" style="69" customWidth="1"/>
    <col min="4" max="23" width="9.109375" style="69" customWidth="1"/>
    <col min="24" max="24" width="10.6640625" style="69" customWidth="1"/>
    <col min="25" max="256" width="9.109375" style="69" customWidth="1"/>
    <col min="257" max="257" width="4.5546875" style="69" customWidth="1"/>
    <col min="258" max="258" width="11.109375" style="69" customWidth="1"/>
    <col min="259" max="259" width="4" style="69" customWidth="1"/>
    <col min="260" max="512" width="9.109375" style="69" customWidth="1"/>
    <col min="513" max="513" width="4.5546875" style="69" customWidth="1"/>
    <col min="514" max="514" width="11.109375" style="69" customWidth="1"/>
    <col min="515" max="515" width="4" style="69" customWidth="1"/>
    <col min="516" max="768" width="9.109375" style="69" customWidth="1"/>
    <col min="769" max="769" width="4.5546875" style="69" customWidth="1"/>
    <col min="770" max="770" width="11.109375" style="69" customWidth="1"/>
    <col min="771" max="771" width="4" style="69" customWidth="1"/>
    <col min="772" max="1025" width="9.109375" style="69" customWidth="1"/>
  </cols>
  <sheetData>
    <row r="1" spans="1:24">
      <c r="A1" s="97"/>
      <c r="B1" s="98" t="s">
        <v>88</v>
      </c>
    </row>
    <row r="2" spans="1:24">
      <c r="A2" s="99"/>
      <c r="B2" s="100" t="s">
        <v>89</v>
      </c>
    </row>
    <row r="3" spans="1:24">
      <c r="A3" s="99"/>
      <c r="B3" s="69" t="s">
        <v>90</v>
      </c>
    </row>
    <row r="4" spans="1:24" s="17" customFormat="1" ht="15.6">
      <c r="A4" s="571" t="s">
        <v>91</v>
      </c>
      <c r="B4" s="571"/>
      <c r="C4" s="571"/>
      <c r="D4" s="571"/>
      <c r="E4" s="571"/>
      <c r="F4" s="571"/>
      <c r="G4" s="571"/>
      <c r="H4" s="571"/>
      <c r="I4" s="571"/>
      <c r="J4" s="571"/>
      <c r="K4" s="571"/>
      <c r="L4" s="571"/>
      <c r="M4" s="571"/>
      <c r="N4" s="571"/>
      <c r="O4" s="571"/>
      <c r="P4" s="571"/>
      <c r="Q4" s="571"/>
      <c r="R4" s="571"/>
      <c r="S4" s="571"/>
      <c r="T4" s="571"/>
      <c r="U4" s="571"/>
      <c r="V4" s="571"/>
      <c r="W4" s="571"/>
      <c r="X4" s="571"/>
    </row>
    <row r="5" spans="1:24" ht="12" customHeight="1"/>
    <row r="6" spans="1:24">
      <c r="A6" s="102" t="s">
        <v>92</v>
      </c>
      <c r="B6" s="103" t="s">
        <v>93</v>
      </c>
    </row>
    <row r="7" spans="1:24" ht="7.5" customHeight="1"/>
    <row r="8" spans="1:24">
      <c r="B8" s="104"/>
      <c r="C8" s="96" t="s">
        <v>94</v>
      </c>
    </row>
    <row r="10" spans="1:24">
      <c r="A10" s="102" t="s">
        <v>95</v>
      </c>
      <c r="B10" s="96" t="s">
        <v>96</v>
      </c>
    </row>
    <row r="12" spans="1:24">
      <c r="A12" s="102" t="s">
        <v>97</v>
      </c>
      <c r="B12" s="96" t="s">
        <v>98</v>
      </c>
    </row>
    <row r="13" spans="1:24">
      <c r="A13" s="102"/>
      <c r="B13" s="96" t="s">
        <v>99</v>
      </c>
    </row>
    <row r="14" spans="1:24" s="106" customFormat="1" ht="17.25" customHeight="1">
      <c r="A14" s="102"/>
      <c r="B14" s="105" t="s">
        <v>100</v>
      </c>
    </row>
    <row r="15" spans="1:24" ht="7.5" customHeight="1"/>
    <row r="16" spans="1:24">
      <c r="B16" s="107" t="s">
        <v>101</v>
      </c>
      <c r="C16" s="108" t="s">
        <v>102</v>
      </c>
      <c r="D16" s="108"/>
      <c r="E16" s="108"/>
      <c r="F16" s="108"/>
      <c r="G16" s="108"/>
    </row>
    <row r="18" spans="3:4">
      <c r="C18" s="109" t="s">
        <v>103</v>
      </c>
      <c r="D18" s="109" t="s">
        <v>104</v>
      </c>
    </row>
    <row r="19" spans="3:4">
      <c r="D19" s="69" t="s">
        <v>105</v>
      </c>
    </row>
    <row r="20" spans="3:4">
      <c r="C20" s="109"/>
      <c r="D20" s="69" t="s">
        <v>106</v>
      </c>
    </row>
    <row r="21" spans="3:4">
      <c r="D21" s="69" t="s">
        <v>107</v>
      </c>
    </row>
    <row r="22" spans="3:4">
      <c r="D22" s="69" t="s">
        <v>108</v>
      </c>
    </row>
    <row r="23" spans="3:4">
      <c r="D23" s="69" t="s">
        <v>109</v>
      </c>
    </row>
    <row r="24" spans="3:4">
      <c r="D24" s="69" t="s">
        <v>110</v>
      </c>
    </row>
    <row r="25" spans="3:4">
      <c r="D25" s="69" t="s">
        <v>111</v>
      </c>
    </row>
    <row r="26" spans="3:4">
      <c r="D26" s="69" t="s">
        <v>112</v>
      </c>
    </row>
    <row r="27" spans="3:4">
      <c r="D27" s="69" t="s">
        <v>113</v>
      </c>
    </row>
    <row r="28" spans="3:4">
      <c r="D28" s="69" t="s">
        <v>114</v>
      </c>
    </row>
    <row r="29" spans="3:4">
      <c r="D29" s="69" t="s">
        <v>115</v>
      </c>
    </row>
    <row r="30" spans="3:4">
      <c r="D30" s="69" t="s">
        <v>116</v>
      </c>
    </row>
    <row r="31" spans="3:4">
      <c r="D31" s="69" t="s">
        <v>117</v>
      </c>
    </row>
    <row r="32" spans="3:4">
      <c r="D32" s="69" t="s">
        <v>118</v>
      </c>
    </row>
    <row r="33" spans="3:8">
      <c r="D33" s="69" t="s">
        <v>119</v>
      </c>
    </row>
    <row r="34" spans="3:8">
      <c r="D34" s="69" t="s">
        <v>120</v>
      </c>
    </row>
    <row r="35" spans="3:8">
      <c r="D35" s="69" t="s">
        <v>121</v>
      </c>
    </row>
    <row r="36" spans="3:8">
      <c r="D36" s="69" t="s">
        <v>122</v>
      </c>
    </row>
    <row r="37" spans="3:8">
      <c r="D37" s="69" t="s">
        <v>123</v>
      </c>
    </row>
    <row r="38" spans="3:8">
      <c r="D38" s="69" t="s">
        <v>124</v>
      </c>
    </row>
    <row r="39" spans="3:8">
      <c r="D39" s="69" t="s">
        <v>125</v>
      </c>
    </row>
    <row r="40" spans="3:8">
      <c r="D40" s="69" t="s">
        <v>126</v>
      </c>
    </row>
    <row r="41" spans="3:8">
      <c r="D41" s="108" t="s">
        <v>127</v>
      </c>
      <c r="E41" s="108"/>
      <c r="F41" s="108"/>
      <c r="G41" s="108"/>
      <c r="H41" s="108"/>
    </row>
    <row r="43" spans="3:8">
      <c r="C43" s="109" t="s">
        <v>128</v>
      </c>
      <c r="D43" s="109" t="s">
        <v>129</v>
      </c>
    </row>
    <row r="44" spans="3:8">
      <c r="D44" s="69" t="s">
        <v>130</v>
      </c>
    </row>
    <row r="45" spans="3:8">
      <c r="D45" s="69" t="s">
        <v>131</v>
      </c>
    </row>
    <row r="46" spans="3:8">
      <c r="D46" s="108" t="s">
        <v>127</v>
      </c>
      <c r="E46" s="108"/>
      <c r="F46" s="108"/>
      <c r="G46" s="108"/>
      <c r="H46" s="108"/>
    </row>
    <row r="48" spans="3:8">
      <c r="C48" s="109" t="s">
        <v>132</v>
      </c>
      <c r="D48" s="109" t="s">
        <v>133</v>
      </c>
    </row>
    <row r="49" spans="3:8">
      <c r="D49" s="69" t="s">
        <v>134</v>
      </c>
    </row>
    <row r="50" spans="3:8">
      <c r="D50" s="69" t="s">
        <v>135</v>
      </c>
    </row>
    <row r="51" spans="3:8">
      <c r="E51" s="69" t="s">
        <v>136</v>
      </c>
    </row>
    <row r="52" spans="3:8">
      <c r="E52" s="69" t="s">
        <v>137</v>
      </c>
    </row>
    <row r="53" spans="3:8">
      <c r="D53" s="69" t="s">
        <v>138</v>
      </c>
    </row>
    <row r="54" spans="3:8">
      <c r="D54" s="108" t="s">
        <v>127</v>
      </c>
      <c r="E54" s="108"/>
      <c r="F54" s="108"/>
      <c r="G54" s="108"/>
      <c r="H54" s="108"/>
    </row>
    <row r="56" spans="3:8">
      <c r="C56" s="109" t="s">
        <v>139</v>
      </c>
      <c r="D56" s="109" t="s">
        <v>140</v>
      </c>
    </row>
    <row r="57" spans="3:8">
      <c r="D57" s="69" t="s">
        <v>141</v>
      </c>
    </row>
    <row r="58" spans="3:8">
      <c r="D58" s="108" t="s">
        <v>127</v>
      </c>
      <c r="E58" s="108"/>
      <c r="F58" s="108"/>
      <c r="G58" s="108"/>
      <c r="H58" s="108"/>
    </row>
    <row r="60" spans="3:8">
      <c r="C60" s="109" t="s">
        <v>142</v>
      </c>
      <c r="D60" s="109" t="s">
        <v>143</v>
      </c>
    </row>
    <row r="61" spans="3:8">
      <c r="D61" s="69" t="s">
        <v>141</v>
      </c>
    </row>
    <row r="62" spans="3:8">
      <c r="D62" s="108" t="s">
        <v>127</v>
      </c>
      <c r="E62" s="108"/>
      <c r="F62" s="108"/>
      <c r="G62" s="108"/>
      <c r="H62" s="108"/>
    </row>
    <row r="64" spans="3:8">
      <c r="C64" s="109" t="s">
        <v>144</v>
      </c>
      <c r="D64" s="109" t="s">
        <v>145</v>
      </c>
    </row>
    <row r="65" spans="1:8">
      <c r="D65" s="69" t="s">
        <v>146</v>
      </c>
    </row>
    <row r="66" spans="1:8">
      <c r="D66" s="69" t="s">
        <v>147</v>
      </c>
    </row>
    <row r="67" spans="1:8">
      <c r="D67" s="108" t="s">
        <v>127</v>
      </c>
      <c r="E67" s="108"/>
      <c r="F67" s="108"/>
      <c r="G67" s="108"/>
      <c r="H67" s="108"/>
    </row>
    <row r="68" spans="1:8" ht="19.5" customHeight="1"/>
    <row r="69" spans="1:8">
      <c r="A69" s="102" t="s">
        <v>148</v>
      </c>
      <c r="B69" s="96" t="s">
        <v>149</v>
      </c>
    </row>
    <row r="70" spans="1:8">
      <c r="A70" s="102"/>
      <c r="B70" s="96" t="s">
        <v>99</v>
      </c>
    </row>
    <row r="71" spans="1:8" s="106" customFormat="1" ht="18" customHeight="1">
      <c r="A71" s="64"/>
      <c r="B71" s="102" t="s">
        <v>150</v>
      </c>
      <c r="C71" s="106" t="s">
        <v>151</v>
      </c>
    </row>
    <row r="72" spans="1:8">
      <c r="B72" s="107" t="s">
        <v>152</v>
      </c>
      <c r="C72" s="110" t="s">
        <v>153</v>
      </c>
      <c r="D72" s="110"/>
      <c r="E72" s="110"/>
      <c r="F72" s="110"/>
      <c r="G72" s="110"/>
    </row>
    <row r="73" spans="1:8" ht="24.75" customHeight="1"/>
    <row r="74" spans="1:8" s="106" customFormat="1" ht="15" customHeight="1">
      <c r="A74" s="102" t="s">
        <v>154</v>
      </c>
      <c r="B74" s="61" t="s">
        <v>155</v>
      </c>
    </row>
    <row r="75" spans="1:8" s="106" customFormat="1" ht="15.75" customHeight="1">
      <c r="A75" s="64"/>
      <c r="B75" s="102" t="s">
        <v>156</v>
      </c>
      <c r="C75" s="58" t="s">
        <v>157</v>
      </c>
    </row>
    <row r="76" spans="1:8">
      <c r="B76" s="107" t="s">
        <v>158</v>
      </c>
      <c r="C76" s="111" t="s">
        <v>159</v>
      </c>
      <c r="D76" s="111"/>
      <c r="E76" s="111"/>
      <c r="F76" s="111"/>
    </row>
    <row r="77" spans="1:8" ht="24.75" customHeight="1"/>
    <row r="78" spans="1:8">
      <c r="A78" s="102" t="s">
        <v>160</v>
      </c>
      <c r="B78" s="96" t="s">
        <v>161</v>
      </c>
    </row>
    <row r="79" spans="1:8" s="106" customFormat="1" ht="16.5" customHeight="1">
      <c r="A79" s="64"/>
      <c r="B79" s="102" t="s">
        <v>162</v>
      </c>
      <c r="C79" s="58" t="s">
        <v>163</v>
      </c>
    </row>
    <row r="80" spans="1:8" s="106" customFormat="1" ht="14.25" customHeight="1">
      <c r="A80" s="64"/>
      <c r="B80" s="102" t="s">
        <v>164</v>
      </c>
      <c r="C80" s="112" t="s">
        <v>153</v>
      </c>
      <c r="D80" s="112"/>
      <c r="E80" s="112"/>
      <c r="F80" s="112"/>
      <c r="G80" s="112"/>
    </row>
    <row r="81" spans="1:7" s="106" customFormat="1" ht="23.25" customHeight="1">
      <c r="A81" s="64"/>
      <c r="B81" s="102"/>
      <c r="C81" s="113"/>
      <c r="D81" s="113"/>
      <c r="E81" s="113"/>
      <c r="F81" s="113"/>
      <c r="G81" s="113"/>
    </row>
  </sheetData>
  <mergeCells count="1">
    <mergeCell ref="A4:X4"/>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xl/worksheets/sheet3.xml><?xml version="1.0" encoding="utf-8"?>
<worksheet xmlns="http://schemas.openxmlformats.org/spreadsheetml/2006/main" xmlns:r="http://schemas.openxmlformats.org/officeDocument/2006/relationships">
  <sheetPr>
    <tabColor theme="7" tint="0.79998168889431442"/>
    <pageSetUpPr fitToPage="1"/>
  </sheetPr>
  <dimension ref="A1:AMK205"/>
  <sheetViews>
    <sheetView showGridLines="0" zoomScale="95" zoomScaleNormal="95" workbookViewId="0">
      <selection activeCell="J8" sqref="J8"/>
    </sheetView>
  </sheetViews>
  <sheetFormatPr defaultRowHeight="14.4"/>
  <cols>
    <col min="1" max="1" width="9.88671875" style="1" customWidth="1"/>
    <col min="2" max="2" width="10.44140625" style="1" customWidth="1"/>
    <col min="3" max="3" width="41.5546875" style="1" customWidth="1"/>
    <col min="4" max="4" width="12" style="1" customWidth="1"/>
    <col min="5" max="5" width="15.6640625" style="1" customWidth="1"/>
    <col min="6" max="6" width="14.88671875" style="1" customWidth="1"/>
    <col min="7" max="7" width="14" style="1" customWidth="1"/>
    <col min="8" max="8" width="13.5546875" style="1" customWidth="1"/>
    <col min="9" max="9" width="13.44140625" style="1" customWidth="1"/>
    <col min="10" max="10" width="13.5546875" style="2" customWidth="1"/>
    <col min="11" max="11" width="18.33203125" style="2" customWidth="1"/>
    <col min="12" max="12" width="13.33203125" style="1" customWidth="1"/>
    <col min="13" max="13" width="15.109375" style="1" customWidth="1"/>
    <col min="14" max="14" width="9.6640625" style="1" customWidth="1"/>
    <col min="15" max="15" width="12.6640625" style="1" customWidth="1"/>
    <col min="16" max="18" width="13.5546875" style="1" customWidth="1"/>
    <col min="19" max="19" width="15" style="1" customWidth="1"/>
    <col min="20" max="255" width="9.109375" style="1" customWidth="1"/>
    <col min="256" max="256" width="9.88671875" style="1" customWidth="1"/>
    <col min="257" max="257" width="10.44140625" style="1" customWidth="1"/>
    <col min="258" max="258" width="39.33203125" style="1" customWidth="1"/>
    <col min="259" max="259" width="15" style="1" customWidth="1"/>
    <col min="260" max="260" width="11" style="1" customWidth="1"/>
    <col min="261" max="261" width="11.109375" style="1" customWidth="1"/>
    <col min="262" max="262" width="12.88671875" style="1" customWidth="1"/>
    <col min="263" max="263" width="13.109375" style="1" customWidth="1"/>
    <col min="264" max="267" width="14.109375" style="1" customWidth="1"/>
    <col min="268" max="268" width="14.44140625" style="1" customWidth="1"/>
    <col min="269" max="269" width="9.6640625" style="1" customWidth="1"/>
    <col min="270" max="270" width="12.6640625" style="1" customWidth="1"/>
    <col min="271" max="273" width="13.5546875" style="1" customWidth="1"/>
    <col min="274" max="274" width="12.109375" style="1" customWidth="1"/>
    <col min="275" max="275" width="15" style="1" customWidth="1"/>
    <col min="276" max="511" width="9.109375" style="1" customWidth="1"/>
    <col min="512" max="512" width="9.88671875" style="1" customWidth="1"/>
    <col min="513" max="513" width="10.44140625" style="1" customWidth="1"/>
    <col min="514" max="514" width="39.33203125" style="1" customWidth="1"/>
    <col min="515" max="515" width="15" style="1" customWidth="1"/>
    <col min="516" max="516" width="11" style="1" customWidth="1"/>
    <col min="517" max="517" width="11.109375" style="1" customWidth="1"/>
    <col min="518" max="518" width="12.88671875" style="1" customWidth="1"/>
    <col min="519" max="519" width="13.109375" style="1" customWidth="1"/>
    <col min="520" max="523" width="14.109375" style="1" customWidth="1"/>
    <col min="524" max="524" width="14.44140625" style="1" customWidth="1"/>
    <col min="525" max="525" width="9.6640625" style="1" customWidth="1"/>
    <col min="526" max="526" width="12.6640625" style="1" customWidth="1"/>
    <col min="527" max="529" width="13.5546875" style="1" customWidth="1"/>
    <col min="530" max="530" width="12.109375" style="1" customWidth="1"/>
    <col min="531" max="531" width="15" style="1" customWidth="1"/>
    <col min="532" max="767" width="9.109375" style="1" customWidth="1"/>
    <col min="768" max="768" width="9.88671875" style="1" customWidth="1"/>
    <col min="769" max="769" width="10.44140625" style="1" customWidth="1"/>
    <col min="770" max="770" width="39.33203125" style="1" customWidth="1"/>
    <col min="771" max="771" width="15" style="1" customWidth="1"/>
    <col min="772" max="772" width="11" style="1" customWidth="1"/>
    <col min="773" max="773" width="11.109375" style="1" customWidth="1"/>
    <col min="774" max="774" width="12.88671875" style="1" customWidth="1"/>
    <col min="775" max="775" width="13.109375" style="1" customWidth="1"/>
    <col min="776" max="779" width="14.109375" style="1" customWidth="1"/>
    <col min="780" max="780" width="14.44140625" style="1" customWidth="1"/>
    <col min="781" max="781" width="9.6640625" style="1" customWidth="1"/>
    <col min="782" max="782" width="12.6640625" style="1" customWidth="1"/>
    <col min="783" max="785" width="13.5546875" style="1" customWidth="1"/>
    <col min="786" max="786" width="12.109375" style="1" customWidth="1"/>
    <col min="787" max="787" width="15" style="1" customWidth="1"/>
    <col min="788" max="1023" width="9.109375" style="1" customWidth="1"/>
    <col min="1024" max="1025" width="9.88671875" style="1" customWidth="1"/>
  </cols>
  <sheetData>
    <row r="1" spans="1:21">
      <c r="A1" s="114"/>
      <c r="B1" s="100" t="str">
        <f>INSTRUÇÕES!B1</f>
        <v>Tribunal Regional Federal da 6ª Região</v>
      </c>
      <c r="D1" s="69"/>
      <c r="E1" s="69"/>
      <c r="F1" s="69"/>
      <c r="G1" s="69"/>
      <c r="H1" s="69"/>
      <c r="I1" s="69"/>
      <c r="J1" s="115"/>
      <c r="K1" s="115"/>
      <c r="L1" s="69"/>
      <c r="M1" s="69"/>
      <c r="N1" s="69"/>
    </row>
    <row r="2" spans="1:21">
      <c r="A2" s="114"/>
      <c r="B2" s="100" t="str">
        <f>INSTRUÇÕES!B2</f>
        <v>Seção Judiciária de Minas Gerais</v>
      </c>
      <c r="D2" s="69"/>
      <c r="E2" s="69"/>
      <c r="F2" s="69"/>
      <c r="G2" s="69"/>
      <c r="H2" s="69"/>
      <c r="I2" s="69"/>
      <c r="J2" s="115"/>
      <c r="K2" s="115"/>
      <c r="L2" s="69"/>
      <c r="M2" s="69"/>
      <c r="N2" s="69"/>
    </row>
    <row r="3" spans="1:21" ht="18">
      <c r="A3" s="114"/>
      <c r="B3" s="100" t="str">
        <f>INSTRUÇÕES!B3</f>
        <v>Subseção Judiciária de Divinópolis</v>
      </c>
      <c r="D3" s="69"/>
      <c r="E3" s="116" t="s">
        <v>165</v>
      </c>
      <c r="F3" s="69"/>
      <c r="G3" s="69"/>
      <c r="H3" s="69"/>
      <c r="I3" s="69"/>
      <c r="J3" s="115"/>
      <c r="K3" s="115"/>
      <c r="L3" s="69"/>
      <c r="M3" s="69"/>
      <c r="N3" s="69"/>
      <c r="R3" s="69"/>
    </row>
    <row r="4" spans="1:21" s="17" customFormat="1" ht="24.75" customHeight="1">
      <c r="A4" s="117" t="str">
        <f>CONCATENATE("Sindicato utilizado - ",E13,". Vigência: ",E15,". Sendo a data base da categoria ",E16,". Com número de registro no MTE ",E14,".")</f>
        <v>Sindicato utilizado - SINTAPPI x SINSERHT. Vigência: 2024/2025. Sendo a data base da categoria 01° de Abril. Com número de registro no MTE MG002103/2024.</v>
      </c>
      <c r="B4" s="117"/>
      <c r="C4" s="118"/>
      <c r="D4" s="1"/>
      <c r="E4" s="117"/>
      <c r="F4" s="119"/>
      <c r="G4" s="119"/>
      <c r="H4" s="119"/>
      <c r="I4" s="119"/>
      <c r="J4" s="119"/>
      <c r="K4" s="119"/>
      <c r="L4" s="119"/>
      <c r="M4" s="119"/>
      <c r="N4" s="119"/>
      <c r="O4" s="119"/>
      <c r="P4" s="119"/>
      <c r="Q4" s="119"/>
      <c r="R4" s="119"/>
      <c r="S4" s="119"/>
    </row>
    <row r="5" spans="1:21" s="17" customFormat="1" ht="66.75" customHeight="1">
      <c r="A5" s="588" t="s">
        <v>166</v>
      </c>
      <c r="B5" s="588" t="s">
        <v>167</v>
      </c>
      <c r="C5" s="588" t="s">
        <v>25</v>
      </c>
      <c r="D5" s="588" t="s">
        <v>168</v>
      </c>
      <c r="E5" s="588" t="s">
        <v>169</v>
      </c>
      <c r="F5" s="588" t="s">
        <v>170</v>
      </c>
      <c r="G5" s="588" t="s">
        <v>171</v>
      </c>
      <c r="H5" s="588" t="s">
        <v>172</v>
      </c>
      <c r="I5" s="588" t="s">
        <v>173</v>
      </c>
      <c r="J5" s="588" t="s">
        <v>174</v>
      </c>
      <c r="K5" s="588" t="s">
        <v>175</v>
      </c>
      <c r="L5" s="588" t="s">
        <v>176</v>
      </c>
      <c r="M5" s="577" t="s">
        <v>177</v>
      </c>
      <c r="N5" s="120" t="s">
        <v>178</v>
      </c>
      <c r="O5" s="120" t="s">
        <v>179</v>
      </c>
      <c r="P5" s="120" t="s">
        <v>180</v>
      </c>
      <c r="Q5" s="120" t="s">
        <v>181</v>
      </c>
      <c r="R5" s="120" t="s">
        <v>182</v>
      </c>
      <c r="S5" s="588" t="s">
        <v>183</v>
      </c>
      <c r="U5" s="122"/>
    </row>
    <row r="6" spans="1:21" s="17" customFormat="1" ht="28.8">
      <c r="A6" s="588"/>
      <c r="B6" s="588"/>
      <c r="C6" s="588"/>
      <c r="D6" s="588"/>
      <c r="E6" s="588"/>
      <c r="F6" s="588"/>
      <c r="G6" s="588"/>
      <c r="H6" s="588"/>
      <c r="I6" s="588"/>
      <c r="J6" s="588"/>
      <c r="K6" s="588"/>
      <c r="L6" s="588"/>
      <c r="M6" s="577"/>
      <c r="N6" s="123" t="s">
        <v>184</v>
      </c>
      <c r="O6" s="124">
        <f>B7+B8</f>
        <v>2</v>
      </c>
      <c r="P6" s="124">
        <f>B8</f>
        <v>1</v>
      </c>
      <c r="Q6" s="124"/>
      <c r="R6" s="124"/>
      <c r="S6" s="588"/>
      <c r="U6" s="122"/>
    </row>
    <row r="7" spans="1:21" s="17" customFormat="1" ht="24.75" customHeight="1">
      <c r="A7" s="589" t="s">
        <v>185</v>
      </c>
      <c r="B7" s="124">
        <v>1</v>
      </c>
      <c r="C7" s="125" t="s">
        <v>186</v>
      </c>
      <c r="D7" s="124">
        <v>200</v>
      </c>
      <c r="E7" s="126">
        <v>1526.8</v>
      </c>
      <c r="F7" s="127">
        <f>ROUND(((E7/220)*D7),2)</f>
        <v>1388</v>
      </c>
      <c r="G7" s="128">
        <v>0.4</v>
      </c>
      <c r="H7" s="127">
        <f>G7*G26</f>
        <v>564.80000000000007</v>
      </c>
      <c r="I7" s="36">
        <v>0</v>
      </c>
      <c r="J7" s="36">
        <v>0</v>
      </c>
      <c r="K7" s="36"/>
      <c r="L7" s="36">
        <v>0</v>
      </c>
      <c r="M7" s="129">
        <f>F7+H7+L7</f>
        <v>1952.8000000000002</v>
      </c>
      <c r="N7" s="127">
        <f>Uniforme!H15</f>
        <v>41.93</v>
      </c>
      <c r="O7" s="127">
        <f>ROUND((Materiais!K35/$O$6),2)</f>
        <v>1136.3900000000001</v>
      </c>
      <c r="P7" s="127"/>
      <c r="Q7" s="127">
        <f>EPI!F10/2</f>
        <v>4.17</v>
      </c>
      <c r="R7" s="127"/>
      <c r="S7" s="130">
        <v>2</v>
      </c>
      <c r="U7" s="122"/>
    </row>
    <row r="8" spans="1:21" s="17" customFormat="1" ht="21" customHeight="1">
      <c r="A8" s="589"/>
      <c r="B8" s="124">
        <v>1</v>
      </c>
      <c r="C8" s="125" t="s">
        <v>658</v>
      </c>
      <c r="D8" s="124">
        <v>200</v>
      </c>
      <c r="E8" s="126">
        <v>1526.8</v>
      </c>
      <c r="F8" s="127">
        <f>ROUND(((E8/220)*D8),2)</f>
        <v>1388</v>
      </c>
      <c r="G8" s="131">
        <v>0</v>
      </c>
      <c r="H8" s="36">
        <v>0</v>
      </c>
      <c r="I8" s="132">
        <v>0.12</v>
      </c>
      <c r="J8" s="128">
        <v>0.25</v>
      </c>
      <c r="K8" s="126">
        <f>F8</f>
        <v>1388</v>
      </c>
      <c r="L8" s="133">
        <f>ROUND((K8*I8*J8),2)</f>
        <v>41.64</v>
      </c>
      <c r="M8" s="129">
        <f>F8+H8+L8</f>
        <v>1429.64</v>
      </c>
      <c r="N8" s="127">
        <f>Uniforme!H15+Uniforme!H21</f>
        <v>46.72</v>
      </c>
      <c r="O8" s="127">
        <f>ROUND((Materiais!K35/$O$6),2)</f>
        <v>1136.3900000000001</v>
      </c>
      <c r="P8" s="127">
        <f>Materiais!K44/P6</f>
        <v>207.53</v>
      </c>
      <c r="Q8" s="127">
        <f>EPI!F10/2</f>
        <v>4.17</v>
      </c>
      <c r="R8" s="127"/>
      <c r="S8" s="130">
        <v>2</v>
      </c>
      <c r="U8" s="122"/>
    </row>
    <row r="9" spans="1:21" ht="24.75" customHeight="1">
      <c r="A9" s="539" t="s">
        <v>656</v>
      </c>
      <c r="B9" s="124">
        <v>3</v>
      </c>
      <c r="C9" s="125" t="s">
        <v>187</v>
      </c>
      <c r="D9" s="124">
        <v>200</v>
      </c>
      <c r="E9" s="126">
        <v>1914</v>
      </c>
      <c r="F9" s="127">
        <f>ROUND(((E9/220)*D9),2)</f>
        <v>1740</v>
      </c>
      <c r="G9" s="131">
        <v>0</v>
      </c>
      <c r="H9" s="36">
        <v>0</v>
      </c>
      <c r="I9" s="36">
        <v>0</v>
      </c>
      <c r="J9" s="36">
        <v>0</v>
      </c>
      <c r="K9" s="36"/>
      <c r="L9" s="36">
        <v>0</v>
      </c>
      <c r="M9" s="129">
        <f>F9+H9+L9</f>
        <v>1740</v>
      </c>
      <c r="N9" s="127">
        <f>Uniforme!H29</f>
        <v>63.83</v>
      </c>
      <c r="O9" s="127"/>
      <c r="P9" s="127"/>
      <c r="Q9" s="127"/>
      <c r="R9" s="127"/>
      <c r="S9" s="130">
        <v>1</v>
      </c>
    </row>
    <row r="10" spans="1:21" ht="34.5" customHeight="1">
      <c r="A10" s="134" t="s">
        <v>188</v>
      </c>
      <c r="B10" s="2"/>
      <c r="C10" s="2"/>
      <c r="D10" s="134"/>
      <c r="E10" s="1">
        <v>9</v>
      </c>
      <c r="F10" s="134"/>
      <c r="G10" s="134" t="s">
        <v>189</v>
      </c>
      <c r="H10" s="134"/>
      <c r="I10" s="134"/>
      <c r="J10" s="134"/>
      <c r="K10" s="117"/>
      <c r="L10" s="135" t="s">
        <v>190</v>
      </c>
      <c r="M10" s="136">
        <f>SUM(M7:M9)</f>
        <v>5122.4400000000005</v>
      </c>
      <c r="N10" s="117"/>
      <c r="O10" s="117"/>
      <c r="P10" s="117"/>
      <c r="Q10" s="117"/>
      <c r="R10" s="117"/>
      <c r="S10" s="117"/>
    </row>
    <row r="11" spans="1:21" ht="24.75" customHeight="1">
      <c r="A11" s="583" t="s">
        <v>191</v>
      </c>
      <c r="B11" s="583"/>
      <c r="C11" s="583"/>
      <c r="D11" s="583"/>
      <c r="E11" s="583"/>
      <c r="F11" s="583"/>
      <c r="G11" s="583"/>
      <c r="N11" s="117"/>
      <c r="O11" s="117"/>
      <c r="P11" s="117"/>
      <c r="Q11" s="117"/>
      <c r="R11" s="117"/>
      <c r="S11" s="117"/>
    </row>
    <row r="12" spans="1:21" ht="24" customHeight="1">
      <c r="A12" s="138">
        <v>1</v>
      </c>
      <c r="B12" s="580" t="s">
        <v>192</v>
      </c>
      <c r="C12" s="580"/>
      <c r="D12" s="580"/>
      <c r="E12" s="584" t="s">
        <v>193</v>
      </c>
      <c r="F12" s="584"/>
      <c r="G12" s="584"/>
      <c r="H12" s="14" t="s">
        <v>194</v>
      </c>
      <c r="N12" s="117"/>
      <c r="O12" s="117"/>
      <c r="P12" s="117"/>
      <c r="Q12" s="117"/>
      <c r="R12" s="117"/>
      <c r="S12" s="58"/>
    </row>
    <row r="13" spans="1:21" ht="24" customHeight="1">
      <c r="A13" s="138">
        <v>2</v>
      </c>
      <c r="B13" s="580" t="s">
        <v>195</v>
      </c>
      <c r="C13" s="580"/>
      <c r="D13" s="580"/>
      <c r="E13" s="584" t="s">
        <v>196</v>
      </c>
      <c r="F13" s="584"/>
      <c r="G13" s="584"/>
      <c r="H13" s="14" t="s">
        <v>197</v>
      </c>
      <c r="N13" s="117"/>
      <c r="O13" s="117"/>
      <c r="P13" s="117"/>
      <c r="Q13" s="117"/>
      <c r="R13" s="117"/>
      <c r="S13" s="58"/>
    </row>
    <row r="14" spans="1:21" ht="24" customHeight="1">
      <c r="A14" s="138">
        <v>3</v>
      </c>
      <c r="B14" s="580" t="s">
        <v>198</v>
      </c>
      <c r="C14" s="580"/>
      <c r="D14" s="580"/>
      <c r="E14" s="584" t="s">
        <v>199</v>
      </c>
      <c r="F14" s="584"/>
      <c r="G14" s="584"/>
      <c r="H14" s="14" t="s">
        <v>200</v>
      </c>
      <c r="N14" s="117"/>
      <c r="O14" s="117"/>
      <c r="P14" s="117"/>
      <c r="Q14" s="117"/>
      <c r="R14" s="117"/>
      <c r="S14" s="58"/>
    </row>
    <row r="15" spans="1:21" ht="24" customHeight="1">
      <c r="A15" s="138">
        <v>4</v>
      </c>
      <c r="B15" s="580" t="s">
        <v>201</v>
      </c>
      <c r="C15" s="580"/>
      <c r="D15" s="580"/>
      <c r="E15" s="584" t="s">
        <v>202</v>
      </c>
      <c r="F15" s="584"/>
      <c r="G15" s="584"/>
      <c r="H15" s="14" t="s">
        <v>203</v>
      </c>
      <c r="N15" s="117"/>
      <c r="O15" s="117"/>
      <c r="P15" s="117"/>
      <c r="Q15" s="117"/>
      <c r="R15" s="117"/>
      <c r="S15" s="58"/>
    </row>
    <row r="16" spans="1:21" ht="24" customHeight="1">
      <c r="A16" s="138">
        <v>5</v>
      </c>
      <c r="B16" s="580" t="s">
        <v>204</v>
      </c>
      <c r="C16" s="580"/>
      <c r="D16" s="580"/>
      <c r="E16" s="584" t="s">
        <v>205</v>
      </c>
      <c r="F16" s="584"/>
      <c r="G16" s="584"/>
      <c r="H16" s="14" t="s">
        <v>206</v>
      </c>
      <c r="N16" s="117"/>
      <c r="O16" s="117"/>
      <c r="P16" s="117"/>
      <c r="Q16" s="117"/>
      <c r="R16" s="117"/>
      <c r="S16" s="58"/>
    </row>
    <row r="17" spans="1:18" s="1" customFormat="1" ht="12.75" customHeight="1">
      <c r="A17" s="139"/>
      <c r="H17" s="14"/>
    </row>
    <row r="18" spans="1:18" s="58" customFormat="1" ht="24.75" customHeight="1">
      <c r="A18" s="583" t="s">
        <v>207</v>
      </c>
      <c r="B18" s="583"/>
      <c r="C18" s="583"/>
      <c r="D18" s="583"/>
      <c r="E18" s="583"/>
      <c r="F18" s="583"/>
      <c r="G18" s="583"/>
      <c r="H18" s="14"/>
      <c r="I18" s="117"/>
      <c r="J18" s="117"/>
      <c r="K18" s="117"/>
      <c r="L18" s="117"/>
      <c r="M18" s="117"/>
      <c r="N18" s="117"/>
      <c r="O18" s="117"/>
      <c r="P18" s="117"/>
      <c r="Q18" s="117"/>
      <c r="R18" s="117"/>
    </row>
    <row r="19" spans="1:18" s="1" customFormat="1" ht="24" customHeight="1">
      <c r="A19" s="138" t="s">
        <v>208</v>
      </c>
      <c r="B19" s="580" t="s">
        <v>209</v>
      </c>
      <c r="C19" s="580"/>
      <c r="D19" s="580"/>
      <c r="E19" s="580"/>
      <c r="F19" s="580"/>
      <c r="G19" s="128">
        <f>Encargos!C57</f>
        <v>0.76400000000000001</v>
      </c>
      <c r="H19" s="14"/>
    </row>
    <row r="20" spans="1:18" s="1" customFormat="1" ht="12.75" customHeight="1">
      <c r="A20" s="139"/>
      <c r="G20" s="2"/>
      <c r="H20" s="14"/>
    </row>
    <row r="21" spans="1:18" s="1" customFormat="1" ht="24.75" customHeight="1">
      <c r="A21" s="94">
        <v>1</v>
      </c>
      <c r="B21" s="580" t="s">
        <v>210</v>
      </c>
      <c r="C21" s="580"/>
      <c r="D21" s="580"/>
      <c r="E21" s="580"/>
      <c r="F21" s="580"/>
      <c r="G21" s="140">
        <f>G22*G23</f>
        <v>0.06</v>
      </c>
      <c r="H21" s="14"/>
    </row>
    <row r="22" spans="1:18" s="1" customFormat="1" ht="24.75" customHeight="1">
      <c r="A22" s="94">
        <v>2</v>
      </c>
      <c r="B22" s="580" t="s">
        <v>211</v>
      </c>
      <c r="C22" s="580"/>
      <c r="D22" s="580"/>
      <c r="E22" s="580"/>
      <c r="F22" s="580"/>
      <c r="G22" s="132">
        <v>0.03</v>
      </c>
      <c r="H22" s="14" t="s">
        <v>212</v>
      </c>
    </row>
    <row r="23" spans="1:18" s="1" customFormat="1" ht="24.75" customHeight="1">
      <c r="A23" s="94">
        <v>3</v>
      </c>
      <c r="B23" s="580" t="s">
        <v>213</v>
      </c>
      <c r="C23" s="580"/>
      <c r="D23" s="580"/>
      <c r="E23" s="580"/>
      <c r="F23" s="580"/>
      <c r="G23" s="141">
        <v>2</v>
      </c>
      <c r="H23" s="14" t="s">
        <v>214</v>
      </c>
    </row>
    <row r="24" spans="1:18" s="1" customFormat="1" ht="12.75" customHeight="1">
      <c r="A24" s="139"/>
      <c r="B24" s="117"/>
      <c r="C24" s="117"/>
      <c r="D24" s="117"/>
      <c r="E24" s="117"/>
      <c r="F24" s="117"/>
      <c r="H24" s="14"/>
    </row>
    <row r="25" spans="1:18" s="1" customFormat="1" ht="24.75" customHeight="1">
      <c r="A25" s="583" t="s">
        <v>215</v>
      </c>
      <c r="B25" s="583"/>
      <c r="C25" s="583"/>
      <c r="D25" s="583"/>
      <c r="E25" s="583"/>
      <c r="F25" s="583"/>
      <c r="G25" s="583"/>
      <c r="H25" s="14"/>
    </row>
    <row r="26" spans="1:18" s="1" customFormat="1" ht="24.75" customHeight="1">
      <c r="A26" s="94">
        <v>1</v>
      </c>
      <c r="B26" s="580" t="s">
        <v>216</v>
      </c>
      <c r="C26" s="580"/>
      <c r="D26" s="580"/>
      <c r="E26" s="580"/>
      <c r="F26" s="580"/>
      <c r="G26" s="126">
        <v>1412</v>
      </c>
      <c r="H26" s="14" t="s">
        <v>217</v>
      </c>
    </row>
    <row r="27" spans="1:18" s="1" customFormat="1" ht="12.75" customHeight="1">
      <c r="A27" s="142"/>
      <c r="B27" s="143"/>
      <c r="C27" s="143"/>
      <c r="D27" s="143"/>
      <c r="E27" s="143"/>
      <c r="F27" s="143"/>
      <c r="G27" s="144"/>
      <c r="H27" s="14"/>
    </row>
    <row r="28" spans="1:18" s="58" customFormat="1" ht="24.75" customHeight="1">
      <c r="A28" s="583" t="s">
        <v>218</v>
      </c>
      <c r="B28" s="583"/>
      <c r="C28" s="583"/>
      <c r="D28" s="583"/>
      <c r="E28" s="583"/>
      <c r="F28" s="583"/>
      <c r="G28" s="583"/>
      <c r="H28" s="14"/>
      <c r="I28" s="1"/>
      <c r="J28" s="1"/>
      <c r="K28" s="117"/>
      <c r="L28" s="117"/>
      <c r="M28" s="117"/>
      <c r="N28" s="117"/>
      <c r="O28" s="117"/>
      <c r="P28" s="117"/>
      <c r="Q28" s="117"/>
      <c r="R28" s="117"/>
    </row>
    <row r="29" spans="1:18" s="1" customFormat="1" ht="26.25" customHeight="1">
      <c r="A29" s="138">
        <v>1</v>
      </c>
      <c r="B29" s="580" t="s">
        <v>219</v>
      </c>
      <c r="C29" s="580"/>
      <c r="D29" s="580"/>
      <c r="E29" s="580"/>
      <c r="F29" s="580"/>
      <c r="G29" s="145">
        <v>7.2</v>
      </c>
      <c r="H29" s="14" t="s">
        <v>220</v>
      </c>
    </row>
    <row r="30" spans="1:18" s="1" customFormat="1" ht="26.25" customHeight="1">
      <c r="A30" s="146">
        <v>2</v>
      </c>
      <c r="B30" s="580" t="s">
        <v>221</v>
      </c>
      <c r="C30" s="580"/>
      <c r="D30" s="580"/>
      <c r="E30" s="580"/>
      <c r="F30" s="580"/>
      <c r="G30" s="141">
        <v>0</v>
      </c>
      <c r="H30" s="14" t="s">
        <v>220</v>
      </c>
    </row>
    <row r="31" spans="1:18" s="1" customFormat="1" ht="26.25" customHeight="1">
      <c r="A31" s="579">
        <v>3</v>
      </c>
      <c r="B31" s="586" t="s">
        <v>222</v>
      </c>
      <c r="C31" s="586"/>
      <c r="D31" s="580" t="s">
        <v>223</v>
      </c>
      <c r="E31" s="580"/>
      <c r="F31" s="580"/>
      <c r="G31" s="147">
        <v>3.65</v>
      </c>
      <c r="H31" s="14" t="str">
        <f>IF(G31&lt;&gt;Estimativa_ADM!C9,"VALOR INSERIDO É DIFERENTE DO ESTIMADO PELA ADMINISTRAÇÃO","Inserir o valor unitário da tarifa.")</f>
        <v>Inserir o valor unitário da tarifa.</v>
      </c>
      <c r="I31" s="117"/>
      <c r="O31" s="60"/>
    </row>
    <row r="32" spans="1:18" s="1" customFormat="1" ht="26.25" customHeight="1">
      <c r="A32" s="579"/>
      <c r="B32" s="586"/>
      <c r="C32" s="586"/>
      <c r="D32" s="580" t="s">
        <v>224</v>
      </c>
      <c r="E32" s="580"/>
      <c r="F32" s="580"/>
      <c r="G32" s="147">
        <v>2</v>
      </c>
      <c r="H32" s="14" t="s">
        <v>225</v>
      </c>
      <c r="I32" s="117"/>
      <c r="O32" s="60"/>
    </row>
    <row r="33" spans="1:18" s="1" customFormat="1" ht="26.25" customHeight="1">
      <c r="A33" s="579"/>
      <c r="B33" s="586"/>
      <c r="C33" s="586"/>
      <c r="D33" s="580" t="s">
        <v>226</v>
      </c>
      <c r="E33" s="580"/>
      <c r="F33" s="580"/>
      <c r="G33" s="148">
        <v>22</v>
      </c>
      <c r="H33" s="14" t="s">
        <v>227</v>
      </c>
      <c r="I33" s="117"/>
      <c r="O33" s="60"/>
    </row>
    <row r="34" spans="1:18" ht="26.25" customHeight="1">
      <c r="A34" s="579"/>
      <c r="B34" s="586"/>
      <c r="C34" s="586"/>
      <c r="D34" s="587" t="s">
        <v>228</v>
      </c>
      <c r="E34" s="587"/>
      <c r="F34" s="587"/>
      <c r="G34" s="149">
        <v>0.06</v>
      </c>
      <c r="H34" s="14" t="s">
        <v>229</v>
      </c>
      <c r="O34" s="60"/>
    </row>
    <row r="35" spans="1:18" s="1" customFormat="1" ht="26.25" customHeight="1">
      <c r="A35" s="579">
        <v>4</v>
      </c>
      <c r="B35" s="586" t="s">
        <v>230</v>
      </c>
      <c r="C35" s="586"/>
      <c r="D35" s="580" t="s">
        <v>231</v>
      </c>
      <c r="E35" s="580"/>
      <c r="F35" s="580"/>
      <c r="G35" s="141">
        <v>27</v>
      </c>
      <c r="H35" s="14" t="s">
        <v>232</v>
      </c>
      <c r="I35" s="117"/>
    </row>
    <row r="36" spans="1:18" ht="26.25" customHeight="1">
      <c r="A36" s="579"/>
      <c r="B36" s="586"/>
      <c r="C36" s="586"/>
      <c r="D36" s="580" t="s">
        <v>226</v>
      </c>
      <c r="E36" s="580"/>
      <c r="F36" s="580"/>
      <c r="G36" s="148">
        <f>G33</f>
        <v>22</v>
      </c>
      <c r="H36" s="14" t="s">
        <v>227</v>
      </c>
      <c r="I36" s="150"/>
      <c r="J36" s="150"/>
      <c r="K36" s="117"/>
      <c r="O36" s="60"/>
    </row>
    <row r="37" spans="1:18" s="1" customFormat="1" ht="26.25" customHeight="1">
      <c r="A37" s="579"/>
      <c r="B37" s="586"/>
      <c r="C37" s="586"/>
      <c r="D37" s="587" t="s">
        <v>228</v>
      </c>
      <c r="E37" s="587"/>
      <c r="F37" s="587"/>
      <c r="G37" s="132">
        <v>0.2</v>
      </c>
      <c r="H37" s="14" t="s">
        <v>229</v>
      </c>
      <c r="O37" s="60"/>
    </row>
    <row r="38" spans="1:18" s="1" customFormat="1" ht="26.25" customHeight="1">
      <c r="A38" s="138">
        <v>5</v>
      </c>
      <c r="B38" s="585" t="s">
        <v>233</v>
      </c>
      <c r="C38" s="585"/>
      <c r="D38" s="585"/>
      <c r="E38" s="585"/>
      <c r="F38" s="585"/>
      <c r="G38" s="141">
        <v>0</v>
      </c>
      <c r="H38" s="14" t="s">
        <v>234</v>
      </c>
      <c r="O38" s="60"/>
    </row>
    <row r="39" spans="1:18" s="1" customFormat="1" ht="26.25" customHeight="1">
      <c r="A39" s="138">
        <v>6</v>
      </c>
      <c r="B39" s="585" t="s">
        <v>233</v>
      </c>
      <c r="C39" s="585"/>
      <c r="D39" s="585"/>
      <c r="E39" s="585"/>
      <c r="F39" s="585"/>
      <c r="G39" s="141">
        <v>0</v>
      </c>
      <c r="H39" s="14" t="s">
        <v>234</v>
      </c>
    </row>
    <row r="40" spans="1:18" s="1" customFormat="1" ht="12.75" customHeight="1">
      <c r="H40" s="14"/>
    </row>
    <row r="41" spans="1:18" s="58" customFormat="1" ht="24.75" customHeight="1">
      <c r="A41" s="583" t="s">
        <v>235</v>
      </c>
      <c r="B41" s="583"/>
      <c r="C41" s="583"/>
      <c r="D41" s="583"/>
      <c r="E41" s="583"/>
      <c r="F41" s="583"/>
      <c r="G41" s="583"/>
      <c r="H41" s="14"/>
      <c r="I41" s="117"/>
      <c r="J41" s="117"/>
      <c r="K41" s="117"/>
      <c r="L41" s="117"/>
      <c r="M41" s="117"/>
      <c r="N41" s="117"/>
      <c r="O41" s="117"/>
      <c r="P41" s="117"/>
      <c r="Q41" s="117"/>
      <c r="R41" s="117"/>
    </row>
    <row r="42" spans="1:18" s="1" customFormat="1" ht="24.75" customHeight="1">
      <c r="A42" s="138">
        <v>1</v>
      </c>
      <c r="B42" s="580" t="s">
        <v>236</v>
      </c>
      <c r="C42" s="580"/>
      <c r="D42" s="580"/>
      <c r="E42" s="580"/>
      <c r="F42" s="580"/>
      <c r="G42" s="132">
        <v>0.03</v>
      </c>
      <c r="H42" s="14" t="s">
        <v>237</v>
      </c>
    </row>
    <row r="43" spans="1:18" s="1" customFormat="1" ht="24.75" customHeight="1">
      <c r="A43" s="138">
        <v>2</v>
      </c>
      <c r="B43" s="580" t="s">
        <v>238</v>
      </c>
      <c r="C43" s="580"/>
      <c r="D43" s="580"/>
      <c r="E43" s="580"/>
      <c r="F43" s="580"/>
      <c r="G43" s="132">
        <v>6.7900000000000002E-2</v>
      </c>
      <c r="H43" s="14" t="s">
        <v>237</v>
      </c>
    </row>
    <row r="44" spans="1:18" s="1" customFormat="1" ht="12.75" customHeight="1">
      <c r="H44" s="14"/>
    </row>
    <row r="45" spans="1:18" s="58" customFormat="1" ht="24.75" customHeight="1">
      <c r="A45" s="583" t="s">
        <v>239</v>
      </c>
      <c r="B45" s="583"/>
      <c r="C45" s="583"/>
      <c r="D45" s="583"/>
      <c r="E45" s="583"/>
      <c r="F45" s="583"/>
      <c r="G45" s="583"/>
      <c r="H45" s="14"/>
      <c r="I45" s="117"/>
      <c r="J45" s="117"/>
      <c r="K45" s="117"/>
      <c r="L45" s="117"/>
      <c r="M45" s="117"/>
      <c r="N45" s="117"/>
      <c r="O45" s="117"/>
      <c r="P45" s="117"/>
      <c r="Q45" s="117"/>
      <c r="R45" s="117"/>
    </row>
    <row r="46" spans="1:18" s="58" customFormat="1" ht="24.75" customHeight="1">
      <c r="A46" s="577" t="s">
        <v>240</v>
      </c>
      <c r="B46" s="577" t="str">
        <f>IF(F49="LUCRO REAL","INFORMAR ALÍQUOTAS MÉDIAS DE RECOLHIMENTO DOS ÚLTIMOS 12 (DOZE) MESES.",IF(F49="LUCRO PRESUMIDO","ALÍQUOTAS FIXAS - PIS: 0,65%; COFINS: 3,00%.",IF(F49="SIMPLES NACIONAL","NECESSÁRIO COMUNICAR A EXCLUSÃO DO SIMPLES NACIONAL - REGIME DE CONTRATAÇÃO INCOMPATÍVEL COM A LEI 123/2003. DEFINIR OUTRO REGIME TRIBUTÁRIO PARA O PRESENTE PROCESSO, OU APRESENTAR AS JUSTIFICATIVAS LEGAIS.","INFORMAR ALÍQUOTA E APRESENTAR AS JUSTIFICATIVAS LEGAIS.")))</f>
        <v>INFORMAR ALÍQUOTAS MÉDIAS DE RECOLHIMENTO DOS ÚLTIMOS 12 (DOZE) MESES.</v>
      </c>
      <c r="C46" s="577"/>
      <c r="D46" s="577"/>
      <c r="E46" s="577"/>
      <c r="F46" s="577"/>
      <c r="G46" s="577"/>
      <c r="H46" s="14"/>
      <c r="I46" s="117"/>
      <c r="J46" s="117"/>
      <c r="K46" s="117"/>
      <c r="L46" s="117"/>
      <c r="M46" s="117"/>
      <c r="N46" s="117"/>
      <c r="O46" s="117"/>
      <c r="P46" s="117"/>
      <c r="Q46" s="117"/>
      <c r="R46" s="117"/>
    </row>
    <row r="47" spans="1:18" s="58" customFormat="1" ht="24.75" customHeight="1">
      <c r="A47" s="577"/>
      <c r="B47" s="577"/>
      <c r="C47" s="577"/>
      <c r="D47" s="577"/>
      <c r="E47" s="577"/>
      <c r="F47" s="577"/>
      <c r="G47" s="577"/>
      <c r="H47" s="14"/>
      <c r="I47" s="117"/>
      <c r="J47" s="117"/>
      <c r="K47" s="117"/>
      <c r="L47" s="117"/>
      <c r="M47" s="117"/>
      <c r="N47" s="117"/>
      <c r="O47" s="117"/>
      <c r="P47" s="117"/>
      <c r="Q47" s="117"/>
      <c r="R47" s="117"/>
    </row>
    <row r="48" spans="1:18" s="58" customFormat="1" ht="24.75" customHeight="1">
      <c r="A48" s="577"/>
      <c r="B48" s="577"/>
      <c r="C48" s="577"/>
      <c r="D48" s="577"/>
      <c r="E48" s="577"/>
      <c r="F48" s="577"/>
      <c r="G48" s="577"/>
      <c r="H48" s="14"/>
      <c r="I48" s="117"/>
      <c r="J48" s="117"/>
      <c r="K48" s="117"/>
      <c r="L48" s="117"/>
      <c r="M48" s="117"/>
      <c r="N48" s="117"/>
      <c r="O48" s="117"/>
      <c r="P48" s="117"/>
      <c r="Q48" s="117"/>
      <c r="R48" s="117"/>
    </row>
    <row r="49" spans="1:18" s="1" customFormat="1" ht="24" customHeight="1">
      <c r="A49" s="138">
        <v>1</v>
      </c>
      <c r="B49" s="580" t="s">
        <v>241</v>
      </c>
      <c r="C49" s="580"/>
      <c r="D49" s="580"/>
      <c r="E49" s="580"/>
      <c r="F49" s="584" t="s">
        <v>242</v>
      </c>
      <c r="G49" s="584"/>
      <c r="H49" s="14" t="s">
        <v>243</v>
      </c>
      <c r="R49" s="151"/>
    </row>
    <row r="50" spans="1:18" s="1" customFormat="1" ht="24" customHeight="1">
      <c r="A50" s="138">
        <v>2</v>
      </c>
      <c r="B50" s="580" t="s">
        <v>244</v>
      </c>
      <c r="C50" s="580"/>
      <c r="D50" s="580"/>
      <c r="E50" s="580"/>
      <c r="F50" s="580"/>
      <c r="G50" s="132">
        <f>IF(F49="LUCRO PRESUMIDO",3%,IF(F49="LUCRO REAL",7.6%,0))</f>
        <v>7.5999999999999998E-2</v>
      </c>
      <c r="H50" s="14" t="s">
        <v>245</v>
      </c>
    </row>
    <row r="51" spans="1:18" s="1" customFormat="1" ht="24" customHeight="1">
      <c r="A51" s="138">
        <v>3</v>
      </c>
      <c r="B51" s="580" t="s">
        <v>246</v>
      </c>
      <c r="C51" s="580"/>
      <c r="D51" s="580"/>
      <c r="E51" s="580"/>
      <c r="F51" s="580"/>
      <c r="G51" s="132">
        <f>IF(F49="LUCRO PRESUMIDO",0.65%,IF(F49="LUCRO REAL",1.65%,0))</f>
        <v>1.6500000000000001E-2</v>
      </c>
      <c r="H51" s="14" t="s">
        <v>245</v>
      </c>
    </row>
    <row r="52" spans="1:18" s="1" customFormat="1" ht="24" customHeight="1">
      <c r="A52" s="138">
        <v>4</v>
      </c>
      <c r="B52" s="580" t="s">
        <v>247</v>
      </c>
      <c r="C52" s="580"/>
      <c r="D52" s="580"/>
      <c r="E52" s="580"/>
      <c r="F52" s="580"/>
      <c r="G52" s="132">
        <v>0.03</v>
      </c>
      <c r="H52" s="14" t="s">
        <v>248</v>
      </c>
    </row>
    <row r="53" spans="1:18" s="1" customFormat="1" ht="24" customHeight="1">
      <c r="A53" s="138">
        <v>5</v>
      </c>
      <c r="B53" s="582" t="s">
        <v>249</v>
      </c>
      <c r="C53" s="582"/>
      <c r="D53" s="582"/>
      <c r="E53" s="582"/>
      <c r="F53" s="582"/>
      <c r="G53" s="132">
        <v>0.05</v>
      </c>
      <c r="H53" s="14" t="s">
        <v>250</v>
      </c>
    </row>
    <row r="54" spans="1:18" s="1" customFormat="1" ht="21.75" customHeight="1">
      <c r="A54" s="138">
        <v>6</v>
      </c>
      <c r="B54" s="580" t="s">
        <v>251</v>
      </c>
      <c r="C54" s="580"/>
      <c r="D54" s="580"/>
      <c r="E54" s="580"/>
      <c r="F54" s="580"/>
      <c r="G54" s="128">
        <f>SUM(G50:G53)</f>
        <v>0.17249999999999999</v>
      </c>
      <c r="H54" s="14"/>
    </row>
    <row r="55" spans="1:18" ht="12.75" customHeight="1"/>
    <row r="56" spans="1:18" s="1" customFormat="1"/>
    <row r="58" spans="1:18" ht="66.75" hidden="1" customHeight="1">
      <c r="A58" s="577" t="s">
        <v>252</v>
      </c>
      <c r="B58" s="577"/>
      <c r="C58" s="577"/>
      <c r="D58" s="577"/>
      <c r="E58" s="577"/>
      <c r="F58" s="577"/>
      <c r="G58" s="577"/>
      <c r="H58" s="577"/>
      <c r="I58" s="137" t="s">
        <v>253</v>
      </c>
      <c r="J58" s="121" t="s">
        <v>254</v>
      </c>
      <c r="K58" s="137" t="s">
        <v>255</v>
      </c>
      <c r="L58" s="137" t="s">
        <v>253</v>
      </c>
      <c r="M58" s="137" t="s">
        <v>256</v>
      </c>
      <c r="N58" s="577" t="s">
        <v>257</v>
      </c>
      <c r="O58" s="577"/>
      <c r="P58" s="121" t="s">
        <v>258</v>
      </c>
      <c r="Q58" s="121"/>
      <c r="R58" s="121" t="s">
        <v>259</v>
      </c>
    </row>
    <row r="59" spans="1:18" ht="15" hidden="1" customHeight="1">
      <c r="A59" s="579" t="s">
        <v>260</v>
      </c>
      <c r="B59" s="579"/>
      <c r="C59" s="138" t="s">
        <v>261</v>
      </c>
      <c r="D59" s="152">
        <f>IPCA!G23</f>
        <v>0</v>
      </c>
      <c r="E59" s="580" t="s">
        <v>262</v>
      </c>
      <c r="F59" s="580"/>
      <c r="G59" s="580"/>
      <c r="H59" s="580"/>
      <c r="I59" s="153" t="s">
        <v>263</v>
      </c>
      <c r="J59" s="153" t="s">
        <v>263</v>
      </c>
      <c r="K59" s="153" t="s">
        <v>263</v>
      </c>
      <c r="L59" s="153" t="s">
        <v>263</v>
      </c>
      <c r="M59" s="153" t="s">
        <v>263</v>
      </c>
      <c r="N59" s="581">
        <f>ROUND((100%+D59),2)</f>
        <v>1</v>
      </c>
      <c r="O59" s="581"/>
      <c r="P59" s="154"/>
      <c r="Q59" s="154"/>
      <c r="R59" s="155"/>
    </row>
    <row r="60" spans="1:18" ht="15" hidden="1" customHeight="1">
      <c r="A60" s="579" t="s">
        <v>264</v>
      </c>
      <c r="B60" s="579"/>
      <c r="C60" s="138" t="s">
        <v>261</v>
      </c>
      <c r="D60" s="152">
        <f>IPCA!N23</f>
        <v>0</v>
      </c>
      <c r="E60" s="580" t="s">
        <v>262</v>
      </c>
      <c r="F60" s="580"/>
      <c r="G60" s="580"/>
      <c r="H60" s="580"/>
      <c r="I60" s="153" t="s">
        <v>263</v>
      </c>
      <c r="J60" s="153" t="s">
        <v>263</v>
      </c>
      <c r="K60" s="153" t="s">
        <v>263</v>
      </c>
      <c r="L60" s="153" t="s">
        <v>263</v>
      </c>
      <c r="M60" s="153" t="s">
        <v>263</v>
      </c>
      <c r="N60" s="581">
        <f>ROUND((100%+D60),2)</f>
        <v>1</v>
      </c>
      <c r="O60" s="581"/>
      <c r="P60" s="154"/>
      <c r="Q60" s="154"/>
      <c r="R60" s="155"/>
    </row>
    <row r="61" spans="1:18" ht="15" hidden="1" customHeight="1">
      <c r="A61" s="579" t="s">
        <v>265</v>
      </c>
      <c r="B61" s="579"/>
      <c r="C61" s="138" t="s">
        <v>261</v>
      </c>
      <c r="D61" s="152">
        <f>IPCA!U23</f>
        <v>0</v>
      </c>
      <c r="E61" s="580" t="s">
        <v>262</v>
      </c>
      <c r="F61" s="580"/>
      <c r="G61" s="580"/>
      <c r="H61" s="580"/>
      <c r="I61" s="153" t="s">
        <v>263</v>
      </c>
      <c r="J61" s="153" t="s">
        <v>263</v>
      </c>
      <c r="K61" s="153" t="s">
        <v>263</v>
      </c>
      <c r="L61" s="153" t="s">
        <v>263</v>
      </c>
      <c r="M61" s="153" t="s">
        <v>263</v>
      </c>
      <c r="N61" s="581">
        <f>ROUND((100%+D61),2)</f>
        <v>1</v>
      </c>
      <c r="O61" s="581"/>
      <c r="P61" s="154"/>
      <c r="Q61" s="154"/>
      <c r="R61" s="155"/>
    </row>
    <row r="62" spans="1:18" ht="15" hidden="1" customHeight="1">
      <c r="A62" s="579" t="s">
        <v>266</v>
      </c>
      <c r="B62" s="579"/>
      <c r="C62" s="138" t="s">
        <v>261</v>
      </c>
      <c r="D62" s="152">
        <f>IPCA!AB23</f>
        <v>0</v>
      </c>
      <c r="E62" s="580" t="s">
        <v>262</v>
      </c>
      <c r="F62" s="580"/>
      <c r="G62" s="580"/>
      <c r="H62" s="580"/>
      <c r="I62" s="153" t="s">
        <v>263</v>
      </c>
      <c r="J62" s="153" t="s">
        <v>263</v>
      </c>
      <c r="K62" s="153" t="s">
        <v>263</v>
      </c>
      <c r="L62" s="153" t="s">
        <v>263</v>
      </c>
      <c r="M62" s="153" t="s">
        <v>263</v>
      </c>
      <c r="N62" s="581">
        <f>ROUND((100%+D62),2)</f>
        <v>1</v>
      </c>
      <c r="O62" s="581"/>
      <c r="P62" s="154"/>
      <c r="Q62" s="154"/>
      <c r="R62" s="155"/>
    </row>
    <row r="63" spans="1:18" ht="15" hidden="1" customHeight="1">
      <c r="A63" s="579" t="s">
        <v>267</v>
      </c>
      <c r="B63" s="579"/>
      <c r="C63" s="138" t="s">
        <v>261</v>
      </c>
      <c r="D63" s="152">
        <f>IPCA!AI23</f>
        <v>0</v>
      </c>
      <c r="E63" s="580" t="s">
        <v>262</v>
      </c>
      <c r="F63" s="580"/>
      <c r="G63" s="580"/>
      <c r="H63" s="580"/>
      <c r="I63" s="153" t="s">
        <v>263</v>
      </c>
      <c r="J63" s="153" t="s">
        <v>263</v>
      </c>
      <c r="K63" s="153" t="s">
        <v>263</v>
      </c>
      <c r="L63" s="153" t="s">
        <v>263</v>
      </c>
      <c r="M63" s="153" t="s">
        <v>263</v>
      </c>
      <c r="N63" s="581">
        <f>ROUND((100%+D63),2)</f>
        <v>1</v>
      </c>
      <c r="O63" s="581"/>
      <c r="P63" s="154"/>
      <c r="Q63" s="154"/>
      <c r="R63" s="155"/>
    </row>
    <row r="64" spans="1:18" hidden="1">
      <c r="B64" s="156"/>
      <c r="C64" s="156"/>
      <c r="D64" s="156"/>
      <c r="E64" s="156"/>
    </row>
    <row r="65" spans="1:11" ht="30" hidden="1" customHeight="1">
      <c r="A65" s="577" t="s">
        <v>268</v>
      </c>
      <c r="B65" s="577"/>
      <c r="C65" s="577"/>
      <c r="D65" s="121" t="s">
        <v>269</v>
      </c>
      <c r="E65" s="156"/>
    </row>
    <row r="66" spans="1:11" ht="15.75" hidden="1" customHeight="1">
      <c r="A66" s="577"/>
      <c r="B66" s="577"/>
      <c r="C66" s="577"/>
      <c r="D66" s="153" t="s">
        <v>270</v>
      </c>
      <c r="E66" s="156"/>
    </row>
    <row r="67" spans="1:11" ht="30" hidden="1" customHeight="1">
      <c r="A67" s="577" t="s">
        <v>271</v>
      </c>
      <c r="B67" s="577"/>
      <c r="C67" s="577"/>
      <c r="D67" s="121" t="s">
        <v>269</v>
      </c>
      <c r="E67" s="156"/>
    </row>
    <row r="68" spans="1:11" ht="15.75" hidden="1" customHeight="1">
      <c r="A68" s="577"/>
      <c r="B68" s="577"/>
      <c r="C68" s="577"/>
      <c r="D68" s="153" t="s">
        <v>270</v>
      </c>
      <c r="E68" s="156"/>
    </row>
    <row r="69" spans="1:11" ht="30" hidden="1" customHeight="1">
      <c r="A69" s="577" t="s">
        <v>272</v>
      </c>
      <c r="B69" s="577"/>
      <c r="C69" s="577"/>
      <c r="D69" s="121" t="s">
        <v>269</v>
      </c>
      <c r="E69" s="156"/>
    </row>
    <row r="70" spans="1:11" ht="15.75" hidden="1" customHeight="1">
      <c r="A70" s="577"/>
      <c r="B70" s="577"/>
      <c r="C70" s="577"/>
      <c r="D70" s="153" t="s">
        <v>270</v>
      </c>
      <c r="E70" s="156"/>
    </row>
    <row r="71" spans="1:11" ht="42.75" hidden="1" customHeight="1">
      <c r="A71" s="577" t="s">
        <v>273</v>
      </c>
      <c r="B71" s="577"/>
      <c r="C71" s="577"/>
      <c r="D71" s="121" t="s">
        <v>269</v>
      </c>
      <c r="E71" s="157" t="s">
        <v>274</v>
      </c>
      <c r="F71" s="121" t="s">
        <v>275</v>
      </c>
      <c r="G71" s="121" t="s">
        <v>276</v>
      </c>
      <c r="H71" s="121" t="s">
        <v>277</v>
      </c>
      <c r="I71" s="121" t="s">
        <v>278</v>
      </c>
      <c r="J71" s="121" t="s">
        <v>279</v>
      </c>
      <c r="K71" s="156"/>
    </row>
    <row r="72" spans="1:11" ht="15.75" hidden="1" customHeight="1">
      <c r="A72" s="577"/>
      <c r="B72" s="577"/>
      <c r="C72" s="577"/>
      <c r="D72" s="153" t="s">
        <v>270</v>
      </c>
      <c r="E72" s="153">
        <v>1.55</v>
      </c>
      <c r="F72" s="138">
        <f>ROUND(IF(Dados!$M$59="SIM",E72*Dados!$N$59,E72),2)</f>
        <v>1.55</v>
      </c>
      <c r="G72" s="138">
        <f>ROUND(IF(Dados!$M$60="SIM",F72*Dados!$N$60,F72),2)</f>
        <v>1.55</v>
      </c>
      <c r="H72" s="138">
        <f>ROUND(IF(Dados!$M$61="SIM",G72*Dados!$N$61,G72),2)</f>
        <v>1.55</v>
      </c>
      <c r="I72" s="138">
        <f>ROUND(IF(Dados!$M$62="SIM",H72*Dados!$N$62,H72),2)</f>
        <v>1.55</v>
      </c>
      <c r="J72" s="138">
        <f>ROUND(IF(Dados!$M$63="SIM",I72*Dados!$N$63,I72),2)</f>
        <v>1.55</v>
      </c>
    </row>
    <row r="73" spans="1:11" hidden="1">
      <c r="E73" s="156"/>
    </row>
    <row r="74" spans="1:11" ht="15.75" hidden="1" customHeight="1">
      <c r="A74" s="578" t="s">
        <v>280</v>
      </c>
      <c r="B74" s="578"/>
      <c r="C74" s="578"/>
      <c r="D74" s="578"/>
      <c r="E74" s="578"/>
      <c r="F74" s="578"/>
      <c r="G74" s="578"/>
      <c r="H74" s="578"/>
    </row>
    <row r="75" spans="1:11" hidden="1">
      <c r="A75" s="574" t="s">
        <v>281</v>
      </c>
      <c r="B75" s="574"/>
      <c r="C75" s="574"/>
      <c r="D75" s="574"/>
      <c r="E75" s="574"/>
      <c r="F75" s="575" t="s">
        <v>282</v>
      </c>
      <c r="G75" s="575"/>
      <c r="H75" s="158"/>
    </row>
    <row r="76" spans="1:11" ht="43.5" hidden="1" customHeight="1">
      <c r="A76" s="572" t="s">
        <v>283</v>
      </c>
      <c r="B76" s="572"/>
      <c r="C76" s="572"/>
      <c r="D76" s="572"/>
      <c r="E76" s="572"/>
      <c r="F76" s="572"/>
      <c r="G76" s="572"/>
      <c r="H76" s="572"/>
    </row>
    <row r="77" spans="1:11" hidden="1">
      <c r="A77" s="574" t="s">
        <v>284</v>
      </c>
      <c r="B77" s="574"/>
      <c r="C77" s="574"/>
      <c r="D77" s="574"/>
      <c r="E77" s="574"/>
      <c r="F77" s="575" t="s">
        <v>282</v>
      </c>
      <c r="G77" s="575"/>
      <c r="H77" s="158"/>
    </row>
    <row r="78" spans="1:11" ht="43.5" hidden="1" customHeight="1">
      <c r="A78" s="573" t="s">
        <v>285</v>
      </c>
      <c r="B78" s="573"/>
      <c r="C78" s="573"/>
      <c r="D78" s="573"/>
      <c r="E78" s="573"/>
      <c r="F78" s="573"/>
      <c r="G78" s="573"/>
      <c r="H78" s="573"/>
    </row>
    <row r="79" spans="1:11" hidden="1">
      <c r="A79" s="574" t="s">
        <v>286</v>
      </c>
      <c r="B79" s="574"/>
      <c r="C79" s="574"/>
      <c r="D79" s="574"/>
      <c r="E79" s="574"/>
      <c r="F79" s="575" t="s">
        <v>282</v>
      </c>
      <c r="G79" s="575"/>
      <c r="H79" s="158"/>
    </row>
    <row r="80" spans="1:11" ht="43.5" hidden="1" customHeight="1">
      <c r="A80" s="572" t="s">
        <v>287</v>
      </c>
      <c r="B80" s="572"/>
      <c r="C80" s="572"/>
      <c r="D80" s="572"/>
      <c r="E80" s="572"/>
      <c r="F80" s="572"/>
      <c r="G80" s="572"/>
      <c r="H80" s="572"/>
    </row>
    <row r="81" spans="1:8" hidden="1">
      <c r="A81" s="576" t="s">
        <v>288</v>
      </c>
      <c r="B81" s="576"/>
      <c r="C81" s="576"/>
      <c r="D81" s="576"/>
      <c r="E81" s="576"/>
      <c r="F81" s="575" t="s">
        <v>282</v>
      </c>
      <c r="G81" s="575"/>
      <c r="H81" s="159"/>
    </row>
    <row r="82" spans="1:8" ht="43.5" hidden="1" customHeight="1">
      <c r="A82" s="572" t="s">
        <v>289</v>
      </c>
      <c r="B82" s="572"/>
      <c r="C82" s="572"/>
      <c r="D82" s="572"/>
      <c r="E82" s="572"/>
      <c r="F82" s="572"/>
      <c r="G82" s="572"/>
      <c r="H82" s="572"/>
    </row>
    <row r="83" spans="1:8" hidden="1"/>
    <row r="84" spans="1:8" hidden="1"/>
    <row r="85" spans="1:8" hidden="1"/>
    <row r="86" spans="1:8" hidden="1"/>
    <row r="87" spans="1:8" hidden="1"/>
    <row r="88" spans="1:8" hidden="1"/>
    <row r="89" spans="1:8" hidden="1"/>
    <row r="90" spans="1:8" hidden="1"/>
    <row r="91" spans="1:8" hidden="1"/>
    <row r="92" spans="1:8" hidden="1"/>
    <row r="93" spans="1:8" hidden="1"/>
    <row r="94" spans="1:8" hidden="1"/>
    <row r="95" spans="1:8" hidden="1"/>
    <row r="96" spans="1:8"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sheetData>
  <sheetProtection algorithmName="SHA-512" hashValue="DcuUOpdFNApQmnp10Up6K9pDKUbS9I2RN9FGFUqviF6dIRZh8R9WOOVuwTuJvHXW2PsLlkMitQTdxgrFR1iyCg==" saltValue="T1+8uWLUdNvNXFOOUW3QnA==" spinCount="100000" sheet="1" objects="1" scenarios="1"/>
  <mergeCells count="96">
    <mergeCell ref="K5:K6"/>
    <mergeCell ref="L5:L6"/>
    <mergeCell ref="M5:M6"/>
    <mergeCell ref="S5:S6"/>
    <mergeCell ref="A7:A8"/>
    <mergeCell ref="F5:F6"/>
    <mergeCell ref="G5:G6"/>
    <mergeCell ref="H5:H6"/>
    <mergeCell ref="I5:I6"/>
    <mergeCell ref="J5:J6"/>
    <mergeCell ref="A5:A6"/>
    <mergeCell ref="B5:B6"/>
    <mergeCell ref="C5:C6"/>
    <mergeCell ref="D5:D6"/>
    <mergeCell ref="E5:E6"/>
    <mergeCell ref="A11:G11"/>
    <mergeCell ref="B12:D12"/>
    <mergeCell ref="E12:G12"/>
    <mergeCell ref="B13:D13"/>
    <mergeCell ref="E13:G13"/>
    <mergeCell ref="B14:D14"/>
    <mergeCell ref="E14:G14"/>
    <mergeCell ref="B15:D15"/>
    <mergeCell ref="E15:G15"/>
    <mergeCell ref="B16:D16"/>
    <mergeCell ref="E16:G16"/>
    <mergeCell ref="A18:G18"/>
    <mergeCell ref="B19:F19"/>
    <mergeCell ref="B21:F21"/>
    <mergeCell ref="B22:F22"/>
    <mergeCell ref="B23:F23"/>
    <mergeCell ref="A25:G25"/>
    <mergeCell ref="B26:F26"/>
    <mergeCell ref="A28:G28"/>
    <mergeCell ref="B29:F29"/>
    <mergeCell ref="B30:F30"/>
    <mergeCell ref="A31:A34"/>
    <mergeCell ref="B31:C34"/>
    <mergeCell ref="D31:F31"/>
    <mergeCell ref="D32:F32"/>
    <mergeCell ref="D33:F33"/>
    <mergeCell ref="D34:F34"/>
    <mergeCell ref="A35:A37"/>
    <mergeCell ref="B35:C37"/>
    <mergeCell ref="D35:F35"/>
    <mergeCell ref="D36:F36"/>
    <mergeCell ref="D37:F37"/>
    <mergeCell ref="B38:F38"/>
    <mergeCell ref="B39:F39"/>
    <mergeCell ref="A41:G41"/>
    <mergeCell ref="B42:F42"/>
    <mergeCell ref="B43:F43"/>
    <mergeCell ref="A45:G45"/>
    <mergeCell ref="A46:A48"/>
    <mergeCell ref="B46:G48"/>
    <mergeCell ref="B49:E49"/>
    <mergeCell ref="F49:G49"/>
    <mergeCell ref="B50:F50"/>
    <mergeCell ref="B51:F51"/>
    <mergeCell ref="B52:F52"/>
    <mergeCell ref="B53:F53"/>
    <mergeCell ref="B54:F54"/>
    <mergeCell ref="A58:H58"/>
    <mergeCell ref="N58:O58"/>
    <mergeCell ref="A59:B59"/>
    <mergeCell ref="E59:H59"/>
    <mergeCell ref="N59:O59"/>
    <mergeCell ref="A60:B60"/>
    <mergeCell ref="E60:H60"/>
    <mergeCell ref="N60:O60"/>
    <mergeCell ref="A61:B61"/>
    <mergeCell ref="E61:H61"/>
    <mergeCell ref="N61:O61"/>
    <mergeCell ref="A62:B62"/>
    <mergeCell ref="E62:H62"/>
    <mergeCell ref="N62:O62"/>
    <mergeCell ref="A63:B63"/>
    <mergeCell ref="E63:H63"/>
    <mergeCell ref="N63:O63"/>
    <mergeCell ref="A65:C66"/>
    <mergeCell ref="A67:C68"/>
    <mergeCell ref="A69:C70"/>
    <mergeCell ref="A71:C72"/>
    <mergeCell ref="A74:H74"/>
    <mergeCell ref="A75:E75"/>
    <mergeCell ref="F75:G75"/>
    <mergeCell ref="A76:H76"/>
    <mergeCell ref="A77:E77"/>
    <mergeCell ref="F77:G77"/>
    <mergeCell ref="A82:H82"/>
    <mergeCell ref="A78:H78"/>
    <mergeCell ref="A79:E79"/>
    <mergeCell ref="F79:G79"/>
    <mergeCell ref="A80:H80"/>
    <mergeCell ref="A81:E81"/>
    <mergeCell ref="F81:G81"/>
  </mergeCells>
  <dataValidations count="3">
    <dataValidation type="list" allowBlank="1" showInputMessage="1" showErrorMessage="1" sqref="F49">
      <formula1>"LUCRO REAL,LUCRO PRESUMIDO,SIMPLES NACIONAL,OUTRO"</formula1>
      <formula2>0</formula2>
    </dataValidation>
    <dataValidation type="list" allowBlank="1" showInputMessage="1" showErrorMessage="1" sqref="I59:M63">
      <formula1>"NÃO,SIM"</formula1>
      <formula2>0</formula2>
    </dataValidation>
    <dataValidation type="list" allowBlank="1" showInputMessage="1" showErrorMessage="1" sqref="D66 D68 D70 D72">
      <formula1>"INICIAL,1º IPCA,2º IPCA,3º IPCA,4º IPCA,5º IPCA"</formula1>
      <formula2>0</formula2>
    </dataValidation>
  </dataValidation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r:id="rId1"/>
  <drawing r:id="rId2"/>
  <extLst xmlns:xr="http://schemas.microsoft.com/office/spreadsheetml/2014/revision">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errorTitle="Salário Base" error="O salário proposto é inferior ao mínimo estimado pela Administração." promptTitle="Salário Base" prompt="Deve ser maior ou igual ao estimado pela Administração." xr:uid="{00000000-0002-0000-0200-000003000000}">
          <x14:formula1>
            <xm:f>Estimativa_ADM!C6</xm:f>
          </x14:formula1>
          <x14:formula2>
            <xm:f>0</xm:f>
          </x14:formula2>
          <xm:sqref>E7:E9</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7" tint="0.79998168889431442"/>
  </sheetPr>
  <dimension ref="A1:H61"/>
  <sheetViews>
    <sheetView showGridLines="0" topLeftCell="A5" zoomScale="110" zoomScaleNormal="110" workbookViewId="0">
      <selection activeCell="C35" sqref="C35"/>
    </sheetView>
  </sheetViews>
  <sheetFormatPr defaultRowHeight="14.4"/>
  <cols>
    <col min="1" max="1" width="9" customWidth="1"/>
    <col min="2" max="2" width="55.5546875" customWidth="1"/>
    <col min="3" max="3" width="13.109375" customWidth="1"/>
    <col min="4" max="4" width="4.88671875" customWidth="1"/>
    <col min="5" max="5" width="41.6640625" customWidth="1"/>
    <col min="6" max="8" width="11" customWidth="1"/>
    <col min="9" max="257" width="9" customWidth="1"/>
    <col min="258" max="258" width="55.5546875" customWidth="1"/>
    <col min="259" max="259" width="13.109375" customWidth="1"/>
    <col min="260" max="260" width="9" customWidth="1"/>
    <col min="261" max="261" width="35.109375" customWidth="1"/>
    <col min="262" max="264" width="11" customWidth="1"/>
    <col min="265" max="513" width="9" customWidth="1"/>
    <col min="514" max="514" width="55.5546875" customWidth="1"/>
    <col min="515" max="515" width="13.109375" customWidth="1"/>
    <col min="516" max="516" width="9" customWidth="1"/>
    <col min="517" max="517" width="35.109375" customWidth="1"/>
    <col min="518" max="520" width="11" customWidth="1"/>
    <col min="521" max="769" width="9" customWidth="1"/>
    <col min="770" max="770" width="55.5546875" customWidth="1"/>
    <col min="771" max="771" width="13.109375" customWidth="1"/>
    <col min="772" max="772" width="9" customWidth="1"/>
    <col min="773" max="773" width="35.109375" customWidth="1"/>
    <col min="774" max="776" width="11" customWidth="1"/>
    <col min="777" max="1025" width="9" customWidth="1"/>
  </cols>
  <sheetData>
    <row r="1" spans="1:4">
      <c r="A1" s="160"/>
      <c r="B1" s="98" t="str">
        <f>INSTRUÇÕES!B1</f>
        <v>Tribunal Regional Federal da 6ª Região</v>
      </c>
      <c r="C1" s="161"/>
    </row>
    <row r="2" spans="1:4">
      <c r="A2" s="162"/>
      <c r="B2" s="100" t="str">
        <f>INSTRUÇÕES!B2</f>
        <v>Seção Judiciária de Minas Gerais</v>
      </c>
      <c r="C2" s="163"/>
    </row>
    <row r="3" spans="1:4">
      <c r="A3" s="164"/>
      <c r="B3" s="100" t="str">
        <f>INSTRUÇÕES!B3</f>
        <v>Subseção Judiciária de Divinópolis</v>
      </c>
      <c r="C3" s="163"/>
    </row>
    <row r="4" spans="1:4" ht="21.75" customHeight="1">
      <c r="A4" s="603" t="s">
        <v>290</v>
      </c>
      <c r="B4" s="603"/>
      <c r="C4" s="603"/>
    </row>
    <row r="5" spans="1:4" ht="21.75" customHeight="1">
      <c r="A5" s="603" t="s">
        <v>291</v>
      </c>
      <c r="B5" s="603"/>
      <c r="C5" s="603"/>
    </row>
    <row r="6" spans="1:4" ht="26.25" customHeight="1">
      <c r="A6" s="604" t="s">
        <v>292</v>
      </c>
      <c r="B6" s="604"/>
      <c r="C6" s="604"/>
    </row>
    <row r="7" spans="1:4">
      <c r="A7" s="605" t="s">
        <v>293</v>
      </c>
      <c r="B7" s="605"/>
      <c r="C7" s="605"/>
    </row>
    <row r="8" spans="1:4" ht="15.75" customHeight="1">
      <c r="A8" s="165" t="s">
        <v>57</v>
      </c>
      <c r="B8" s="166" t="s">
        <v>294</v>
      </c>
      <c r="C8" s="167" t="s">
        <v>295</v>
      </c>
    </row>
    <row r="9" spans="1:4" ht="15.75" customHeight="1">
      <c r="A9" s="168" t="s">
        <v>296</v>
      </c>
      <c r="B9" s="598" t="s">
        <v>297</v>
      </c>
      <c r="C9" s="598"/>
    </row>
    <row r="10" spans="1:4" ht="15.75" customHeight="1">
      <c r="A10" s="169">
        <v>1</v>
      </c>
      <c r="B10" s="170" t="s">
        <v>298</v>
      </c>
      <c r="C10" s="171">
        <v>0.2</v>
      </c>
    </row>
    <row r="11" spans="1:4" ht="15.75" customHeight="1">
      <c r="A11" s="169">
        <v>2</v>
      </c>
      <c r="B11" s="170" t="s">
        <v>299</v>
      </c>
      <c r="C11" s="171">
        <v>1.4999999999999999E-2</v>
      </c>
    </row>
    <row r="12" spans="1:4" ht="15.75" customHeight="1">
      <c r="A12" s="169">
        <v>3</v>
      </c>
      <c r="B12" s="170" t="s">
        <v>300</v>
      </c>
      <c r="C12" s="171">
        <v>0.01</v>
      </c>
    </row>
    <row r="13" spans="1:4" ht="15.75" customHeight="1">
      <c r="A13" s="169">
        <v>4</v>
      </c>
      <c r="B13" s="170" t="s">
        <v>301</v>
      </c>
      <c r="C13" s="171">
        <v>2E-3</v>
      </c>
    </row>
    <row r="14" spans="1:4" ht="15.75" customHeight="1">
      <c r="A14" s="169">
        <v>5</v>
      </c>
      <c r="B14" s="170" t="s">
        <v>302</v>
      </c>
      <c r="C14" s="171">
        <v>2.5000000000000001E-2</v>
      </c>
    </row>
    <row r="15" spans="1:4" ht="15.75" customHeight="1">
      <c r="A15" s="169">
        <v>6</v>
      </c>
      <c r="B15" s="170" t="s">
        <v>303</v>
      </c>
      <c r="C15" s="171">
        <v>0.08</v>
      </c>
    </row>
    <row r="16" spans="1:4" ht="15.75" customHeight="1">
      <c r="A16" s="169">
        <v>7</v>
      </c>
      <c r="B16" s="170" t="s">
        <v>304</v>
      </c>
      <c r="C16" s="172">
        <f>Dados!G21</f>
        <v>0.06</v>
      </c>
      <c r="D16" s="173" t="s">
        <v>305</v>
      </c>
    </row>
    <row r="17" spans="1:3" ht="15.75" customHeight="1">
      <c r="A17" s="169">
        <v>8</v>
      </c>
      <c r="B17" s="170" t="s">
        <v>306</v>
      </c>
      <c r="C17" s="171">
        <v>6.0000000000000001E-3</v>
      </c>
    </row>
    <row r="18" spans="1:3" ht="15.75" customHeight="1">
      <c r="A18" s="601" t="s">
        <v>307</v>
      </c>
      <c r="B18" s="601"/>
      <c r="C18" s="174">
        <f>SUM(C10:C17)</f>
        <v>0.39800000000000008</v>
      </c>
    </row>
    <row r="19" spans="1:3" ht="15.75" customHeight="1">
      <c r="A19" s="602" t="s">
        <v>308</v>
      </c>
      <c r="B19" s="602"/>
      <c r="C19" s="602"/>
    </row>
    <row r="20" spans="1:3" ht="15.75" customHeight="1">
      <c r="A20" s="602" t="s">
        <v>309</v>
      </c>
      <c r="B20" s="602"/>
      <c r="C20" s="602"/>
    </row>
    <row r="21" spans="1:3" ht="15.75" customHeight="1">
      <c r="A21" s="169">
        <v>9</v>
      </c>
      <c r="B21" s="175" t="s">
        <v>310</v>
      </c>
      <c r="C21" s="176">
        <f>ROUND((100%/11),4)</f>
        <v>9.0899999999999995E-2</v>
      </c>
    </row>
    <row r="22" spans="1:3" ht="15.75" customHeight="1">
      <c r="A22" s="169">
        <v>10</v>
      </c>
      <c r="B22" s="175" t="s">
        <v>311</v>
      </c>
      <c r="C22" s="176">
        <f>ROUND((C21/3),4)</f>
        <v>3.0300000000000001E-2</v>
      </c>
    </row>
    <row r="23" spans="1:3" ht="15.75" customHeight="1">
      <c r="A23" s="599" t="s">
        <v>312</v>
      </c>
      <c r="B23" s="599"/>
      <c r="C23" s="177">
        <f>SUM(C21:C22)</f>
        <v>0.1212</v>
      </c>
    </row>
    <row r="24" spans="1:3" ht="15.75" customHeight="1">
      <c r="A24" s="600" t="s">
        <v>313</v>
      </c>
      <c r="B24" s="600"/>
      <c r="C24" s="172">
        <f>(C18*C23)</f>
        <v>4.8237600000000012E-2</v>
      </c>
    </row>
    <row r="25" spans="1:3" ht="15.75" customHeight="1">
      <c r="A25" s="599" t="s">
        <v>314</v>
      </c>
      <c r="B25" s="599"/>
      <c r="C25" s="177">
        <f>SUM(C23:C24)</f>
        <v>0.16943760000000002</v>
      </c>
    </row>
    <row r="26" spans="1:3" ht="15.75" customHeight="1">
      <c r="A26" s="168" t="s">
        <v>315</v>
      </c>
      <c r="B26" s="598" t="s">
        <v>316</v>
      </c>
      <c r="C26" s="598"/>
    </row>
    <row r="27" spans="1:3" ht="15.75" customHeight="1">
      <c r="A27" s="169">
        <v>11</v>
      </c>
      <c r="B27" s="170" t="s">
        <v>317</v>
      </c>
      <c r="C27" s="171">
        <f>ROUND((0.0144*0.1*0.4509*6/12),4)</f>
        <v>2.9999999999999997E-4</v>
      </c>
    </row>
    <row r="28" spans="1:3" ht="15.75" customHeight="1">
      <c r="A28" s="600" t="s">
        <v>318</v>
      </c>
      <c r="B28" s="600"/>
      <c r="C28" s="178">
        <f>C18*C27</f>
        <v>1.1940000000000002E-4</v>
      </c>
    </row>
    <row r="29" spans="1:3" ht="15.75" customHeight="1">
      <c r="A29" s="599" t="s">
        <v>319</v>
      </c>
      <c r="B29" s="599"/>
      <c r="C29" s="179">
        <f>SUM(C27:C28)</f>
        <v>4.194E-4</v>
      </c>
    </row>
    <row r="30" spans="1:3" ht="15.75" customHeight="1">
      <c r="A30" s="168" t="s">
        <v>320</v>
      </c>
      <c r="B30" s="598" t="s">
        <v>321</v>
      </c>
      <c r="C30" s="598"/>
    </row>
    <row r="31" spans="1:3" ht="15.75" customHeight="1">
      <c r="A31" s="169">
        <v>12</v>
      </c>
      <c r="B31" s="170" t="s">
        <v>322</v>
      </c>
      <c r="C31" s="171">
        <f>ROUND((100%/12)*5%,4)</f>
        <v>4.1999999999999997E-3</v>
      </c>
    </row>
    <row r="32" spans="1:3" ht="15.75" customHeight="1">
      <c r="A32" s="590" t="s">
        <v>323</v>
      </c>
      <c r="B32" s="590"/>
      <c r="C32" s="172">
        <f>C15*C31</f>
        <v>3.3599999999999998E-4</v>
      </c>
    </row>
    <row r="33" spans="1:8" ht="15.75" customHeight="1">
      <c r="A33" s="169">
        <v>13</v>
      </c>
      <c r="B33" s="170" t="s">
        <v>324</v>
      </c>
      <c r="C33" s="176">
        <f>ROUND((C15*0.4*0.9*(1+1/11+1/11+(1/3*1/11))),5)</f>
        <v>3.4909999999999997E-2</v>
      </c>
    </row>
    <row r="34" spans="1:8" ht="15.75" customHeight="1">
      <c r="A34" s="169">
        <v>14</v>
      </c>
      <c r="B34" s="170" t="s">
        <v>325</v>
      </c>
      <c r="C34" s="171">
        <f>ROUND((7/30/12)*0.02*100%,4)</f>
        <v>4.0000000000000002E-4</v>
      </c>
    </row>
    <row r="35" spans="1:8" ht="15.75" customHeight="1">
      <c r="A35" s="590" t="s">
        <v>326</v>
      </c>
      <c r="B35" s="590"/>
      <c r="C35" s="172">
        <f>ROUND((C34*C18),4)</f>
        <v>2.0000000000000001E-4</v>
      </c>
    </row>
    <row r="36" spans="1:8" ht="15.75" customHeight="1">
      <c r="A36" s="169">
        <v>15</v>
      </c>
      <c r="B36" s="170" t="s">
        <v>327</v>
      </c>
      <c r="C36" s="172">
        <f>(0.4*C15/100)</f>
        <v>3.2000000000000003E-4</v>
      </c>
    </row>
    <row r="37" spans="1:8" ht="15.75" customHeight="1">
      <c r="A37" s="593" t="s">
        <v>328</v>
      </c>
      <c r="B37" s="593"/>
      <c r="C37" s="177">
        <f>SUM(C31:C36)</f>
        <v>4.0365999999999992E-2</v>
      </c>
    </row>
    <row r="38" spans="1:8" ht="15.75" customHeight="1">
      <c r="A38" s="168" t="s">
        <v>329</v>
      </c>
      <c r="B38" s="598" t="s">
        <v>330</v>
      </c>
      <c r="C38" s="598"/>
    </row>
    <row r="39" spans="1:8" ht="15.75" customHeight="1">
      <c r="A39" s="169">
        <v>16</v>
      </c>
      <c r="B39" s="170" t="s">
        <v>331</v>
      </c>
      <c r="C39" s="176">
        <f>ROUND((100%/11),4)</f>
        <v>9.0899999999999995E-2</v>
      </c>
    </row>
    <row r="40" spans="1:8" ht="15.75" customHeight="1">
      <c r="A40" s="169">
        <v>17</v>
      </c>
      <c r="B40" s="170" t="s">
        <v>332</v>
      </c>
      <c r="C40" s="171">
        <v>1.66E-2</v>
      </c>
    </row>
    <row r="41" spans="1:8" ht="15.75" customHeight="1">
      <c r="A41" s="169">
        <v>18</v>
      </c>
      <c r="B41" s="170" t="s">
        <v>333</v>
      </c>
      <c r="C41" s="171">
        <f>ROUND((5/30/12)*0.022,4)</f>
        <v>2.9999999999999997E-4</v>
      </c>
    </row>
    <row r="42" spans="1:8" ht="15.75" customHeight="1">
      <c r="A42" s="169">
        <v>19</v>
      </c>
      <c r="B42" s="170" t="s">
        <v>334</v>
      </c>
      <c r="C42" s="171">
        <f>ROUND((1/30/12),4)</f>
        <v>2.8E-3</v>
      </c>
    </row>
    <row r="43" spans="1:8" ht="15.75" customHeight="1">
      <c r="A43" s="169">
        <v>20</v>
      </c>
      <c r="B43" s="170" t="s">
        <v>335</v>
      </c>
      <c r="C43" s="171">
        <f>ROUND((15/30/12*0.0078),4)</f>
        <v>2.9999999999999997E-4</v>
      </c>
    </row>
    <row r="44" spans="1:8" ht="15.75" customHeight="1">
      <c r="A44" s="593" t="s">
        <v>312</v>
      </c>
      <c r="B44" s="593"/>
      <c r="C44" s="177">
        <f>SUM(C39:C43)</f>
        <v>0.11089999999999998</v>
      </c>
      <c r="E44" s="595" t="s">
        <v>336</v>
      </c>
      <c r="F44" s="595"/>
      <c r="G44" s="595"/>
      <c r="H44" s="595"/>
    </row>
    <row r="45" spans="1:8" ht="15.75" customHeight="1">
      <c r="A45" s="590" t="s">
        <v>337</v>
      </c>
      <c r="B45" s="590"/>
      <c r="C45" s="172">
        <f>C18*C44</f>
        <v>4.4138200000000002E-2</v>
      </c>
      <c r="E45" s="595"/>
      <c r="F45" s="595"/>
      <c r="G45" s="595"/>
      <c r="H45" s="595"/>
    </row>
    <row r="46" spans="1:8" ht="15" customHeight="1">
      <c r="A46" s="593" t="s">
        <v>338</v>
      </c>
      <c r="B46" s="593"/>
      <c r="C46" s="177">
        <f>SUM(C44:C45)</f>
        <v>0.15503819999999999</v>
      </c>
      <c r="E46" s="596" t="s">
        <v>339</v>
      </c>
      <c r="F46" s="597" t="s">
        <v>340</v>
      </c>
      <c r="G46" s="597"/>
      <c r="H46" s="597"/>
    </row>
    <row r="47" spans="1:8" ht="15.75" customHeight="1">
      <c r="A47" s="180" t="s">
        <v>341</v>
      </c>
      <c r="B47" s="181" t="s">
        <v>342</v>
      </c>
      <c r="C47" s="177" t="s">
        <v>208</v>
      </c>
      <c r="E47" s="596"/>
      <c r="F47" s="597" t="s">
        <v>343</v>
      </c>
      <c r="G47" s="597"/>
      <c r="H47" s="597"/>
    </row>
    <row r="48" spans="1:8" ht="15.75" customHeight="1">
      <c r="A48" s="169">
        <v>21</v>
      </c>
      <c r="B48" s="170" t="s">
        <v>344</v>
      </c>
      <c r="C48" s="171">
        <f>1*1%/12</f>
        <v>8.3333333333333339E-4</v>
      </c>
      <c r="E48" s="182" t="s">
        <v>345</v>
      </c>
      <c r="F48" s="183" t="s">
        <v>346</v>
      </c>
      <c r="G48" s="183" t="s">
        <v>347</v>
      </c>
      <c r="H48" s="184" t="s">
        <v>348</v>
      </c>
    </row>
    <row r="49" spans="1:8" ht="15.75" customHeight="1">
      <c r="A49" s="593" t="s">
        <v>349</v>
      </c>
      <c r="B49" s="593"/>
      <c r="C49" s="177">
        <f>SUM(C47:C48)</f>
        <v>8.3333333333333339E-4</v>
      </c>
      <c r="E49" s="182" t="s">
        <v>350</v>
      </c>
      <c r="F49" s="185">
        <v>0.34300000000000003</v>
      </c>
      <c r="G49" s="185">
        <v>0.39800000000000002</v>
      </c>
      <c r="H49" s="186">
        <f>$C$18</f>
        <v>0.39800000000000008</v>
      </c>
    </row>
    <row r="50" spans="1:8" ht="15.75" customHeight="1">
      <c r="A50" s="594" t="s">
        <v>351</v>
      </c>
      <c r="B50" s="594"/>
      <c r="C50" s="594"/>
      <c r="E50" s="182" t="s">
        <v>352</v>
      </c>
      <c r="F50" s="185">
        <v>5.0000000000000001E-3</v>
      </c>
      <c r="G50" s="185">
        <v>0.06</v>
      </c>
      <c r="H50" s="186">
        <f>$C$16</f>
        <v>0.06</v>
      </c>
    </row>
    <row r="51" spans="1:8" ht="15.75" customHeight="1">
      <c r="A51" s="590" t="s">
        <v>297</v>
      </c>
      <c r="B51" s="590"/>
      <c r="C51" s="172">
        <f>ROUND(C18,4)</f>
        <v>0.39800000000000002</v>
      </c>
      <c r="E51" s="187" t="s">
        <v>353</v>
      </c>
      <c r="F51" s="188">
        <f>$C$21</f>
        <v>9.0899999999999995E-2</v>
      </c>
      <c r="G51" s="188">
        <f>$F$51</f>
        <v>9.0899999999999995E-2</v>
      </c>
      <c r="H51" s="189">
        <f>$F$51</f>
        <v>9.0899999999999995E-2</v>
      </c>
    </row>
    <row r="52" spans="1:8" ht="15.75" customHeight="1">
      <c r="A52" s="590" t="s">
        <v>354</v>
      </c>
      <c r="B52" s="590"/>
      <c r="C52" s="172">
        <f>ROUND(C25,4)</f>
        <v>0.1694</v>
      </c>
      <c r="E52" s="187" t="s">
        <v>355</v>
      </c>
      <c r="F52" s="188">
        <f>$C$39</f>
        <v>9.0899999999999995E-2</v>
      </c>
      <c r="G52" s="188">
        <f>$F$52</f>
        <v>9.0899999999999995E-2</v>
      </c>
      <c r="H52" s="189">
        <f>$F$52</f>
        <v>9.0899999999999995E-2</v>
      </c>
    </row>
    <row r="53" spans="1:8" ht="15.75" customHeight="1">
      <c r="A53" s="590" t="s">
        <v>316</v>
      </c>
      <c r="B53" s="590"/>
      <c r="C53" s="172">
        <f>ROUND(C29,4)</f>
        <v>4.0000000000000002E-4</v>
      </c>
      <c r="E53" s="187" t="s">
        <v>356</v>
      </c>
      <c r="F53" s="188">
        <f>$C$22</f>
        <v>3.0300000000000001E-2</v>
      </c>
      <c r="G53" s="188">
        <f>$F$53</f>
        <v>3.0300000000000001E-2</v>
      </c>
      <c r="H53" s="189">
        <f>$F$53</f>
        <v>3.0300000000000001E-2</v>
      </c>
    </row>
    <row r="54" spans="1:8" ht="15.75" customHeight="1">
      <c r="A54" s="590" t="s">
        <v>357</v>
      </c>
      <c r="B54" s="590"/>
      <c r="C54" s="172">
        <f>ROUND(C37,4)</f>
        <v>4.0399999999999998E-2</v>
      </c>
      <c r="E54" s="190" t="s">
        <v>312</v>
      </c>
      <c r="F54" s="191">
        <f>SUM(F51:F53)</f>
        <v>0.21209999999999998</v>
      </c>
      <c r="G54" s="191">
        <f>SUM(G51:G53)</f>
        <v>0.21209999999999998</v>
      </c>
      <c r="H54" s="192">
        <f>ROUND((SUM(H51:H53)),4)</f>
        <v>0.21210000000000001</v>
      </c>
    </row>
    <row r="55" spans="1:8" ht="15.75" customHeight="1">
      <c r="A55" s="590" t="s">
        <v>358</v>
      </c>
      <c r="B55" s="590"/>
      <c r="C55" s="172">
        <f>ROUND(C46,4)</f>
        <v>0.155</v>
      </c>
      <c r="E55" s="187" t="s">
        <v>359</v>
      </c>
      <c r="F55" s="188">
        <f>F54*F49</f>
        <v>7.2750300000000004E-2</v>
      </c>
      <c r="G55" s="188">
        <f>G54*G49</f>
        <v>8.4415799999999999E-2</v>
      </c>
      <c r="H55" s="189">
        <f>ROUND((H54*H49),4)</f>
        <v>8.4400000000000003E-2</v>
      </c>
    </row>
    <row r="56" spans="1:8" ht="15.75" customHeight="1">
      <c r="A56" s="590" t="s">
        <v>344</v>
      </c>
      <c r="B56" s="590"/>
      <c r="C56" s="172">
        <f>ROUND(C49,4)</f>
        <v>8.0000000000000004E-4</v>
      </c>
      <c r="E56" s="187" t="s">
        <v>360</v>
      </c>
      <c r="F56" s="188">
        <v>3.4909999999999997E-2</v>
      </c>
      <c r="G56" s="188">
        <v>3.4909999999999997E-2</v>
      </c>
      <c r="H56" s="193">
        <f>C33</f>
        <v>3.4909999999999997E-2</v>
      </c>
    </row>
    <row r="57" spans="1:8" ht="15.75" customHeight="1">
      <c r="A57" s="591" t="s">
        <v>361</v>
      </c>
      <c r="B57" s="591"/>
      <c r="C57" s="174">
        <f>SUM(C51:C56)</f>
        <v>0.76400000000000001</v>
      </c>
      <c r="E57" s="194" t="s">
        <v>362</v>
      </c>
      <c r="F57" s="195">
        <f>SUM(F54:F56)</f>
        <v>0.3197603</v>
      </c>
      <c r="G57" s="195">
        <f>SUM(G54:G56)</f>
        <v>0.33142579999999999</v>
      </c>
      <c r="H57" s="196">
        <f>ROUND((SUM(H54:H56)),4)</f>
        <v>0.33139999999999997</v>
      </c>
    </row>
    <row r="58" spans="1:8" ht="24">
      <c r="A58" s="197" t="s">
        <v>50</v>
      </c>
      <c r="B58" s="198"/>
      <c r="C58" s="199"/>
      <c r="E58" s="187" t="s">
        <v>363</v>
      </c>
      <c r="F58" s="188" t="s">
        <v>208</v>
      </c>
      <c r="G58" s="188" t="s">
        <v>208</v>
      </c>
      <c r="H58" s="189" t="s">
        <v>208</v>
      </c>
    </row>
    <row r="59" spans="1:8" ht="54.75" customHeight="1">
      <c r="A59" s="592" t="s">
        <v>364</v>
      </c>
      <c r="B59" s="592"/>
      <c r="C59" s="592"/>
      <c r="E59" s="200" t="s">
        <v>365</v>
      </c>
      <c r="F59" s="201">
        <f>F57</f>
        <v>0.3197603</v>
      </c>
      <c r="G59" s="201">
        <f>G57</f>
        <v>0.33142579999999999</v>
      </c>
      <c r="H59" s="202">
        <f>ROUND((H57),4)</f>
        <v>0.33139999999999997</v>
      </c>
    </row>
    <row r="61" spans="1:8" ht="12.75" customHeight="1"/>
  </sheetData>
  <sheetProtection sheet="1" objects="1" scenarios="1"/>
  <mergeCells count="36">
    <mergeCell ref="A4:C4"/>
    <mergeCell ref="A5:C5"/>
    <mergeCell ref="A6:C6"/>
    <mergeCell ref="A7:C7"/>
    <mergeCell ref="B9:C9"/>
    <mergeCell ref="A18:B18"/>
    <mergeCell ref="A19:C19"/>
    <mergeCell ref="A20:C20"/>
    <mergeCell ref="A23:B23"/>
    <mergeCell ref="A24:B24"/>
    <mergeCell ref="A25:B25"/>
    <mergeCell ref="B26:C26"/>
    <mergeCell ref="A28:B28"/>
    <mergeCell ref="A29:B29"/>
    <mergeCell ref="B30:C30"/>
    <mergeCell ref="A32:B32"/>
    <mergeCell ref="A35:B35"/>
    <mergeCell ref="A37:B37"/>
    <mergeCell ref="B38:C38"/>
    <mergeCell ref="A44:B44"/>
    <mergeCell ref="E44:H45"/>
    <mergeCell ref="A45:B45"/>
    <mergeCell ref="A46:B46"/>
    <mergeCell ref="E46:E47"/>
    <mergeCell ref="F46:H46"/>
    <mergeCell ref="F47:H47"/>
    <mergeCell ref="A49:B49"/>
    <mergeCell ref="A50:C50"/>
    <mergeCell ref="A51:B51"/>
    <mergeCell ref="A52:B52"/>
    <mergeCell ref="A53:B53"/>
    <mergeCell ref="A54:B54"/>
    <mergeCell ref="A55:B55"/>
    <mergeCell ref="A56:B56"/>
    <mergeCell ref="A57:B57"/>
    <mergeCell ref="A59:C59"/>
  </mergeCells>
  <printOptions horizontalCentered="1" verticalCentered="1"/>
  <pageMargins left="0.51180555555555496" right="0.51180555555555496" top="0.78749999999999998" bottom="0.78749999999999998" header="0.51180555555555496" footer="0.51180555555555496"/>
  <pageSetup paperSize="9" scale="58"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sheetPr>
    <tabColor theme="7" tint="0.79998168889431442"/>
    <pageSetUpPr fitToPage="1"/>
  </sheetPr>
  <dimension ref="A1:V45"/>
  <sheetViews>
    <sheetView showGridLines="0" zoomScale="95" zoomScaleNormal="95" workbookViewId="0">
      <selection activeCell="G34" sqref="G34"/>
    </sheetView>
  </sheetViews>
  <sheetFormatPr defaultRowHeight="14.4"/>
  <cols>
    <col min="1" max="1" width="5" style="64" customWidth="1"/>
    <col min="2" max="2" width="65.44140625" style="69" customWidth="1"/>
    <col min="3" max="3" width="10.44140625" style="69" customWidth="1"/>
    <col min="4" max="7" width="18.44140625" style="69" customWidth="1"/>
    <col min="8" max="8" width="23.6640625" customWidth="1"/>
    <col min="9" max="9" width="4.33203125" customWidth="1"/>
    <col min="10" max="10" width="11.44140625"/>
    <col min="11" max="11" width="12.44140625" style="69" customWidth="1"/>
    <col min="12" max="12" width="8.5546875" hidden="1" customWidth="1"/>
    <col min="13" max="13" width="9" customWidth="1"/>
    <col min="14" max="14" width="26.109375" hidden="1" customWidth="1"/>
    <col min="15" max="19" width="11.5546875" hidden="1" customWidth="1"/>
    <col min="20" max="256" width="9" customWidth="1"/>
    <col min="257" max="257" width="8.33203125" customWidth="1"/>
    <col min="258" max="258" width="44.5546875" customWidth="1"/>
    <col min="259" max="259" width="7.44140625" customWidth="1"/>
    <col min="260" max="260" width="13" customWidth="1"/>
    <col min="261" max="261" width="11.6640625" customWidth="1"/>
    <col min="262" max="262" width="10.5546875" customWidth="1"/>
    <col min="263" max="263" width="14.44140625" customWidth="1"/>
    <col min="264" max="264" width="35.44140625" customWidth="1"/>
    <col min="265" max="265" width="14" customWidth="1"/>
    <col min="266" max="266" width="11.6640625" customWidth="1"/>
    <col min="267" max="267" width="13.5546875" customWidth="1"/>
    <col min="268" max="512" width="9" customWidth="1"/>
    <col min="513" max="513" width="8.33203125" customWidth="1"/>
    <col min="514" max="514" width="44.5546875" customWidth="1"/>
    <col min="515" max="515" width="7.44140625" customWidth="1"/>
    <col min="516" max="516" width="13" customWidth="1"/>
    <col min="517" max="517" width="11.6640625" customWidth="1"/>
    <col min="518" max="518" width="10.5546875" customWidth="1"/>
    <col min="519" max="519" width="14.44140625" customWidth="1"/>
    <col min="520" max="520" width="35.44140625" customWidth="1"/>
    <col min="521" max="521" width="14" customWidth="1"/>
    <col min="522" max="522" width="11.6640625" customWidth="1"/>
    <col min="523" max="523" width="13.5546875" customWidth="1"/>
    <col min="524" max="768" width="9" customWidth="1"/>
    <col min="769" max="769" width="8.33203125" customWidth="1"/>
    <col min="770" max="770" width="44.5546875" customWidth="1"/>
    <col min="771" max="771" width="7.44140625" customWidth="1"/>
    <col min="772" max="772" width="13" customWidth="1"/>
    <col min="773" max="773" width="11.6640625" customWidth="1"/>
    <col min="774" max="774" width="10.5546875" customWidth="1"/>
    <col min="775" max="775" width="14.44140625" customWidth="1"/>
    <col min="776" max="776" width="35.44140625" customWidth="1"/>
    <col min="777" max="777" width="14" customWidth="1"/>
    <col min="778" max="778" width="11.6640625" customWidth="1"/>
    <col min="779" max="779" width="13.5546875" customWidth="1"/>
    <col min="780" max="1025" width="9" customWidth="1"/>
  </cols>
  <sheetData>
    <row r="1" spans="1:22" s="69" customFormat="1" ht="15" customHeight="1">
      <c r="A1" s="203"/>
      <c r="B1" s="98" t="str">
        <f>INSTRUÇÕES!B1</f>
        <v>Tribunal Regional Federal da 6ª Região</v>
      </c>
      <c r="C1" s="204"/>
      <c r="D1" s="204"/>
      <c r="E1" s="204"/>
      <c r="F1" s="204"/>
      <c r="G1" s="204"/>
      <c r="H1" s="205"/>
    </row>
    <row r="2" spans="1:22" s="69" customFormat="1" ht="17.25" customHeight="1">
      <c r="A2" s="206"/>
      <c r="B2" s="100" t="str">
        <f>INSTRUÇÕES!B2</f>
        <v>Seção Judiciária de Minas Gerais</v>
      </c>
      <c r="H2" s="207"/>
    </row>
    <row r="3" spans="1:22" s="69" customFormat="1" ht="16.5" customHeight="1">
      <c r="A3" s="206"/>
      <c r="B3" s="100" t="str">
        <f>INSTRUÇÕES!B3</f>
        <v>Subseção Judiciária de Divinópolis</v>
      </c>
      <c r="H3" s="207"/>
      <c r="N3" s="1"/>
      <c r="O3" s="1"/>
      <c r="P3" s="1"/>
      <c r="Q3" s="1"/>
      <c r="R3" s="1"/>
      <c r="S3" s="1"/>
      <c r="T3" s="1"/>
    </row>
    <row r="4" spans="1:22" s="69" customFormat="1" ht="27.75" customHeight="1">
      <c r="A4" s="607" t="s">
        <v>366</v>
      </c>
      <c r="B4" s="607"/>
      <c r="C4" s="607"/>
      <c r="D4" s="607"/>
      <c r="E4" s="607"/>
      <c r="F4" s="607"/>
      <c r="G4" s="607"/>
      <c r="H4" s="607"/>
      <c r="I4" s="208"/>
      <c r="J4" s="208"/>
      <c r="U4" s="1"/>
      <c r="V4" s="1"/>
    </row>
    <row r="5" spans="1:22" s="1" customFormat="1" ht="24" customHeight="1">
      <c r="A5" s="612" t="s">
        <v>367</v>
      </c>
      <c r="B5" s="612"/>
      <c r="C5" s="612"/>
      <c r="D5" s="612"/>
      <c r="E5" s="612"/>
      <c r="F5" s="612"/>
      <c r="G5" s="612"/>
      <c r="H5" s="612"/>
      <c r="K5" s="209"/>
      <c r="N5" s="544" t="s">
        <v>368</v>
      </c>
      <c r="O5" s="544"/>
      <c r="P5" s="544"/>
      <c r="Q5" s="544"/>
      <c r="R5" s="544"/>
      <c r="S5" s="544"/>
      <c r="T5" s="69"/>
      <c r="U5" s="69"/>
      <c r="V5" s="69"/>
    </row>
    <row r="6" spans="1:22" s="69" customFormat="1" ht="15" customHeight="1">
      <c r="A6" s="608" t="s">
        <v>57</v>
      </c>
      <c r="B6" s="609" t="s">
        <v>369</v>
      </c>
      <c r="C6" s="609"/>
      <c r="D6" s="609"/>
      <c r="E6" s="210"/>
      <c r="F6" s="210"/>
      <c r="G6" s="210"/>
      <c r="H6" s="610" t="s">
        <v>370</v>
      </c>
      <c r="I6" s="68"/>
      <c r="J6" s="68"/>
      <c r="N6" s="544"/>
      <c r="O6" s="544"/>
      <c r="P6" s="544"/>
      <c r="Q6" s="544"/>
      <c r="R6" s="544"/>
      <c r="S6" s="544"/>
    </row>
    <row r="7" spans="1:22" s="69" customFormat="1" ht="13.5" customHeight="1">
      <c r="A7" s="608"/>
      <c r="B7" s="609"/>
      <c r="C7" s="609"/>
      <c r="D7" s="609"/>
      <c r="E7" s="210"/>
      <c r="F7" s="210"/>
      <c r="G7" s="210"/>
      <c r="H7" s="610"/>
      <c r="I7" s="68"/>
      <c r="J7" s="611" t="s">
        <v>371</v>
      </c>
      <c r="K7" s="611"/>
      <c r="L7" s="611"/>
      <c r="N7" s="544"/>
      <c r="O7" s="544"/>
      <c r="P7" s="544"/>
      <c r="Q7" s="544"/>
      <c r="R7" s="544"/>
      <c r="S7" s="544"/>
    </row>
    <row r="8" spans="1:22" s="69" customFormat="1" ht="41.4">
      <c r="A8" s="608"/>
      <c r="B8" s="210" t="s">
        <v>62</v>
      </c>
      <c r="C8" s="212" t="s">
        <v>63</v>
      </c>
      <c r="D8" s="212" t="s">
        <v>64</v>
      </c>
      <c r="E8" s="213" t="s">
        <v>372</v>
      </c>
      <c r="F8" s="214" t="s">
        <v>69</v>
      </c>
      <c r="G8" s="212" t="s">
        <v>373</v>
      </c>
      <c r="H8" s="610"/>
      <c r="I8" s="68"/>
      <c r="J8" s="213" t="s">
        <v>67</v>
      </c>
      <c r="K8" s="214" t="s">
        <v>66</v>
      </c>
      <c r="L8" s="213" t="s">
        <v>374</v>
      </c>
      <c r="N8" s="215" t="s">
        <v>375</v>
      </c>
      <c r="O8" s="21" t="s">
        <v>275</v>
      </c>
      <c r="P8" s="21" t="s">
        <v>276</v>
      </c>
      <c r="Q8" s="21" t="s">
        <v>277</v>
      </c>
      <c r="R8" s="21" t="s">
        <v>278</v>
      </c>
      <c r="S8" s="23" t="s">
        <v>279</v>
      </c>
    </row>
    <row r="9" spans="1:22" s="69" customFormat="1" ht="66.45" customHeight="1">
      <c r="A9" s="216">
        <v>1</v>
      </c>
      <c r="B9" s="75" t="s">
        <v>376</v>
      </c>
      <c r="C9" s="76" t="s">
        <v>377</v>
      </c>
      <c r="D9" s="76" t="s">
        <v>378</v>
      </c>
      <c r="E9" s="90">
        <v>1</v>
      </c>
      <c r="F9" s="76" t="s">
        <v>379</v>
      </c>
      <c r="G9" s="217">
        <v>51.61</v>
      </c>
      <c r="H9" s="218" t="str">
        <f>IF(G9&lt;=(100%-Estimativa_ADM!$C$15)*Estimativa_ADM!C21,Estimativa_ADM!$C$16,"")</f>
        <v/>
      </c>
      <c r="I9" s="68"/>
      <c r="J9" s="76">
        <f>'Ocorrências Mensais - FAT'!G25</f>
        <v>1</v>
      </c>
      <c r="K9" s="219">
        <f t="shared" ref="K9:K34" si="0">G9*J9</f>
        <v>51.61</v>
      </c>
      <c r="L9" s="39">
        <f>IF(F9="MENSAL",1,IF(F9="BIMESTRAL",2,IF(F9="TRIMESTRAL",3,IF(F9="QUADRIMESTRAL",4,IF(F9="SEMESTRAL",6,IF(F9="ANUAL",12,IF(F9="BIENAL",24,"")))))))</f>
        <v>1</v>
      </c>
      <c r="N9" s="220">
        <v>6</v>
      </c>
      <c r="O9" s="39">
        <f>ROUND(IF(Dados!$J$55="SIM",N9*Dados!$N$55,N9),2)</f>
        <v>6</v>
      </c>
      <c r="P9" s="39">
        <f>ROUND(IF(Dados!$J$56="SIM",O9*Dados!$N$56,O9),2)</f>
        <v>6</v>
      </c>
      <c r="Q9" s="39">
        <f>ROUND(IF(Dados!$J$57="SIM",P9*Dados!$N$57,P9),2)</f>
        <v>6</v>
      </c>
      <c r="R9" s="39">
        <f>ROUND(IF(Dados!$J$58="SIM",Q9*Dados!$N$58,Q9),2)</f>
        <v>6</v>
      </c>
      <c r="S9" s="82">
        <f>ROUND(IF(Dados!$J$59="SIM",R9*Dados!$N$59,R9),2)</f>
        <v>6</v>
      </c>
    </row>
    <row r="10" spans="1:22" s="69" customFormat="1" ht="32.4" customHeight="1">
      <c r="A10" s="216">
        <v>2</v>
      </c>
      <c r="B10" s="221" t="s">
        <v>380</v>
      </c>
      <c r="C10" s="222" t="s">
        <v>63</v>
      </c>
      <c r="D10" s="222" t="s">
        <v>381</v>
      </c>
      <c r="E10" s="90">
        <v>10</v>
      </c>
      <c r="F10" s="76" t="s">
        <v>379</v>
      </c>
      <c r="G10" s="217">
        <v>6.04</v>
      </c>
      <c r="H10" s="218" t="str">
        <f>IF(G10&lt;=(100%-Estimativa_ADM!$C$15)*Estimativa_ADM!C22,Estimativa_ADM!$C$16,"")</f>
        <v/>
      </c>
      <c r="I10" s="68"/>
      <c r="J10" s="76">
        <f>'Ocorrências Mensais - FAT'!G26</f>
        <v>10</v>
      </c>
      <c r="K10" s="219">
        <f t="shared" si="0"/>
        <v>60.4</v>
      </c>
      <c r="L10" s="39"/>
      <c r="N10" s="220"/>
      <c r="O10" s="39"/>
      <c r="P10" s="39"/>
      <c r="Q10" s="39"/>
      <c r="R10" s="39"/>
      <c r="S10" s="82"/>
    </row>
    <row r="11" spans="1:22" s="69" customFormat="1" ht="13.8">
      <c r="A11" s="216">
        <v>3</v>
      </c>
      <c r="B11" s="221" t="s">
        <v>382</v>
      </c>
      <c r="C11" s="222" t="s">
        <v>63</v>
      </c>
      <c r="D11" s="222" t="s">
        <v>383</v>
      </c>
      <c r="E11" s="90">
        <v>8</v>
      </c>
      <c r="F11" s="76" t="s">
        <v>379</v>
      </c>
      <c r="G11" s="217">
        <v>7.43</v>
      </c>
      <c r="H11" s="218" t="str">
        <f>IF(G11&lt;=(100%-Estimativa_ADM!$C$15)*Estimativa_ADM!C23,Estimativa_ADM!$C$16,"")</f>
        <v/>
      </c>
      <c r="I11" s="68"/>
      <c r="J11" s="76">
        <f>'Ocorrências Mensais - FAT'!G27</f>
        <v>8</v>
      </c>
      <c r="K11" s="219">
        <f t="shared" si="0"/>
        <v>59.44</v>
      </c>
      <c r="L11" s="39">
        <f t="shared" ref="L11:L34" si="1">IF(F11="MENSAL",1,IF(F11="BIMESTRAL",2,IF(F11="TRIMESTRAL",3,IF(F11="QUADRIMESTRAL",4,IF(F11="SEMESTRAL",6,IF(F11="ANUAL",12,IF(F11="BIENAL",24,"")))))))</f>
        <v>1</v>
      </c>
      <c r="N11" s="220">
        <v>3.8</v>
      </c>
      <c r="O11" s="39">
        <f>ROUND(IF(Dados!$J$55="SIM",N11*Dados!$N$55,N11),2)</f>
        <v>3.8</v>
      </c>
      <c r="P11" s="39">
        <f>ROUND(IF(Dados!$J$56="SIM",O11*Dados!$N$56,O11),2)</f>
        <v>3.8</v>
      </c>
      <c r="Q11" s="39">
        <f>ROUND(IF(Dados!$J$57="SIM",P11*Dados!$N$57,P11),2)</f>
        <v>3.8</v>
      </c>
      <c r="R11" s="39">
        <f>ROUND(IF(Dados!$J$58="SIM",Q11*Dados!$N$58,Q11),2)</f>
        <v>3.8</v>
      </c>
      <c r="S11" s="82">
        <f>ROUND(IF(Dados!$J$59="SIM",R11*Dados!$N$59,R11),2)</f>
        <v>3.8</v>
      </c>
    </row>
    <row r="12" spans="1:22" s="69" customFormat="1" ht="27.6">
      <c r="A12" s="216">
        <v>4</v>
      </c>
      <c r="B12" s="221" t="s">
        <v>384</v>
      </c>
      <c r="C12" s="222" t="s">
        <v>63</v>
      </c>
      <c r="D12" s="76" t="s">
        <v>385</v>
      </c>
      <c r="E12" s="90">
        <v>2</v>
      </c>
      <c r="F12" s="76" t="s">
        <v>386</v>
      </c>
      <c r="G12" s="217">
        <v>14.68</v>
      </c>
      <c r="H12" s="218" t="str">
        <f>IF(G12&lt;=(100%-Estimativa_ADM!$C$15)*Estimativa_ADM!C24,Estimativa_ADM!$C$16,"")</f>
        <v/>
      </c>
      <c r="I12" s="68"/>
      <c r="J12" s="76">
        <f>'Ocorrências Mensais - FAT'!G28</f>
        <v>0.33333333333333331</v>
      </c>
      <c r="K12" s="219">
        <f t="shared" si="0"/>
        <v>4.8933333333333326</v>
      </c>
      <c r="L12" s="39">
        <f t="shared" si="1"/>
        <v>6</v>
      </c>
      <c r="N12" s="220">
        <v>4.1399999999999997</v>
      </c>
      <c r="O12" s="39">
        <f>ROUND(IF(Dados!$J$55="SIM",N12*Dados!$N$55,N12),2)</f>
        <v>4.1399999999999997</v>
      </c>
      <c r="P12" s="39">
        <f>ROUND(IF(Dados!$J$56="SIM",O12*Dados!$N$56,O12),2)</f>
        <v>4.1399999999999997</v>
      </c>
      <c r="Q12" s="39">
        <f>ROUND(IF(Dados!$J$57="SIM",P12*Dados!$N$57,P12),2)</f>
        <v>4.1399999999999997</v>
      </c>
      <c r="R12" s="39">
        <f>ROUND(IF(Dados!$J$58="SIM",Q12*Dados!$N$58,Q12),2)</f>
        <v>4.1399999999999997</v>
      </c>
      <c r="S12" s="82">
        <f>ROUND(IF(Dados!$J$59="SIM",R12*Dados!$N$59,R12),2)</f>
        <v>4.1399999999999997</v>
      </c>
    </row>
    <row r="13" spans="1:22" s="69" customFormat="1" ht="100.35" customHeight="1">
      <c r="A13" s="216">
        <v>5</v>
      </c>
      <c r="B13" s="221" t="s">
        <v>387</v>
      </c>
      <c r="C13" s="76" t="str">
        <f>$C$10</f>
        <v>Unid.</v>
      </c>
      <c r="D13" s="222" t="s">
        <v>383</v>
      </c>
      <c r="E13" s="90">
        <v>2</v>
      </c>
      <c r="F13" s="76" t="s">
        <v>379</v>
      </c>
      <c r="G13" s="217">
        <v>4.91</v>
      </c>
      <c r="H13" s="218" t="str">
        <f>IF(G13&lt;=(100%-Estimativa_ADM!$C$15)*Estimativa_ADM!C25,Estimativa_ADM!$C$16,"")</f>
        <v/>
      </c>
      <c r="I13" s="68"/>
      <c r="J13" s="76">
        <f>'Ocorrências Mensais - FAT'!G29</f>
        <v>2</v>
      </c>
      <c r="K13" s="219">
        <f t="shared" si="0"/>
        <v>9.82</v>
      </c>
      <c r="L13" s="39">
        <f t="shared" si="1"/>
        <v>1</v>
      </c>
      <c r="N13" s="220"/>
      <c r="O13" s="39"/>
      <c r="P13" s="39"/>
      <c r="Q13" s="39"/>
      <c r="R13" s="39"/>
      <c r="S13" s="82"/>
    </row>
    <row r="14" spans="1:22" s="69" customFormat="1" ht="27.6">
      <c r="A14" s="216">
        <v>6</v>
      </c>
      <c r="B14" s="75" t="s">
        <v>388</v>
      </c>
      <c r="C14" s="222" t="s">
        <v>377</v>
      </c>
      <c r="D14" s="76"/>
      <c r="E14" s="90">
        <v>4</v>
      </c>
      <c r="F14" s="76" t="s">
        <v>379</v>
      </c>
      <c r="G14" s="217">
        <v>21.67</v>
      </c>
      <c r="H14" s="218" t="str">
        <f>IF(G14&lt;=(100%-Estimativa_ADM!$C$15)*Estimativa_ADM!C26,Estimativa_ADM!$C$16,"")</f>
        <v/>
      </c>
      <c r="I14" s="68"/>
      <c r="J14" s="76">
        <f>'Ocorrências Mensais - FAT'!G30</f>
        <v>4</v>
      </c>
      <c r="K14" s="219">
        <f t="shared" si="0"/>
        <v>86.68</v>
      </c>
      <c r="L14" s="39">
        <f t="shared" si="1"/>
        <v>1</v>
      </c>
      <c r="N14" s="220">
        <v>1.4</v>
      </c>
      <c r="O14" s="39">
        <f>ROUND(IF(Dados!$J$55="SIM",N14*Dados!$N$55,N14),2)</f>
        <v>1.4</v>
      </c>
      <c r="P14" s="39">
        <f>ROUND(IF(Dados!$J$56="SIM",O14*Dados!$N$56,O14),2)</f>
        <v>1.4</v>
      </c>
      <c r="Q14" s="39">
        <f>ROUND(IF(Dados!$J$57="SIM",P14*Dados!$N$57,P14),2)</f>
        <v>1.4</v>
      </c>
      <c r="R14" s="39">
        <f>ROUND(IF(Dados!$J$58="SIM",Q14*Dados!$N$58,Q14),2)</f>
        <v>1.4</v>
      </c>
      <c r="S14" s="82">
        <f>ROUND(IF(Dados!$J$59="SIM",R14*Dados!$N$59,R14),2)</f>
        <v>1.4</v>
      </c>
    </row>
    <row r="15" spans="1:22" s="69" customFormat="1" ht="22.95" customHeight="1">
      <c r="A15" s="216">
        <v>7</v>
      </c>
      <c r="B15" s="223" t="s">
        <v>389</v>
      </c>
      <c r="C15" s="76" t="str">
        <f>$C$10</f>
        <v>Unid.</v>
      </c>
      <c r="D15" s="222" t="s">
        <v>390</v>
      </c>
      <c r="E15" s="90">
        <v>2</v>
      </c>
      <c r="F15" s="76" t="s">
        <v>379</v>
      </c>
      <c r="G15" s="217">
        <v>16.66</v>
      </c>
      <c r="H15" s="218" t="str">
        <f>IF(G15&lt;=(100%-Estimativa_ADM!$C$15)*Estimativa_ADM!C27,Estimativa_ADM!$C$16,"")</f>
        <v/>
      </c>
      <c r="I15" s="68"/>
      <c r="J15" s="76">
        <f>'Ocorrências Mensais - FAT'!G31</f>
        <v>2</v>
      </c>
      <c r="K15" s="219">
        <f t="shared" si="0"/>
        <v>33.32</v>
      </c>
      <c r="L15" s="39">
        <f t="shared" si="1"/>
        <v>1</v>
      </c>
      <c r="N15" s="220">
        <v>3.2</v>
      </c>
      <c r="O15" s="39">
        <f>ROUND(IF(Dados!$J$55="SIM",N15*Dados!$N$55,N15),2)</f>
        <v>3.2</v>
      </c>
      <c r="P15" s="39">
        <f>ROUND(IF(Dados!$J$56="SIM",O15*Dados!$N$56,O15),2)</f>
        <v>3.2</v>
      </c>
      <c r="Q15" s="39">
        <f>ROUND(IF(Dados!$J$57="SIM",P15*Dados!$N$57,P15),2)</f>
        <v>3.2</v>
      </c>
      <c r="R15" s="39">
        <f>ROUND(IF(Dados!$J$58="SIM",Q15*Dados!$N$58,Q15),2)</f>
        <v>3.2</v>
      </c>
      <c r="S15" s="82">
        <f>ROUND(IF(Dados!$J$59="SIM",R15*Dados!$N$59,R15),2)</f>
        <v>3.2</v>
      </c>
    </row>
    <row r="16" spans="1:22" s="69" customFormat="1" ht="21.45" customHeight="1">
      <c r="A16" s="216">
        <v>8</v>
      </c>
      <c r="B16" s="223" t="s">
        <v>391</v>
      </c>
      <c r="C16" s="222" t="s">
        <v>377</v>
      </c>
      <c r="D16" s="222" t="s">
        <v>392</v>
      </c>
      <c r="E16" s="90">
        <v>4</v>
      </c>
      <c r="F16" s="76" t="s">
        <v>379</v>
      </c>
      <c r="G16" s="217">
        <v>35.270000000000003</v>
      </c>
      <c r="H16" s="218" t="str">
        <f>IF(G16&lt;=(100%-Estimativa_ADM!$C$15)*Estimativa_ADM!C28,Estimativa_ADM!$C$16,"")</f>
        <v/>
      </c>
      <c r="I16" s="68"/>
      <c r="J16" s="76">
        <f>'Ocorrências Mensais - FAT'!G32</f>
        <v>4</v>
      </c>
      <c r="K16" s="219">
        <f t="shared" si="0"/>
        <v>141.08000000000001</v>
      </c>
      <c r="L16" s="39">
        <f t="shared" si="1"/>
        <v>1</v>
      </c>
      <c r="N16" s="220">
        <v>4</v>
      </c>
      <c r="O16" s="39">
        <f>ROUND(IF(Dados!$J$55="SIM",N16*Dados!$N$55,N16),2)</f>
        <v>4</v>
      </c>
      <c r="P16" s="39">
        <f>ROUND(IF(Dados!$J$56="SIM",O16*Dados!$N$56,O16),2)</f>
        <v>4</v>
      </c>
      <c r="Q16" s="39">
        <f>ROUND(IF(Dados!$J$57="SIM",P16*Dados!$N$57,P16),2)</f>
        <v>4</v>
      </c>
      <c r="R16" s="39">
        <f>ROUND(IF(Dados!$J$58="SIM",Q16*Dados!$N$58,Q16),2)</f>
        <v>4</v>
      </c>
      <c r="S16" s="82">
        <f>ROUND(IF(Dados!$J$59="SIM",R16*Dados!$N$59,R16),2)</f>
        <v>4</v>
      </c>
    </row>
    <row r="17" spans="1:19" s="69" customFormat="1" ht="55.2">
      <c r="A17" s="216">
        <v>9</v>
      </c>
      <c r="B17" s="221" t="s">
        <v>393</v>
      </c>
      <c r="C17" s="76" t="str">
        <f>$C$10</f>
        <v>Unid.</v>
      </c>
      <c r="D17" s="222" t="s">
        <v>394</v>
      </c>
      <c r="E17" s="90">
        <v>15</v>
      </c>
      <c r="F17" s="76" t="s">
        <v>379</v>
      </c>
      <c r="G17" s="217">
        <v>4.62</v>
      </c>
      <c r="H17" s="218" t="str">
        <f>IF(G17&lt;=(100%-Estimativa_ADM!$C$15)*Estimativa_ADM!C29,Estimativa_ADM!$C$16,"")</f>
        <v/>
      </c>
      <c r="I17" s="68"/>
      <c r="J17" s="76">
        <f>'Ocorrências Mensais - FAT'!G33</f>
        <v>15</v>
      </c>
      <c r="K17" s="219">
        <f t="shared" si="0"/>
        <v>69.3</v>
      </c>
      <c r="L17" s="39">
        <f t="shared" si="1"/>
        <v>1</v>
      </c>
      <c r="N17" s="220"/>
      <c r="O17" s="39"/>
      <c r="P17" s="39"/>
      <c r="Q17" s="39"/>
      <c r="R17" s="39"/>
      <c r="S17" s="82"/>
    </row>
    <row r="18" spans="1:19" s="69" customFormat="1" ht="27.6">
      <c r="A18" s="216">
        <v>10</v>
      </c>
      <c r="B18" s="221" t="s">
        <v>395</v>
      </c>
      <c r="C18" s="76" t="str">
        <f>$C$10</f>
        <v>Unid.</v>
      </c>
      <c r="D18" s="76" t="s">
        <v>396</v>
      </c>
      <c r="E18" s="90">
        <v>2</v>
      </c>
      <c r="F18" s="76" t="s">
        <v>379</v>
      </c>
      <c r="G18" s="217">
        <v>11.75</v>
      </c>
      <c r="H18" s="218" t="str">
        <f>IF(G18&lt;=(100%-Estimativa_ADM!$C$15)*Estimativa_ADM!C30,Estimativa_ADM!$C$16,"")</f>
        <v/>
      </c>
      <c r="I18" s="68"/>
      <c r="J18" s="76">
        <f>'Ocorrências Mensais - FAT'!G34</f>
        <v>2</v>
      </c>
      <c r="K18" s="219">
        <f t="shared" si="0"/>
        <v>23.5</v>
      </c>
      <c r="L18" s="39">
        <f t="shared" si="1"/>
        <v>1</v>
      </c>
      <c r="N18" s="220">
        <v>1.2</v>
      </c>
      <c r="O18" s="39">
        <f>ROUND(IF(Dados!$J$55="SIM",N18*Dados!$N$55,N18),2)</f>
        <v>1.2</v>
      </c>
      <c r="P18" s="39">
        <f>ROUND(IF(Dados!$J$56="SIM",O18*Dados!$N$56,O18),2)</f>
        <v>1.2</v>
      </c>
      <c r="Q18" s="39">
        <f>ROUND(IF(Dados!$J$57="SIM",P18*Dados!$N$57,P18),2)</f>
        <v>1.2</v>
      </c>
      <c r="R18" s="39">
        <f>ROUND(IF(Dados!$J$58="SIM",Q18*Dados!$N$58,Q18),2)</f>
        <v>1.2</v>
      </c>
      <c r="S18" s="82">
        <f>ROUND(IF(Dados!$J$59="SIM",R18*Dados!$N$59,R18),2)</f>
        <v>1.2</v>
      </c>
    </row>
    <row r="19" spans="1:19" s="69" customFormat="1" ht="55.2">
      <c r="A19" s="216">
        <v>11</v>
      </c>
      <c r="B19" s="223" t="s">
        <v>397</v>
      </c>
      <c r="C19" s="76" t="s">
        <v>398</v>
      </c>
      <c r="D19" s="222" t="s">
        <v>399</v>
      </c>
      <c r="E19" s="90">
        <v>4</v>
      </c>
      <c r="F19" s="76" t="s">
        <v>379</v>
      </c>
      <c r="G19" s="217">
        <v>4.6399999999999997</v>
      </c>
      <c r="H19" s="218" t="str">
        <f>IF(G19&lt;=(100%-Estimativa_ADM!$C$15)*Estimativa_ADM!C31,Estimativa_ADM!$C$16,"")</f>
        <v/>
      </c>
      <c r="I19" s="68"/>
      <c r="J19" s="76">
        <f>'Ocorrências Mensais - FAT'!G35</f>
        <v>4</v>
      </c>
      <c r="K19" s="219">
        <f t="shared" si="0"/>
        <v>18.559999999999999</v>
      </c>
      <c r="L19" s="39">
        <f t="shared" si="1"/>
        <v>1</v>
      </c>
      <c r="N19" s="220">
        <v>1.3</v>
      </c>
      <c r="O19" s="39">
        <f>ROUND(IF(Dados!$J$55="SIM",N19*Dados!$N$55,N19),2)</f>
        <v>1.3</v>
      </c>
      <c r="P19" s="39">
        <f>ROUND(IF(Dados!$J$56="SIM",O19*Dados!$N$56,O19),2)</f>
        <v>1.3</v>
      </c>
      <c r="Q19" s="39">
        <f>ROUND(IF(Dados!$J$57="SIM",P19*Dados!$N$57,P19),2)</f>
        <v>1.3</v>
      </c>
      <c r="R19" s="39">
        <f>ROUND(IF(Dados!$J$58="SIM",Q19*Dados!$N$58,Q19),2)</f>
        <v>1.3</v>
      </c>
      <c r="S19" s="82">
        <f>ROUND(IF(Dados!$J$59="SIM",R19*Dados!$N$59,R19),2)</f>
        <v>1.3</v>
      </c>
    </row>
    <row r="20" spans="1:19" s="69" customFormat="1" ht="41.4">
      <c r="A20" s="216">
        <v>12</v>
      </c>
      <c r="B20" s="221" t="s">
        <v>400</v>
      </c>
      <c r="C20" s="76" t="s">
        <v>398</v>
      </c>
      <c r="D20" s="76" t="s">
        <v>401</v>
      </c>
      <c r="E20" s="90">
        <v>2</v>
      </c>
      <c r="F20" s="76" t="s">
        <v>379</v>
      </c>
      <c r="G20" s="217">
        <v>2.67</v>
      </c>
      <c r="H20" s="218" t="str">
        <f>IF(G20&lt;=(100%-Estimativa_ADM!$C$15)*Estimativa_ADM!C32,Estimativa_ADM!$C$16,"")</f>
        <v/>
      </c>
      <c r="I20" s="68"/>
      <c r="J20" s="76">
        <f>'Ocorrências Mensais - FAT'!G36</f>
        <v>2</v>
      </c>
      <c r="K20" s="219">
        <f t="shared" si="0"/>
        <v>5.34</v>
      </c>
      <c r="L20" s="39">
        <f t="shared" si="1"/>
        <v>1</v>
      </c>
      <c r="N20" s="220">
        <v>1.48</v>
      </c>
      <c r="O20" s="39">
        <f>ROUND(IF(Dados!$J$55="SIM",N20*Dados!$N$55,N20),2)</f>
        <v>1.48</v>
      </c>
      <c r="P20" s="39">
        <f>ROUND(IF(Dados!$J$56="SIM",O20*Dados!$N$56,O20),2)</f>
        <v>1.48</v>
      </c>
      <c r="Q20" s="39">
        <f>ROUND(IF(Dados!$J$57="SIM",P20*Dados!$N$57,P20),2)</f>
        <v>1.48</v>
      </c>
      <c r="R20" s="39">
        <f>ROUND(IF(Dados!$J$58="SIM",Q20*Dados!$N$58,Q20),2)</f>
        <v>1.48</v>
      </c>
      <c r="S20" s="82">
        <f>ROUND(IF(Dados!$J$59="SIM",R20*Dados!$N$59,R20),2)</f>
        <v>1.48</v>
      </c>
    </row>
    <row r="21" spans="1:19" s="69" customFormat="1" ht="105.75" customHeight="1">
      <c r="A21" s="216">
        <v>13</v>
      </c>
      <c r="B21" s="221" t="s">
        <v>402</v>
      </c>
      <c r="C21" s="76" t="str">
        <f>$C$10</f>
        <v>Unid.</v>
      </c>
      <c r="D21" s="76" t="s">
        <v>403</v>
      </c>
      <c r="E21" s="90">
        <v>5</v>
      </c>
      <c r="F21" s="76" t="s">
        <v>379</v>
      </c>
      <c r="G21" s="217">
        <v>4.13</v>
      </c>
      <c r="H21" s="218" t="str">
        <f>IF(G21&lt;=(100%-Estimativa_ADM!$C$15)*Estimativa_ADM!C33,Estimativa_ADM!$C$16,"")</f>
        <v/>
      </c>
      <c r="I21" s="68"/>
      <c r="J21" s="76">
        <f>'Ocorrências Mensais - FAT'!G37</f>
        <v>5</v>
      </c>
      <c r="K21" s="219">
        <f t="shared" si="0"/>
        <v>20.65</v>
      </c>
      <c r="L21" s="39">
        <f t="shared" si="1"/>
        <v>1</v>
      </c>
      <c r="N21" s="220">
        <v>1</v>
      </c>
      <c r="O21" s="39">
        <f>ROUND(IF(Dados!$J$55="SIM",N21*Dados!$N$55,N21),2)</f>
        <v>1</v>
      </c>
      <c r="P21" s="39">
        <f>ROUND(IF(Dados!$J$56="SIM",O21*Dados!$N$56,O21),2)</f>
        <v>1</v>
      </c>
      <c r="Q21" s="39">
        <f>ROUND(IF(Dados!$J$57="SIM",P21*Dados!$N$57,P21),2)</f>
        <v>1</v>
      </c>
      <c r="R21" s="39">
        <f>ROUND(IF(Dados!$J$58="SIM",Q21*Dados!$N$58,Q21),2)</f>
        <v>1</v>
      </c>
      <c r="S21" s="82">
        <f>ROUND(IF(Dados!$J$59="SIM",R21*Dados!$N$59,R21),2)</f>
        <v>1</v>
      </c>
    </row>
    <row r="22" spans="1:19" s="69" customFormat="1" ht="13.8">
      <c r="A22" s="216">
        <v>14</v>
      </c>
      <c r="B22" s="224" t="s">
        <v>404</v>
      </c>
      <c r="C22" s="76" t="str">
        <f>$C$10</f>
        <v>Unid.</v>
      </c>
      <c r="D22" s="225" t="s">
        <v>405</v>
      </c>
      <c r="E22" s="90">
        <v>2</v>
      </c>
      <c r="F22" s="76" t="s">
        <v>379</v>
      </c>
      <c r="G22" s="217">
        <v>17.64</v>
      </c>
      <c r="H22" s="218" t="str">
        <f>IF(G22&lt;=(100%-Estimativa_ADM!$C$15)*Estimativa_ADM!C34,Estimativa_ADM!$C$16,"")</f>
        <v/>
      </c>
      <c r="I22" s="68"/>
      <c r="J22" s="76">
        <f>'Ocorrências Mensais - FAT'!G38</f>
        <v>2</v>
      </c>
      <c r="K22" s="219">
        <f t="shared" si="0"/>
        <v>35.28</v>
      </c>
      <c r="L22" s="39">
        <f t="shared" si="1"/>
        <v>1</v>
      </c>
      <c r="N22" s="220">
        <v>1.4</v>
      </c>
      <c r="O22" s="39">
        <f>ROUND(IF(Dados!$J$55="SIM",N22*Dados!$N$55,N22),2)</f>
        <v>1.4</v>
      </c>
      <c r="P22" s="39">
        <f>ROUND(IF(Dados!$J$56="SIM",O22*Dados!$N$56,O22),2)</f>
        <v>1.4</v>
      </c>
      <c r="Q22" s="39">
        <f>ROUND(IF(Dados!$J$57="SIM",P22*Dados!$N$57,P22),2)</f>
        <v>1.4</v>
      </c>
      <c r="R22" s="39">
        <f>ROUND(IF(Dados!$J$58="SIM",Q22*Dados!$N$58,Q22),2)</f>
        <v>1.4</v>
      </c>
      <c r="S22" s="82">
        <f>ROUND(IF(Dados!$J$59="SIM",R22*Dados!$N$59,R22),2)</f>
        <v>1.4</v>
      </c>
    </row>
    <row r="23" spans="1:19" s="69" customFormat="1" ht="55.2">
      <c r="A23" s="216">
        <v>15</v>
      </c>
      <c r="B23" s="221" t="s">
        <v>406</v>
      </c>
      <c r="C23" s="222" t="s">
        <v>407</v>
      </c>
      <c r="D23" s="222" t="s">
        <v>408</v>
      </c>
      <c r="E23" s="90">
        <v>4</v>
      </c>
      <c r="F23" s="76" t="s">
        <v>379</v>
      </c>
      <c r="G23" s="217">
        <v>14.16</v>
      </c>
      <c r="H23" s="218" t="str">
        <f>IF(G23&lt;=(100%-Estimativa_ADM!$C$15)*Estimativa_ADM!C35,Estimativa_ADM!$C$16,"")</f>
        <v/>
      </c>
      <c r="I23" s="68"/>
      <c r="J23" s="76">
        <f>'Ocorrências Mensais - FAT'!G39</f>
        <v>4</v>
      </c>
      <c r="K23" s="219">
        <f t="shared" si="0"/>
        <v>56.64</v>
      </c>
      <c r="L23" s="39">
        <f t="shared" si="1"/>
        <v>1</v>
      </c>
      <c r="N23" s="220">
        <v>9.1</v>
      </c>
      <c r="O23" s="39">
        <f>ROUND(IF(Dados!$J$55="SIM",N23*Dados!$N$55,N23),2)</f>
        <v>9.1</v>
      </c>
      <c r="P23" s="39">
        <f>ROUND(IF(Dados!$J$56="SIM",O23*Dados!$N$56,O23),2)</f>
        <v>9.1</v>
      </c>
      <c r="Q23" s="39">
        <f>ROUND(IF(Dados!$J$57="SIM",P23*Dados!$N$57,P23),2)</f>
        <v>9.1</v>
      </c>
      <c r="R23" s="39">
        <f>ROUND(IF(Dados!$J$58="SIM",Q23*Dados!$N$58,Q23),2)</f>
        <v>9.1</v>
      </c>
      <c r="S23" s="82">
        <f>ROUND(IF(Dados!$J$59="SIM",R23*Dados!$N$59,R23),2)</f>
        <v>9.1</v>
      </c>
    </row>
    <row r="24" spans="1:19" s="69" customFormat="1" ht="45.75" customHeight="1">
      <c r="A24" s="216">
        <v>16</v>
      </c>
      <c r="B24" s="221" t="s">
        <v>409</v>
      </c>
      <c r="C24" s="76" t="s">
        <v>410</v>
      </c>
      <c r="D24" s="222" t="s">
        <v>411</v>
      </c>
      <c r="E24" s="90">
        <v>80</v>
      </c>
      <c r="F24" s="76" t="s">
        <v>379</v>
      </c>
      <c r="G24" s="217">
        <v>6.35</v>
      </c>
      <c r="H24" s="218" t="str">
        <f>IF(G24&lt;=(100%-Estimativa_ADM!$C$15)*Estimativa_ADM!C36,Estimativa_ADM!$C$16,"")</f>
        <v/>
      </c>
      <c r="I24" s="68"/>
      <c r="J24" s="76">
        <f>'Ocorrências Mensais - FAT'!G40</f>
        <v>80</v>
      </c>
      <c r="K24" s="219">
        <f t="shared" si="0"/>
        <v>508</v>
      </c>
      <c r="L24" s="39">
        <f t="shared" si="1"/>
        <v>1</v>
      </c>
      <c r="N24" s="220">
        <v>1</v>
      </c>
      <c r="O24" s="39">
        <f>ROUND(IF(Dados!$J$55="SIM",N24*Dados!$N$55,N24),2)</f>
        <v>1</v>
      </c>
      <c r="P24" s="39">
        <f>ROUND(IF(Dados!$J$56="SIM",O24*Dados!$N$56,O24),2)</f>
        <v>1</v>
      </c>
      <c r="Q24" s="39">
        <f>ROUND(IF(Dados!$J$57="SIM",P24*Dados!$N$57,P24),2)</f>
        <v>1</v>
      </c>
      <c r="R24" s="39">
        <f>ROUND(IF(Dados!$J$58="SIM",Q24*Dados!$N$58,Q24),2)</f>
        <v>1</v>
      </c>
      <c r="S24" s="82">
        <f>ROUND(IF(Dados!$J$59="SIM",R24*Dados!$N$59,R24),2)</f>
        <v>1</v>
      </c>
    </row>
    <row r="25" spans="1:19" s="69" customFormat="1" ht="41.4">
      <c r="A25" s="216">
        <v>17</v>
      </c>
      <c r="B25" s="221" t="s">
        <v>412</v>
      </c>
      <c r="C25" s="76" t="s">
        <v>398</v>
      </c>
      <c r="D25" s="222" t="s">
        <v>413</v>
      </c>
      <c r="E25" s="90">
        <v>25</v>
      </c>
      <c r="F25" s="76" t="s">
        <v>379</v>
      </c>
      <c r="G25" s="217">
        <v>25.26</v>
      </c>
      <c r="H25" s="218" t="str">
        <f>IF(G25&lt;=(100%-Estimativa_ADM!$C$15)*Estimativa_ADM!C37,Estimativa_ADM!$C$16,"")</f>
        <v/>
      </c>
      <c r="I25" s="68"/>
      <c r="J25" s="76">
        <f>'Ocorrências Mensais - FAT'!G41</f>
        <v>25</v>
      </c>
      <c r="K25" s="219">
        <f t="shared" si="0"/>
        <v>631.5</v>
      </c>
      <c r="L25" s="39">
        <f t="shared" si="1"/>
        <v>1</v>
      </c>
      <c r="N25" s="220">
        <v>1.59</v>
      </c>
      <c r="O25" s="39">
        <f>ROUND(IF(Dados!$J$55="SIM",N25*Dados!$N$55,N25),2)</f>
        <v>1.59</v>
      </c>
      <c r="P25" s="39">
        <f>ROUND(IF(Dados!$J$56="SIM",O25*Dados!$N$56,O25),2)</f>
        <v>1.59</v>
      </c>
      <c r="Q25" s="39">
        <f>ROUND(IF(Dados!$J$57="SIM",P25*Dados!$N$57,P25),2)</f>
        <v>1.59</v>
      </c>
      <c r="R25" s="39">
        <f>ROUND(IF(Dados!$J$58="SIM",Q25*Dados!$N$58,Q25),2)</f>
        <v>1.59</v>
      </c>
      <c r="S25" s="82">
        <f>ROUND(IF(Dados!$J$59="SIM",R25*Dados!$N$59,R25),2)</f>
        <v>1.59</v>
      </c>
    </row>
    <row r="26" spans="1:19" s="69" customFormat="1" ht="27.6">
      <c r="A26" s="216">
        <v>18</v>
      </c>
      <c r="B26" s="75" t="s">
        <v>414</v>
      </c>
      <c r="C26" s="76" t="str">
        <f>$C$10</f>
        <v>Unid.</v>
      </c>
      <c r="D26" s="222" t="s">
        <v>415</v>
      </c>
      <c r="E26" s="90">
        <v>5</v>
      </c>
      <c r="F26" s="76" t="s">
        <v>379</v>
      </c>
      <c r="G26" s="217">
        <v>3.52</v>
      </c>
      <c r="H26" s="218" t="str">
        <f>IF(G26&lt;=(100%-Estimativa_ADM!$C$15)*Estimativa_ADM!C38,Estimativa_ADM!$C$16,"")</f>
        <v/>
      </c>
      <c r="I26" s="68"/>
      <c r="J26" s="76">
        <f>'Ocorrências Mensais - FAT'!G42</f>
        <v>5</v>
      </c>
      <c r="K26" s="219">
        <f t="shared" si="0"/>
        <v>17.600000000000001</v>
      </c>
      <c r="L26" s="39">
        <f t="shared" si="1"/>
        <v>1</v>
      </c>
      <c r="N26" s="220">
        <v>10.9</v>
      </c>
      <c r="O26" s="39">
        <f>ROUND(IF(Dados!$J$55="SIM",N26*Dados!$N$55,N26),2)</f>
        <v>10.9</v>
      </c>
      <c r="P26" s="39">
        <f>ROUND(IF(Dados!$J$56="SIM",O26*Dados!$N$56,O26),2)</f>
        <v>10.9</v>
      </c>
      <c r="Q26" s="39">
        <f>ROUND(IF(Dados!$J$57="SIM",P26*Dados!$N$57,P26),2)</f>
        <v>10.9</v>
      </c>
      <c r="R26" s="39">
        <f>ROUND(IF(Dados!$J$58="SIM",Q26*Dados!$N$58,Q26),2)</f>
        <v>10.9</v>
      </c>
      <c r="S26" s="82">
        <f>ROUND(IF(Dados!$J$59="SIM",R26*Dados!$N$59,R26),2)</f>
        <v>10.9</v>
      </c>
    </row>
    <row r="27" spans="1:19" s="69" customFormat="1" ht="41.4">
      <c r="A27" s="216">
        <v>19</v>
      </c>
      <c r="B27" s="221" t="s">
        <v>416</v>
      </c>
      <c r="C27" s="76" t="str">
        <f>$C$10</f>
        <v>Unid.</v>
      </c>
      <c r="D27" s="76" t="s">
        <v>417</v>
      </c>
      <c r="E27" s="90">
        <v>2</v>
      </c>
      <c r="F27" s="76" t="s">
        <v>386</v>
      </c>
      <c r="G27" s="217">
        <v>14.95</v>
      </c>
      <c r="H27" s="218" t="str">
        <f>IF(G27&lt;=(100%-Estimativa_ADM!$C$15)*Estimativa_ADM!C39,Estimativa_ADM!$C$16,"")</f>
        <v/>
      </c>
      <c r="I27" s="68"/>
      <c r="J27" s="76">
        <f>'Ocorrências Mensais - FAT'!G43</f>
        <v>0.33333333333333331</v>
      </c>
      <c r="K27" s="219">
        <f t="shared" si="0"/>
        <v>4.9833333333333325</v>
      </c>
      <c r="L27" s="39">
        <f t="shared" si="1"/>
        <v>6</v>
      </c>
      <c r="N27" s="220">
        <v>3</v>
      </c>
      <c r="O27" s="39">
        <f>ROUND(IF(Dados!$J$55="SIM",N27*Dados!$N$55,N27),2)</f>
        <v>3</v>
      </c>
      <c r="P27" s="39">
        <f>ROUND(IF(Dados!$J$56="SIM",O27*Dados!$N$56,O27),2)</f>
        <v>3</v>
      </c>
      <c r="Q27" s="39">
        <f>ROUND(IF(Dados!$J$57="SIM",P27*Dados!$N$57,P27),2)</f>
        <v>3</v>
      </c>
      <c r="R27" s="39">
        <f>ROUND(IF(Dados!$J$58="SIM",Q27*Dados!$N$58,Q27),2)</f>
        <v>3</v>
      </c>
      <c r="S27" s="82">
        <f>ROUND(IF(Dados!$J$59="SIM",R27*Dados!$N$59,R27),2)</f>
        <v>3</v>
      </c>
    </row>
    <row r="28" spans="1:19" s="69" customFormat="1" ht="37.200000000000003" customHeight="1">
      <c r="A28" s="216">
        <v>20</v>
      </c>
      <c r="B28" s="223" t="s">
        <v>418</v>
      </c>
      <c r="C28" s="76" t="s">
        <v>398</v>
      </c>
      <c r="D28" s="76" t="s">
        <v>419</v>
      </c>
      <c r="E28" s="90">
        <v>1</v>
      </c>
      <c r="F28" s="76" t="s">
        <v>379</v>
      </c>
      <c r="G28" s="217">
        <v>10.25</v>
      </c>
      <c r="H28" s="218" t="str">
        <f>IF(G28&lt;=(100%-Estimativa_ADM!$C$15)*Estimativa_ADM!C40,Estimativa_ADM!$C$16,"")</f>
        <v/>
      </c>
      <c r="I28" s="68"/>
      <c r="J28" s="76">
        <f>'Ocorrências Mensais - FAT'!G44</f>
        <v>1</v>
      </c>
      <c r="K28" s="219">
        <f t="shared" si="0"/>
        <v>10.25</v>
      </c>
      <c r="L28" s="39">
        <f t="shared" si="1"/>
        <v>1</v>
      </c>
      <c r="N28" s="220">
        <v>1</v>
      </c>
      <c r="O28" s="39">
        <f>ROUND(IF(Dados!$J$55="SIM",N28*Dados!$N$55,N28),2)</f>
        <v>1</v>
      </c>
      <c r="P28" s="39">
        <f>ROUND(IF(Dados!$J$56="SIM",O28*Dados!$N$56,O28),2)</f>
        <v>1</v>
      </c>
      <c r="Q28" s="39">
        <f>ROUND(IF(Dados!$J$57="SIM",P28*Dados!$N$57,P28),2)</f>
        <v>1</v>
      </c>
      <c r="R28" s="39">
        <f>ROUND(IF(Dados!$J$58="SIM",Q28*Dados!$N$58,Q28),2)</f>
        <v>1</v>
      </c>
      <c r="S28" s="82">
        <f>ROUND(IF(Dados!$J$59="SIM",R28*Dados!$N$59,R28),2)</f>
        <v>1</v>
      </c>
    </row>
    <row r="29" spans="1:19" s="69" customFormat="1" ht="27.6">
      <c r="A29" s="216">
        <v>21</v>
      </c>
      <c r="B29" s="75" t="s">
        <v>420</v>
      </c>
      <c r="C29" s="76" t="s">
        <v>421</v>
      </c>
      <c r="D29" s="76" t="s">
        <v>422</v>
      </c>
      <c r="E29" s="90">
        <v>2</v>
      </c>
      <c r="F29" s="76" t="s">
        <v>379</v>
      </c>
      <c r="G29" s="217">
        <v>16.27</v>
      </c>
      <c r="H29" s="218" t="str">
        <f>IF(G29&lt;=(100%-Estimativa_ADM!$C$15)*Estimativa_ADM!C41,Estimativa_ADM!$C$16,"")</f>
        <v/>
      </c>
      <c r="I29" s="68"/>
      <c r="J29" s="76">
        <f>'Ocorrências Mensais - FAT'!G45</f>
        <v>2</v>
      </c>
      <c r="K29" s="219">
        <f t="shared" si="0"/>
        <v>32.54</v>
      </c>
      <c r="L29" s="39">
        <f t="shared" si="1"/>
        <v>1</v>
      </c>
      <c r="N29" s="220">
        <v>2</v>
      </c>
      <c r="O29" s="39">
        <f>ROUND(IF(Dados!$J$55="SIM",N29*Dados!$N$55,N29),2)</f>
        <v>2</v>
      </c>
      <c r="P29" s="39">
        <f>ROUND(IF(Dados!$J$56="SIM",O29*Dados!$N$56,O29),2)</f>
        <v>2</v>
      </c>
      <c r="Q29" s="39">
        <f>ROUND(IF(Dados!$J$57="SIM",P29*Dados!$N$57,P29),2)</f>
        <v>2</v>
      </c>
      <c r="R29" s="39">
        <f>ROUND(IF(Dados!$J$58="SIM",Q29*Dados!$N$58,Q29),2)</f>
        <v>2</v>
      </c>
      <c r="S29" s="82">
        <f>ROUND(IF(Dados!$J$59="SIM",R29*Dados!$N$59,R29),2)</f>
        <v>2</v>
      </c>
    </row>
    <row r="30" spans="1:19" s="69" customFormat="1" ht="27.6">
      <c r="A30" s="216">
        <v>22</v>
      </c>
      <c r="B30" s="75" t="s">
        <v>423</v>
      </c>
      <c r="C30" s="76" t="s">
        <v>377</v>
      </c>
      <c r="D30" s="222" t="s">
        <v>424</v>
      </c>
      <c r="E30" s="90">
        <v>2</v>
      </c>
      <c r="F30" s="76" t="s">
        <v>379</v>
      </c>
      <c r="G30" s="217">
        <v>20.52</v>
      </c>
      <c r="H30" s="218" t="str">
        <f>IF(G30&lt;=(100%-Estimativa_ADM!$C$15)*Estimativa_ADM!C42,Estimativa_ADM!$C$16,"")</f>
        <v/>
      </c>
      <c r="I30" s="68"/>
      <c r="J30" s="76">
        <f>'Ocorrências Mensais - FAT'!G46</f>
        <v>2</v>
      </c>
      <c r="K30" s="219">
        <f t="shared" si="0"/>
        <v>41.04</v>
      </c>
      <c r="L30" s="39">
        <f t="shared" si="1"/>
        <v>1</v>
      </c>
      <c r="N30" s="220">
        <v>20</v>
      </c>
      <c r="O30" s="39">
        <f>ROUND(IF(Dados!$J$55="SIM",N30*Dados!$N$55,N30),2)</f>
        <v>20</v>
      </c>
      <c r="P30" s="39">
        <f>ROUND(IF(Dados!$J$56="SIM",O30*Dados!$N$56,O30),2)</f>
        <v>20</v>
      </c>
      <c r="Q30" s="39">
        <f>ROUND(IF(Dados!$J$57="SIM",P30*Dados!$N$57,P30),2)</f>
        <v>20</v>
      </c>
      <c r="R30" s="39">
        <f>ROUND(IF(Dados!$J$58="SIM",Q30*Dados!$N$58,Q30),2)</f>
        <v>20</v>
      </c>
      <c r="S30" s="82">
        <f>ROUND(IF(Dados!$J$59="SIM",R30*Dados!$N$59,R30),2)</f>
        <v>20</v>
      </c>
    </row>
    <row r="31" spans="1:19" s="69" customFormat="1" ht="27.6">
      <c r="A31" s="216">
        <v>23</v>
      </c>
      <c r="B31" s="75" t="s">
        <v>425</v>
      </c>
      <c r="C31" s="76" t="s">
        <v>63</v>
      </c>
      <c r="D31" s="222" t="s">
        <v>426</v>
      </c>
      <c r="E31" s="90">
        <v>4</v>
      </c>
      <c r="F31" s="76" t="s">
        <v>379</v>
      </c>
      <c r="G31" s="217">
        <v>10.85</v>
      </c>
      <c r="H31" s="218" t="str">
        <f>IF(G31&lt;=(100%-Estimativa_ADM!$C$15)*Estimativa_ADM!C43,Estimativa_ADM!$C$16,"")</f>
        <v/>
      </c>
      <c r="I31" s="68"/>
      <c r="J31" s="76">
        <f>'Ocorrências Mensais - FAT'!G47</f>
        <v>4</v>
      </c>
      <c r="K31" s="219">
        <f t="shared" si="0"/>
        <v>43.4</v>
      </c>
      <c r="L31" s="39">
        <f t="shared" si="1"/>
        <v>1</v>
      </c>
      <c r="N31" s="220">
        <v>6.3</v>
      </c>
      <c r="O31" s="39">
        <f>ROUND(IF(Dados!$J$55="SIM",N31*Dados!$N$55,N31),2)</f>
        <v>6.3</v>
      </c>
      <c r="P31" s="39">
        <f>ROUND(IF(Dados!$J$56="SIM",O31*Dados!$N$56,O31),2)</f>
        <v>6.3</v>
      </c>
      <c r="Q31" s="39">
        <f>ROUND(IF(Dados!$J$57="SIM",P31*Dados!$N$57,P31),2)</f>
        <v>6.3</v>
      </c>
      <c r="R31" s="39">
        <f>ROUND(IF(Dados!$J$58="SIM",Q31*Dados!$N$58,Q31),2)</f>
        <v>6.3</v>
      </c>
      <c r="S31" s="82">
        <f>ROUND(IF(Dados!$J$59="SIM",R31*Dados!$N$59,R31),2)</f>
        <v>6.3</v>
      </c>
    </row>
    <row r="32" spans="1:19" s="69" customFormat="1" ht="41.4">
      <c r="A32" s="216">
        <v>24</v>
      </c>
      <c r="B32" s="221" t="s">
        <v>427</v>
      </c>
      <c r="C32" s="76" t="s">
        <v>398</v>
      </c>
      <c r="D32" s="76" t="s">
        <v>428</v>
      </c>
      <c r="E32" s="90">
        <v>4</v>
      </c>
      <c r="F32" s="76" t="s">
        <v>379</v>
      </c>
      <c r="G32" s="217">
        <v>59.17</v>
      </c>
      <c r="H32" s="218" t="str">
        <f>IF(G32&lt;=(100%-Estimativa_ADM!$C$15)*Estimativa_ADM!C44,Estimativa_ADM!$C$16,"")</f>
        <v/>
      </c>
      <c r="I32" s="68"/>
      <c r="J32" s="76">
        <f>'Ocorrências Mensais - FAT'!G48</f>
        <v>4</v>
      </c>
      <c r="K32" s="219">
        <f t="shared" si="0"/>
        <v>236.68</v>
      </c>
      <c r="L32" s="39">
        <f t="shared" si="1"/>
        <v>1</v>
      </c>
      <c r="N32" s="220">
        <v>8.99</v>
      </c>
      <c r="O32" s="39">
        <f>ROUND(IF(Dados!$J$55="SIM",N32*Dados!$N$55,N32),2)</f>
        <v>8.99</v>
      </c>
      <c r="P32" s="39">
        <f>ROUND(IF(Dados!$J$56="SIM",O32*Dados!$N$56,O32),2)</f>
        <v>8.99</v>
      </c>
      <c r="Q32" s="39">
        <f>ROUND(IF(Dados!$J$57="SIM",P32*Dados!$N$57,P32),2)</f>
        <v>8.99</v>
      </c>
      <c r="R32" s="39">
        <f>ROUND(IF(Dados!$J$58="SIM",Q32*Dados!$N$58,Q32),2)</f>
        <v>8.99</v>
      </c>
      <c r="S32" s="82">
        <f>ROUND(IF(Dados!$J$59="SIM",R32*Dados!$N$59,R32),2)</f>
        <v>8.99</v>
      </c>
    </row>
    <row r="33" spans="1:19" s="69" customFormat="1" ht="61.5" customHeight="1">
      <c r="A33" s="216">
        <v>25</v>
      </c>
      <c r="B33" s="221" t="s">
        <v>429</v>
      </c>
      <c r="C33" s="76" t="s">
        <v>398</v>
      </c>
      <c r="D33" s="76" t="s">
        <v>430</v>
      </c>
      <c r="E33" s="90">
        <v>4</v>
      </c>
      <c r="F33" s="76" t="s">
        <v>379</v>
      </c>
      <c r="G33" s="217">
        <v>16.100000000000001</v>
      </c>
      <c r="H33" s="218" t="str">
        <f>IF(G33&lt;=(100%-Estimativa_ADM!$C$15)*Estimativa_ADM!C45,Estimativa_ADM!$C$16,"")</f>
        <v/>
      </c>
      <c r="I33" s="68"/>
      <c r="J33" s="76">
        <f>'Ocorrências Mensais - FAT'!G49</f>
        <v>4</v>
      </c>
      <c r="K33" s="219">
        <f t="shared" si="0"/>
        <v>64.400000000000006</v>
      </c>
      <c r="L33" s="39">
        <f t="shared" si="1"/>
        <v>1</v>
      </c>
      <c r="N33" s="220">
        <v>6.55</v>
      </c>
      <c r="O33" s="39">
        <f>ROUND(IF(Dados!$J$55="SIM",N33*Dados!$N$55,N33),2)</f>
        <v>6.55</v>
      </c>
      <c r="P33" s="39">
        <f>ROUND(IF(Dados!$J$56="SIM",O33*Dados!$N$56,O33),2)</f>
        <v>6.55</v>
      </c>
      <c r="Q33" s="39">
        <f>ROUND(IF(Dados!$J$57="SIM",P33*Dados!$N$57,P33),2)</f>
        <v>6.55</v>
      </c>
      <c r="R33" s="39">
        <f>ROUND(IF(Dados!$J$58="SIM",Q33*Dados!$N$58,Q33),2)</f>
        <v>6.55</v>
      </c>
      <c r="S33" s="82">
        <f>ROUND(IF(Dados!$J$59="SIM",R33*Dados!$N$59,R33),2)</f>
        <v>6.55</v>
      </c>
    </row>
    <row r="34" spans="1:19" s="69" customFormat="1" ht="38.25" customHeight="1">
      <c r="A34" s="216">
        <v>26</v>
      </c>
      <c r="B34" s="221" t="s">
        <v>431</v>
      </c>
      <c r="C34" s="76" t="s">
        <v>63</v>
      </c>
      <c r="D34" s="76" t="s">
        <v>432</v>
      </c>
      <c r="E34" s="90">
        <v>2</v>
      </c>
      <c r="F34" s="76" t="s">
        <v>386</v>
      </c>
      <c r="G34" s="217">
        <v>17.61</v>
      </c>
      <c r="H34" s="218" t="str">
        <f>IF(G34&lt;=(100%-Estimativa_ADM!$C$15)*Estimativa_ADM!C46,Estimativa_ADM!$C$16,"")</f>
        <v/>
      </c>
      <c r="I34" s="68"/>
      <c r="J34" s="76">
        <f>'Ocorrências Mensais - FAT'!G50</f>
        <v>0.33333333333333331</v>
      </c>
      <c r="K34" s="219">
        <f t="shared" si="0"/>
        <v>5.8699999999999992</v>
      </c>
      <c r="L34" s="39">
        <f t="shared" si="1"/>
        <v>6</v>
      </c>
      <c r="N34" s="220">
        <v>2.8</v>
      </c>
      <c r="O34" s="39">
        <f>ROUND(IF(Dados!$J$55="SIM",N34*Dados!$N$55,N34),2)</f>
        <v>2.8</v>
      </c>
      <c r="P34" s="39">
        <f>ROUND(IF(Dados!$J$56="SIM",O34*Dados!$N$56,O34),2)</f>
        <v>2.8</v>
      </c>
      <c r="Q34" s="39">
        <f>ROUND(IF(Dados!$J$57="SIM",P34*Dados!$N$57,P34),2)</f>
        <v>2.8</v>
      </c>
      <c r="R34" s="39">
        <f>ROUND(IF(Dados!$J$58="SIM",Q34*Dados!$N$58,Q34),2)</f>
        <v>2.8</v>
      </c>
      <c r="S34" s="82">
        <f>ROUND(IF(Dados!$J$59="SIM",R34*Dados!$N$59,R34),2)</f>
        <v>2.8</v>
      </c>
    </row>
    <row r="35" spans="1:19" ht="15.6">
      <c r="A35" s="606"/>
      <c r="B35" s="606"/>
      <c r="C35" s="606"/>
      <c r="D35" s="606"/>
      <c r="E35" s="606"/>
      <c r="F35" s="606"/>
      <c r="G35" s="606"/>
      <c r="H35" s="226"/>
      <c r="I35" s="58"/>
      <c r="J35" s="227" t="s">
        <v>190</v>
      </c>
      <c r="K35" s="228">
        <f>SUM(K9:K34)</f>
        <v>2272.7766666666666</v>
      </c>
      <c r="N35" s="229"/>
      <c r="O35" s="64"/>
      <c r="P35" s="64"/>
      <c r="Q35" s="64"/>
      <c r="R35" s="64"/>
      <c r="S35" s="64"/>
    </row>
    <row r="36" spans="1:19">
      <c r="A36" s="230"/>
      <c r="H36" s="231"/>
      <c r="N36" s="229"/>
      <c r="O36" s="64"/>
      <c r="P36" s="64"/>
      <c r="Q36" s="64"/>
      <c r="R36" s="64"/>
      <c r="S36" s="64"/>
    </row>
    <row r="37" spans="1:19" ht="18.75" customHeight="1">
      <c r="A37" s="607" t="s">
        <v>433</v>
      </c>
      <c r="B37" s="607"/>
      <c r="C37" s="607"/>
      <c r="D37" s="607"/>
      <c r="E37" s="607"/>
      <c r="F37" s="607"/>
      <c r="G37" s="607"/>
      <c r="H37" s="607"/>
      <c r="I37" s="69"/>
      <c r="J37" s="69"/>
      <c r="L37" s="69"/>
      <c r="N37" s="544" t="s">
        <v>368</v>
      </c>
      <c r="O37" s="544"/>
      <c r="P37" s="544"/>
      <c r="Q37" s="544"/>
      <c r="R37" s="544"/>
      <c r="S37" s="544"/>
    </row>
    <row r="38" spans="1:19" ht="15" customHeight="1">
      <c r="A38" s="232"/>
      <c r="B38" s="102"/>
      <c r="C38" s="102"/>
      <c r="D38" s="102"/>
      <c r="E38" s="102"/>
      <c r="F38" s="102"/>
      <c r="G38" s="102"/>
      <c r="H38" s="233"/>
      <c r="I38" s="69"/>
      <c r="J38" s="69"/>
      <c r="L38" s="69"/>
      <c r="N38" s="544"/>
      <c r="O38" s="544"/>
      <c r="P38" s="544"/>
      <c r="Q38" s="544"/>
      <c r="R38" s="544"/>
      <c r="S38" s="544"/>
    </row>
    <row r="39" spans="1:19" ht="15" customHeight="1">
      <c r="A39" s="608" t="s">
        <v>57</v>
      </c>
      <c r="B39" s="609" t="s">
        <v>369</v>
      </c>
      <c r="C39" s="609"/>
      <c r="D39" s="609"/>
      <c r="E39" s="210"/>
      <c r="F39" s="210"/>
      <c r="G39" s="210"/>
      <c r="H39" s="610" t="s">
        <v>370</v>
      </c>
      <c r="I39" s="69"/>
      <c r="J39" s="611" t="s">
        <v>371</v>
      </c>
      <c r="K39" s="611"/>
      <c r="L39" s="611"/>
      <c r="N39" s="544"/>
      <c r="O39" s="544"/>
      <c r="P39" s="544"/>
      <c r="Q39" s="544"/>
      <c r="R39" s="544"/>
      <c r="S39" s="544"/>
    </row>
    <row r="40" spans="1:19" ht="41.4">
      <c r="A40" s="608"/>
      <c r="B40" s="210" t="s">
        <v>62</v>
      </c>
      <c r="C40" s="212" t="s">
        <v>63</v>
      </c>
      <c r="D40" s="212" t="s">
        <v>434</v>
      </c>
      <c r="E40" s="213" t="s">
        <v>372</v>
      </c>
      <c r="F40" s="214" t="s">
        <v>69</v>
      </c>
      <c r="G40" s="212" t="s">
        <v>373</v>
      </c>
      <c r="H40" s="610"/>
      <c r="I40" s="69"/>
      <c r="J40" s="234" t="s">
        <v>67</v>
      </c>
      <c r="K40" s="234" t="s">
        <v>66</v>
      </c>
      <c r="L40" s="213" t="s">
        <v>374</v>
      </c>
      <c r="N40" s="215" t="s">
        <v>375</v>
      </c>
      <c r="O40" s="21" t="s">
        <v>275</v>
      </c>
      <c r="P40" s="21" t="s">
        <v>276</v>
      </c>
      <c r="Q40" s="21" t="s">
        <v>277</v>
      </c>
      <c r="R40" s="21" t="s">
        <v>278</v>
      </c>
      <c r="S40" s="23" t="s">
        <v>279</v>
      </c>
    </row>
    <row r="41" spans="1:19" ht="69">
      <c r="A41" s="90">
        <v>1</v>
      </c>
      <c r="B41" s="75" t="s">
        <v>435</v>
      </c>
      <c r="C41" s="76" t="s">
        <v>436</v>
      </c>
      <c r="D41" s="76" t="s">
        <v>437</v>
      </c>
      <c r="E41" s="90">
        <v>25</v>
      </c>
      <c r="F41" s="76" t="s">
        <v>379</v>
      </c>
      <c r="G41" s="217">
        <v>5.23</v>
      </c>
      <c r="H41" s="235" t="str">
        <f>IF(G41&lt;=(100%-Estimativa_ADM!$C$15)*Estimativa_ADM!C53,Estimativa_ADM!$C$16,"")</f>
        <v/>
      </c>
      <c r="I41" s="69"/>
      <c r="J41" s="76">
        <f>'Ocorrências Mensais - FAT'!G59</f>
        <v>25</v>
      </c>
      <c r="K41" s="219">
        <f>G41*J41</f>
        <v>130.75</v>
      </c>
      <c r="L41" s="39">
        <f>IF(F41="MENSAL",1,IF(F41="BIMESTRAL",2,IF(F41="TRIMESTRAL",3,IF(F41="QUADRIMESTRAL",4,IF(F41="SEMESTRAL",6,IF(F41="ANUAL",12,IF(F41="BIENAL",24,"")))))))</f>
        <v>1</v>
      </c>
      <c r="N41" s="236">
        <v>1.2</v>
      </c>
      <c r="O41" s="39">
        <f>ROUND(IF(Dados!$J$55="SIM",N41*Dados!$N$55,N41),2)</f>
        <v>1.2</v>
      </c>
      <c r="P41" s="39">
        <f>ROUND(IF(Dados!$J$56="SIM",O41*Dados!$N$56,O41),2)</f>
        <v>1.2</v>
      </c>
      <c r="Q41" s="39">
        <f>ROUND(IF(Dados!$J$57="SIM",P41*Dados!$N$57,P41),2)</f>
        <v>1.2</v>
      </c>
      <c r="R41" s="39">
        <f>ROUND(IF(Dados!$J$58="SIM",Q41*Dados!$N$58,Q41),2)</f>
        <v>1.2</v>
      </c>
      <c r="S41" s="82">
        <f>ROUND(IF(Dados!$J$59="SIM",R41*Dados!$N$59,R41),2)</f>
        <v>1.2</v>
      </c>
    </row>
    <row r="42" spans="1:19" ht="69">
      <c r="A42" s="90">
        <v>2</v>
      </c>
      <c r="B42" s="237" t="s">
        <v>438</v>
      </c>
      <c r="C42" s="76" t="s">
        <v>439</v>
      </c>
      <c r="D42" s="76" t="s">
        <v>405</v>
      </c>
      <c r="E42" s="90">
        <v>10</v>
      </c>
      <c r="F42" s="76" t="s">
        <v>379</v>
      </c>
      <c r="G42" s="217">
        <v>6.3</v>
      </c>
      <c r="H42" s="235" t="str">
        <f>IF(G42&lt;=(100%-Estimativa_ADM!$C$15)*Estimativa_ADM!C54,Estimativa_ADM!$C$16,"")</f>
        <v/>
      </c>
      <c r="I42" s="69"/>
      <c r="J42" s="76">
        <f>'Ocorrências Mensais - FAT'!G60</f>
        <v>10</v>
      </c>
      <c r="K42" s="219">
        <f>G42*J42</f>
        <v>63</v>
      </c>
      <c r="L42" s="39">
        <f>IF(F42="MENSAL",1,IF(F42="BIMESTRAL",2,IF(F42="TRIMESTRAL",3,IF(F42="QUADRIMESTRAL",4,IF(F42="SEMESTRAL",6,IF(F42="ANUAL",12,IF(F42="BIENAL",24,"")))))))</f>
        <v>1</v>
      </c>
      <c r="N42" s="236">
        <v>1.4</v>
      </c>
      <c r="O42" s="39">
        <f>ROUND(IF(Dados!$J$55="SIM",N42*Dados!$N$55,N42),2)</f>
        <v>1.4</v>
      </c>
      <c r="P42" s="39">
        <f>ROUND(IF(Dados!$J$56="SIM",O42*Dados!$N$56,O42),2)</f>
        <v>1.4</v>
      </c>
      <c r="Q42" s="39">
        <f>ROUND(IF(Dados!$J$57="SIM",P42*Dados!$N$57,P42),2)</f>
        <v>1.4</v>
      </c>
      <c r="R42" s="39">
        <f>ROUND(IF(Dados!$J$58="SIM",Q42*Dados!$N$58,Q42),2)</f>
        <v>1.4</v>
      </c>
      <c r="S42" s="82">
        <f>ROUND(IF(Dados!$J$59="SIM",R42*Dados!$N$59,R42),2)</f>
        <v>1.4</v>
      </c>
    </row>
    <row r="43" spans="1:19" ht="26.25" customHeight="1">
      <c r="A43" s="39">
        <v>3</v>
      </c>
      <c r="B43" s="237" t="s">
        <v>440</v>
      </c>
      <c r="C43" s="76" t="s">
        <v>439</v>
      </c>
      <c r="D43" s="238" t="s">
        <v>441</v>
      </c>
      <c r="E43" s="90">
        <v>2</v>
      </c>
      <c r="F43" s="76" t="s">
        <v>379</v>
      </c>
      <c r="G43" s="217">
        <v>6.89</v>
      </c>
      <c r="H43" s="235" t="str">
        <f>IF(G43&lt;=(100%-Estimativa_ADM!$C$15)*Estimativa_ADM!C55,Estimativa_ADM!$C$16,"")</f>
        <v/>
      </c>
      <c r="I43" s="69"/>
      <c r="J43" s="76">
        <f>'Ocorrências Mensais - FAT'!G61</f>
        <v>2</v>
      </c>
      <c r="K43" s="219">
        <f>G43*J43</f>
        <v>13.78</v>
      </c>
      <c r="L43" s="39">
        <f>IF(F43="MENSAL",1,IF(F43="BIMESTRAL",2,IF(F43="TRIMESTRAL",3,IF(F43="QUADRIMESTRAL",4,IF(F43="SEMESTRAL",6,IF(F43="ANUAL",12,IF(F43="BIENAL",24,"")))))))</f>
        <v>1</v>
      </c>
      <c r="N43" s="236">
        <v>1.2</v>
      </c>
      <c r="O43" s="39">
        <f>ROUND(IF(Dados!$J$55="SIM",N43*Dados!$N$55,N43),2)</f>
        <v>1.2</v>
      </c>
      <c r="P43" s="39">
        <f>ROUND(IF(Dados!$J$56="SIM",O43*Dados!$N$56,O43),2)</f>
        <v>1.2</v>
      </c>
      <c r="Q43" s="39">
        <f>ROUND(IF(Dados!$J$57="SIM",P43*Dados!$N$57,P43),2)</f>
        <v>1.2</v>
      </c>
      <c r="R43" s="39">
        <f>ROUND(IF(Dados!$J$58="SIM",Q43*Dados!$N$58,Q43),2)</f>
        <v>1.2</v>
      </c>
      <c r="S43" s="82">
        <f>ROUND(IF(Dados!$J$59="SIM",R43*Dados!$N$59,R43),2)</f>
        <v>1.2</v>
      </c>
    </row>
    <row r="44" spans="1:19" ht="15.6">
      <c r="A44" s="606"/>
      <c r="B44" s="606"/>
      <c r="C44" s="606"/>
      <c r="D44" s="606"/>
      <c r="E44" s="606"/>
      <c r="F44" s="606"/>
      <c r="G44" s="606"/>
      <c r="H44" s="239"/>
      <c r="I44" s="69"/>
      <c r="J44" s="240" t="s">
        <v>190</v>
      </c>
      <c r="K44" s="241">
        <f>SUM(K41:K43)</f>
        <v>207.53</v>
      </c>
      <c r="L44" s="69"/>
      <c r="N44" s="3"/>
      <c r="O44" s="3"/>
      <c r="P44" s="3"/>
      <c r="Q44" s="3"/>
      <c r="R44" s="3"/>
      <c r="S44" s="3"/>
    </row>
    <row r="45" spans="1:19">
      <c r="A45" s="230"/>
      <c r="N45" s="3"/>
      <c r="O45" s="3"/>
      <c r="P45" s="3"/>
      <c r="Q45" s="3"/>
      <c r="R45" s="3"/>
      <c r="S45" s="3"/>
    </row>
  </sheetData>
  <sheetProtection algorithmName="SHA-512" hashValue="9ddspIr8TPpbPpkbhmem1p1KAaiiQJUymPkiqftqessNv2qD8YHOLoKQ9L1Bu+/Z9SehfnA7msWOs9r8EUAVCQ==" saltValue="C6I+fIfakMfW8FdQSGKg9Q==" spinCount="100000" sheet="1" objects="1" scenarios="1"/>
  <mergeCells count="15">
    <mergeCell ref="A4:H4"/>
    <mergeCell ref="A5:H5"/>
    <mergeCell ref="N5:S7"/>
    <mergeCell ref="A6:A8"/>
    <mergeCell ref="B6:D7"/>
    <mergeCell ref="H6:H8"/>
    <mergeCell ref="J7:L7"/>
    <mergeCell ref="A44:G44"/>
    <mergeCell ref="A35:G35"/>
    <mergeCell ref="A37:H37"/>
    <mergeCell ref="N37:S39"/>
    <mergeCell ref="A39:A40"/>
    <mergeCell ref="B39:D39"/>
    <mergeCell ref="H39:H40"/>
    <mergeCell ref="J39:L39"/>
  </mergeCells>
  <dataValidations count="1">
    <dataValidation type="list" allowBlank="1" showInputMessage="1" showErrorMessage="1" sqref="F9:F34 F41:F43">
      <formula1>"Mensal,Bimestral,Trimestral,Quadrimestral,Semestral,Anual,Bienal"</formula1>
      <formula2>0</formula2>
    </dataValidation>
  </dataValidation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 operator="lessThan" id="{0FFD6058-EF2A-43BC-BE9B-B8A7147D90C3}">
            <xm:f>(100%-Estimativa_ADM!$C$15)*Estimativa_ADM!C21</xm:f>
            <x14:dxf>
              <fill>
                <patternFill>
                  <bgColor theme="5" tint="0.79998168889431442"/>
                </patternFill>
              </fill>
            </x14:dxf>
          </x14:cfRule>
          <xm:sqref>G9:G34 G41:G43</xm:sqref>
        </x14:conditionalFormatting>
      </x14:conditionalFormattings>
    </ext>
  </extLst>
</worksheet>
</file>

<file path=xl/worksheets/sheet6.xml><?xml version="1.0" encoding="utf-8"?>
<worksheet xmlns="http://schemas.openxmlformats.org/spreadsheetml/2006/main" xmlns:r="http://schemas.openxmlformats.org/officeDocument/2006/relationships">
  <sheetPr>
    <tabColor theme="7" tint="0.79998168889431442"/>
    <pageSetUpPr fitToPage="1"/>
  </sheetPr>
  <dimension ref="A1:G10"/>
  <sheetViews>
    <sheetView showGridLines="0" zoomScale="95" zoomScaleNormal="95" workbookViewId="0">
      <selection activeCell="D9" sqref="D9"/>
    </sheetView>
  </sheetViews>
  <sheetFormatPr defaultRowHeight="14.4"/>
  <cols>
    <col min="1" max="1" width="5.5546875" style="69" customWidth="1"/>
    <col min="2" max="2" width="64.6640625" style="69" customWidth="1"/>
    <col min="3" max="3" width="7.88671875" style="69" customWidth="1"/>
    <col min="4" max="6" width="13.6640625" style="69" customWidth="1"/>
    <col min="7" max="7" width="24.88671875" customWidth="1"/>
    <col min="8" max="255" width="9" customWidth="1"/>
    <col min="256" max="256" width="5.5546875" customWidth="1"/>
    <col min="257" max="257" width="45.109375" customWidth="1"/>
    <col min="258" max="258" width="6.33203125" customWidth="1"/>
    <col min="259" max="262" width="13.6640625" customWidth="1"/>
    <col min="263" max="511" width="9" customWidth="1"/>
    <col min="512" max="512" width="5.5546875" customWidth="1"/>
    <col min="513" max="513" width="45.109375" customWidth="1"/>
    <col min="514" max="514" width="6.33203125" customWidth="1"/>
    <col min="515" max="518" width="13.6640625" customWidth="1"/>
    <col min="519" max="767" width="9" customWidth="1"/>
    <col min="768" max="768" width="5.5546875" customWidth="1"/>
    <col min="769" max="769" width="45.109375" customWidth="1"/>
    <col min="770" max="770" width="6.33203125" customWidth="1"/>
    <col min="771" max="774" width="13.6640625" customWidth="1"/>
    <col min="775" max="1025" width="9" customWidth="1"/>
  </cols>
  <sheetData>
    <row r="1" spans="1:7" s="69" customFormat="1" ht="11.25" customHeight="1">
      <c r="A1" s="160"/>
      <c r="B1" s="98" t="str">
        <f>INSTRUÇÕES!B1</f>
        <v>Tribunal Regional Federal da 6ª Região</v>
      </c>
      <c r="C1" s="242"/>
      <c r="D1" s="243"/>
      <c r="E1" s="243"/>
      <c r="F1" s="244"/>
    </row>
    <row r="2" spans="1:7" s="69" customFormat="1" ht="11.25" customHeight="1">
      <c r="A2" s="162"/>
      <c r="B2" s="100" t="str">
        <f>INSTRUÇÕES!B2</f>
        <v>Seção Judiciária de Minas Gerais</v>
      </c>
      <c r="C2" s="245"/>
      <c r="D2" s="246"/>
      <c r="E2" s="246"/>
      <c r="F2" s="247"/>
    </row>
    <row r="3" spans="1:7" s="69" customFormat="1" ht="10.5" customHeight="1">
      <c r="A3" s="164"/>
      <c r="B3" s="100" t="str">
        <f>INSTRUÇÕES!B3</f>
        <v>Subseção Judiciária de Divinópolis</v>
      </c>
      <c r="C3" s="245"/>
      <c r="D3" s="246"/>
      <c r="E3" s="246"/>
      <c r="F3" s="247"/>
    </row>
    <row r="4" spans="1:7" s="69" customFormat="1" ht="21.75" customHeight="1">
      <c r="A4" s="613" t="s">
        <v>442</v>
      </c>
      <c r="B4" s="613"/>
      <c r="C4" s="613"/>
      <c r="D4" s="613"/>
      <c r="E4" s="613"/>
      <c r="F4" s="613"/>
    </row>
    <row r="5" spans="1:7" s="69" customFormat="1" ht="26.25" customHeight="1">
      <c r="A5" s="614" t="s">
        <v>367</v>
      </c>
      <c r="B5" s="614"/>
      <c r="C5" s="614"/>
      <c r="D5" s="614"/>
      <c r="E5" s="614"/>
      <c r="F5" s="614"/>
    </row>
    <row r="6" spans="1:7" s="69" customFormat="1" ht="15.6">
      <c r="A6" s="248"/>
      <c r="B6" s="101"/>
      <c r="C6" s="101"/>
      <c r="D6" s="101" t="s">
        <v>443</v>
      </c>
      <c r="E6" s="101"/>
      <c r="F6" s="249"/>
    </row>
    <row r="7" spans="1:7" s="69" customFormat="1" ht="27.6">
      <c r="A7" s="250" t="s">
        <v>444</v>
      </c>
      <c r="B7" s="210" t="s">
        <v>445</v>
      </c>
      <c r="C7" s="210" t="s">
        <v>446</v>
      </c>
      <c r="D7" s="251" t="s">
        <v>447</v>
      </c>
      <c r="E7" s="251" t="s">
        <v>448</v>
      </c>
      <c r="F7" s="252" t="s">
        <v>449</v>
      </c>
      <c r="G7" s="252" t="s">
        <v>450</v>
      </c>
    </row>
    <row r="8" spans="1:7" s="69" customFormat="1" ht="13.8">
      <c r="A8" s="615" t="s">
        <v>451</v>
      </c>
      <c r="B8" s="615"/>
      <c r="C8" s="615"/>
      <c r="D8" s="615"/>
      <c r="E8" s="615"/>
      <c r="F8" s="615"/>
      <c r="G8" s="253"/>
    </row>
    <row r="9" spans="1:7" s="69" customFormat="1" ht="41.4">
      <c r="A9" s="254">
        <v>1</v>
      </c>
      <c r="B9" s="255" t="s">
        <v>452</v>
      </c>
      <c r="C9" s="256">
        <v>2</v>
      </c>
      <c r="D9" s="257">
        <v>50.05</v>
      </c>
      <c r="E9" s="258">
        <f>ROUND((D9*C9),2)</f>
        <v>100.1</v>
      </c>
      <c r="F9" s="259">
        <f>ROUND(E9/12,2)</f>
        <v>8.34</v>
      </c>
      <c r="G9" s="253" t="str">
        <f>IF(D9&lt;=(100%-Estimativa_ADM!$C$15)*Estimativa_ADM!C58,Estimativa_ADM!$C$16,"")</f>
        <v/>
      </c>
    </row>
    <row r="10" spans="1:7" s="69" customFormat="1" ht="15.75" customHeight="1">
      <c r="A10" s="616" t="s">
        <v>453</v>
      </c>
      <c r="B10" s="616"/>
      <c r="C10" s="616"/>
      <c r="D10" s="616"/>
      <c r="E10" s="616"/>
      <c r="F10" s="260">
        <f>F9</f>
        <v>8.34</v>
      </c>
    </row>
  </sheetData>
  <sheetProtection algorithmName="SHA-512" hashValue="FTkBhuVWTtc5CrD1mHnore8HOjLymBSCuc0R3i704PxGeqS5ZBupZwBYqC2hzHPtV7wG9AZlhgZS3r4oqNqLDw==" saltValue="BBJeqPDwfF4tRraxG9q7Pg==" spinCount="100000" sheet="1" objects="1" scenarios="1"/>
  <mergeCells count="4">
    <mergeCell ref="A4:F4"/>
    <mergeCell ref="A5:F5"/>
    <mergeCell ref="A8:F8"/>
    <mergeCell ref="A10:E10"/>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cellIs" priority="1" operator="lessThan" id="{AEDBA7B2-7D66-4988-B55A-DB26C089805B}">
            <xm:f>(100%-Estimativa_ADM!$C$15)*Estimativa_ADM!C58</xm:f>
            <x14:dxf>
              <fill>
                <patternFill>
                  <bgColor theme="5" tint="0.79998168889431442"/>
                </patternFill>
              </fill>
            </x14:dxf>
          </x14:cfRule>
          <xm:sqref>D9</xm:sqref>
        </x14:conditionalFormatting>
      </x14:conditionalFormattings>
    </ext>
  </extLst>
</worksheet>
</file>

<file path=xl/worksheets/sheet7.xml><?xml version="1.0" encoding="utf-8"?>
<worksheet xmlns="http://schemas.openxmlformats.org/spreadsheetml/2006/main" xmlns:r="http://schemas.openxmlformats.org/officeDocument/2006/relationships">
  <sheetPr>
    <pageSetUpPr fitToPage="1"/>
  </sheetPr>
  <dimension ref="A1:G11"/>
  <sheetViews>
    <sheetView showGridLines="0" zoomScale="95" zoomScaleNormal="95" workbookViewId="0">
      <selection activeCell="B15" sqref="B15"/>
    </sheetView>
  </sheetViews>
  <sheetFormatPr defaultRowHeight="14.4"/>
  <cols>
    <col min="1" max="1" width="5.5546875" style="69" customWidth="1"/>
    <col min="2" max="2" width="64.6640625" style="69" customWidth="1"/>
    <col min="3" max="3" width="7.88671875" style="69" customWidth="1"/>
    <col min="4" max="7" width="13.6640625" style="69" customWidth="1"/>
    <col min="8" max="256" width="9" customWidth="1"/>
    <col min="257" max="257" width="5.5546875" customWidth="1"/>
    <col min="258" max="258" width="45.109375" customWidth="1"/>
    <col min="259" max="259" width="6.33203125" customWidth="1"/>
    <col min="260" max="263" width="13.6640625" customWidth="1"/>
    <col min="264" max="512" width="9" customWidth="1"/>
    <col min="513" max="513" width="5.5546875" customWidth="1"/>
    <col min="514" max="514" width="45.109375" customWidth="1"/>
    <col min="515" max="515" width="6.33203125" customWidth="1"/>
    <col min="516" max="519" width="13.6640625" customWidth="1"/>
    <col min="520" max="768" width="9" customWidth="1"/>
    <col min="769" max="769" width="5.5546875" customWidth="1"/>
    <col min="770" max="770" width="45.109375" customWidth="1"/>
    <col min="771" max="771" width="6.33203125" customWidth="1"/>
    <col min="772" max="775" width="13.6640625" customWidth="1"/>
    <col min="776" max="1025" width="9" customWidth="1"/>
  </cols>
  <sheetData>
    <row r="1" spans="1:7" s="69" customFormat="1" ht="11.25" customHeight="1">
      <c r="A1" s="160"/>
      <c r="B1" s="98" t="str">
        <f>INSTRUÇÕES!B1</f>
        <v>Tribunal Regional Federal da 6ª Região</v>
      </c>
      <c r="C1" s="242"/>
      <c r="D1" s="243"/>
      <c r="E1" s="243"/>
      <c r="F1" s="243"/>
      <c r="G1" s="244"/>
    </row>
    <row r="2" spans="1:7" s="69" customFormat="1" ht="11.25" customHeight="1">
      <c r="A2" s="162"/>
      <c r="B2" s="100" t="str">
        <f>INSTRUÇÕES!B2</f>
        <v>Seção Judiciária de Minas Gerais</v>
      </c>
      <c r="C2" s="245"/>
      <c r="D2" s="246"/>
      <c r="E2" s="246"/>
      <c r="F2" s="246"/>
      <c r="G2" s="247"/>
    </row>
    <row r="3" spans="1:7" s="69" customFormat="1" ht="10.5" customHeight="1">
      <c r="A3" s="164"/>
      <c r="B3" s="100" t="str">
        <f>INSTRUÇÕES!B3</f>
        <v>Subseção Judiciária de Divinópolis</v>
      </c>
      <c r="C3" s="245"/>
      <c r="D3" s="246"/>
      <c r="E3" s="246"/>
      <c r="F3" s="246"/>
      <c r="G3" s="247"/>
    </row>
    <row r="4" spans="1:7" s="69" customFormat="1" ht="21.75" customHeight="1">
      <c r="A4" s="613" t="s">
        <v>454</v>
      </c>
      <c r="B4" s="613"/>
      <c r="C4" s="613"/>
      <c r="D4" s="613"/>
      <c r="E4" s="613"/>
      <c r="F4" s="613"/>
      <c r="G4" s="613"/>
    </row>
    <row r="5" spans="1:7" s="69" customFormat="1" ht="26.25" customHeight="1">
      <c r="A5" s="614" t="s">
        <v>367</v>
      </c>
      <c r="B5" s="614"/>
      <c r="C5" s="614"/>
      <c r="D5" s="614"/>
      <c r="E5" s="614"/>
      <c r="F5" s="614"/>
      <c r="G5" s="614"/>
    </row>
    <row r="6" spans="1:7" s="69" customFormat="1" ht="15.6">
      <c r="A6" s="248"/>
      <c r="B6" s="101"/>
      <c r="C6" s="101"/>
      <c r="D6" s="101" t="s">
        <v>443</v>
      </c>
      <c r="E6" s="101"/>
      <c r="G6" s="249">
        <v>0.1</v>
      </c>
    </row>
    <row r="7" spans="1:7" s="69" customFormat="1" ht="27.6">
      <c r="A7" s="250" t="s">
        <v>444</v>
      </c>
      <c r="B7" s="210" t="s">
        <v>445</v>
      </c>
      <c r="C7" s="210" t="s">
        <v>446</v>
      </c>
      <c r="D7" s="251" t="s">
        <v>447</v>
      </c>
      <c r="E7" s="251" t="s">
        <v>448</v>
      </c>
      <c r="F7" s="251" t="s">
        <v>455</v>
      </c>
      <c r="G7" s="252" t="s">
        <v>449</v>
      </c>
    </row>
    <row r="8" spans="1:7" s="69" customFormat="1" ht="13.8">
      <c r="A8" s="617" t="s">
        <v>456</v>
      </c>
      <c r="B8" s="617"/>
      <c r="C8" s="617"/>
      <c r="D8" s="617"/>
      <c r="E8" s="617"/>
      <c r="F8" s="617"/>
      <c r="G8" s="617"/>
    </row>
    <row r="9" spans="1:7" s="69" customFormat="1" ht="13.8">
      <c r="A9" s="254">
        <v>1</v>
      </c>
      <c r="B9" s="75"/>
      <c r="C9" s="256"/>
      <c r="D9" s="261"/>
      <c r="E9" s="258">
        <f>ROUND((D9*C9),2)</f>
        <v>0</v>
      </c>
      <c r="F9" s="258">
        <f>ROUND(E9*$G$6,2)</f>
        <v>0</v>
      </c>
      <c r="G9" s="262">
        <f>ROUND(F9/12,2)</f>
        <v>0</v>
      </c>
    </row>
    <row r="10" spans="1:7" s="69" customFormat="1" ht="13.8">
      <c r="A10" s="254">
        <v>2</v>
      </c>
      <c r="B10" s="75"/>
      <c r="C10" s="256"/>
      <c r="D10" s="261"/>
      <c r="E10" s="258">
        <f>ROUND((D10*C10),2)</f>
        <v>0</v>
      </c>
      <c r="F10" s="258">
        <f>ROUND(E10*$G$6,2)</f>
        <v>0</v>
      </c>
      <c r="G10" s="262">
        <f>ROUND(F10/12,2)</f>
        <v>0</v>
      </c>
    </row>
    <row r="11" spans="1:7" s="69" customFormat="1" ht="15.75" customHeight="1">
      <c r="A11" s="618" t="s">
        <v>457</v>
      </c>
      <c r="B11" s="618"/>
      <c r="C11" s="618"/>
      <c r="D11" s="618"/>
      <c r="E11" s="618"/>
      <c r="F11" s="618"/>
      <c r="G11" s="260">
        <f>SUM(G9:G10)</f>
        <v>0</v>
      </c>
    </row>
  </sheetData>
  <mergeCells count="4">
    <mergeCell ref="A4:G4"/>
    <mergeCell ref="A5:G5"/>
    <mergeCell ref="A8:G8"/>
    <mergeCell ref="A11:F11"/>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xl/worksheets/sheet8.xml><?xml version="1.0" encoding="utf-8"?>
<worksheet xmlns="http://schemas.openxmlformats.org/spreadsheetml/2006/main" xmlns:r="http://schemas.openxmlformats.org/officeDocument/2006/relationships">
  <sheetPr>
    <tabColor theme="7" tint="0.79998168889431442"/>
  </sheetPr>
  <dimension ref="A1:P29"/>
  <sheetViews>
    <sheetView showGridLines="0" zoomScale="95" zoomScaleNormal="95" workbookViewId="0">
      <selection activeCell="G26" sqref="G26"/>
    </sheetView>
  </sheetViews>
  <sheetFormatPr defaultRowHeight="14.4"/>
  <cols>
    <col min="1" max="1" width="13.33203125" style="3" customWidth="1"/>
    <col min="2" max="2" width="11.109375" style="2" customWidth="1"/>
    <col min="3" max="3" width="6.109375" style="263" customWidth="1"/>
    <col min="4" max="4" width="72.44140625" style="1" customWidth="1"/>
    <col min="5" max="5" width="9.33203125" style="1" customWidth="1"/>
    <col min="6" max="6" width="14.88671875" style="263" customWidth="1"/>
    <col min="7" max="7" width="12.44140625" style="264" customWidth="1"/>
    <col min="8" max="8" width="10.88671875" style="265" customWidth="1"/>
    <col min="9" max="9" width="31.6640625" customWidth="1"/>
    <col min="10" max="10" width="16.44140625" style="266" hidden="1" customWidth="1"/>
    <col min="11" max="15" width="11.33203125" style="266" hidden="1" customWidth="1"/>
    <col min="16" max="254" width="9" customWidth="1"/>
    <col min="255" max="255" width="13.33203125" customWidth="1"/>
    <col min="256" max="256" width="7.6640625" customWidth="1"/>
    <col min="257" max="257" width="6.109375" customWidth="1"/>
    <col min="258" max="258" width="56.109375" customWidth="1"/>
    <col min="259" max="259" width="9.33203125" customWidth="1"/>
    <col min="260" max="261" width="12.44140625" customWidth="1"/>
    <col min="262" max="262" width="10.88671875" customWidth="1"/>
    <col min="263" max="265" width="9" customWidth="1"/>
    <col min="266" max="266" width="11.44140625"/>
    <col min="267" max="271" width="11.33203125" customWidth="1"/>
    <col min="272" max="510" width="9" customWidth="1"/>
    <col min="511" max="511" width="13.33203125" customWidth="1"/>
    <col min="512" max="512" width="7.6640625" customWidth="1"/>
    <col min="513" max="513" width="6.109375" customWidth="1"/>
    <col min="514" max="514" width="56.109375" customWidth="1"/>
    <col min="515" max="515" width="9.33203125" customWidth="1"/>
    <col min="516" max="517" width="12.44140625" customWidth="1"/>
    <col min="518" max="518" width="10.88671875" customWidth="1"/>
    <col min="519" max="521" width="9" customWidth="1"/>
    <col min="522" max="522" width="11.44140625"/>
    <col min="523" max="527" width="11.33203125" customWidth="1"/>
    <col min="528" max="766" width="9" customWidth="1"/>
    <col min="767" max="767" width="13.33203125" customWidth="1"/>
    <col min="768" max="768" width="7.6640625" customWidth="1"/>
    <col min="769" max="769" width="6.109375" customWidth="1"/>
    <col min="770" max="770" width="56.109375" customWidth="1"/>
    <col min="771" max="771" width="9.33203125" customWidth="1"/>
    <col min="772" max="773" width="12.44140625" customWidth="1"/>
    <col min="774" max="774" width="10.88671875" customWidth="1"/>
    <col min="775" max="777" width="9" customWidth="1"/>
    <col min="778" max="778" width="11.44140625"/>
    <col min="779" max="783" width="11.33203125" customWidth="1"/>
    <col min="784" max="1022" width="9" customWidth="1"/>
    <col min="1023" max="1023" width="13.33203125" customWidth="1"/>
    <col min="1024" max="1025" width="7.6640625" customWidth="1"/>
  </cols>
  <sheetData>
    <row r="1" spans="1:16" s="1" customFormat="1" ht="12.75" customHeight="1">
      <c r="A1" s="267"/>
      <c r="B1" s="268" t="str">
        <f>INSTRUÇÕES!B1</f>
        <v>Tribunal Regional Federal da 6ª Região</v>
      </c>
      <c r="C1" s="269"/>
      <c r="D1" s="270"/>
      <c r="E1" s="271"/>
      <c r="F1" s="272"/>
      <c r="G1" s="273"/>
      <c r="H1" s="274"/>
      <c r="I1" s="275"/>
      <c r="J1" s="625" t="s">
        <v>368</v>
      </c>
      <c r="K1" s="625"/>
      <c r="L1" s="625"/>
      <c r="M1" s="625"/>
      <c r="N1" s="625"/>
      <c r="O1" s="625"/>
      <c r="P1" s="276"/>
    </row>
    <row r="2" spans="1:16" s="1" customFormat="1" ht="12.75" customHeight="1">
      <c r="A2" s="277"/>
      <c r="B2" s="278" t="str">
        <f>INSTRUÇÕES!B2</f>
        <v>Seção Judiciária de Minas Gerais</v>
      </c>
      <c r="C2" s="279"/>
      <c r="D2" s="280"/>
      <c r="F2" s="263"/>
      <c r="G2" s="264"/>
      <c r="H2" s="265"/>
      <c r="J2" s="625"/>
      <c r="K2" s="625"/>
      <c r="L2" s="625"/>
      <c r="M2" s="625"/>
      <c r="N2" s="625"/>
      <c r="O2" s="625"/>
      <c r="P2" s="276"/>
    </row>
    <row r="3" spans="1:16" s="117" customFormat="1">
      <c r="A3" s="277"/>
      <c r="B3" s="281" t="str">
        <f>INSTRUÇÕES!B3</f>
        <v>Subseção Judiciária de Divinópolis</v>
      </c>
      <c r="C3" s="282"/>
      <c r="D3" s="283"/>
      <c r="F3" s="284"/>
      <c r="G3" s="285"/>
      <c r="H3" s="286"/>
      <c r="I3" s="287"/>
      <c r="J3" s="625"/>
      <c r="K3" s="625"/>
      <c r="L3" s="625"/>
      <c r="M3" s="625"/>
      <c r="N3" s="625"/>
      <c r="O3" s="625"/>
      <c r="P3" s="288"/>
    </row>
    <row r="4" spans="1:16" s="246" customFormat="1" ht="15.6">
      <c r="A4" s="626" t="s">
        <v>458</v>
      </c>
      <c r="B4" s="626"/>
      <c r="C4" s="626"/>
      <c r="D4" s="626"/>
      <c r="E4" s="626"/>
      <c r="F4" s="626"/>
      <c r="G4" s="626"/>
      <c r="H4" s="626"/>
      <c r="I4" s="289"/>
      <c r="J4" s="625"/>
      <c r="K4" s="625"/>
      <c r="L4" s="625"/>
      <c r="M4" s="625"/>
      <c r="N4" s="625"/>
      <c r="O4" s="625"/>
      <c r="P4" s="290"/>
    </row>
    <row r="5" spans="1:16" s="1" customFormat="1" ht="27" customHeight="1">
      <c r="A5" s="627" t="s">
        <v>367</v>
      </c>
      <c r="B5" s="627"/>
      <c r="C5" s="627"/>
      <c r="D5" s="627"/>
      <c r="E5" s="627"/>
      <c r="F5" s="627"/>
      <c r="G5" s="627"/>
      <c r="H5" s="627"/>
      <c r="I5" s="291"/>
      <c r="J5" s="628" t="s">
        <v>375</v>
      </c>
      <c r="K5" s="544" t="s">
        <v>275</v>
      </c>
      <c r="L5" s="544" t="s">
        <v>276</v>
      </c>
      <c r="M5" s="544" t="s">
        <v>277</v>
      </c>
      <c r="N5" s="544" t="s">
        <v>278</v>
      </c>
      <c r="O5" s="544" t="s">
        <v>279</v>
      </c>
    </row>
    <row r="6" spans="1:16" s="1" customFormat="1" ht="15.75" customHeight="1">
      <c r="A6" s="629" t="s">
        <v>459</v>
      </c>
      <c r="B6" s="629"/>
      <c r="C6" s="629"/>
      <c r="D6" s="629"/>
      <c r="E6" s="629"/>
      <c r="F6" s="629"/>
      <c r="G6" s="629"/>
      <c r="H6" s="629"/>
      <c r="I6" s="292"/>
      <c r="J6" s="628"/>
      <c r="K6" s="544"/>
      <c r="L6" s="544"/>
      <c r="M6" s="544"/>
      <c r="N6" s="544"/>
      <c r="O6" s="544"/>
    </row>
    <row r="7" spans="1:16" s="1" customFormat="1" ht="15.75" customHeight="1">
      <c r="A7" s="579"/>
      <c r="B7" s="579"/>
      <c r="C7" s="579"/>
      <c r="D7" s="579"/>
      <c r="E7" s="579"/>
      <c r="F7" s="579"/>
      <c r="G7" s="579"/>
      <c r="H7" s="579"/>
      <c r="I7" s="579"/>
      <c r="J7" s="628"/>
      <c r="K7" s="544"/>
      <c r="L7" s="544"/>
      <c r="M7" s="544"/>
      <c r="N7" s="544"/>
      <c r="O7" s="544"/>
    </row>
    <row r="8" spans="1:16" s="1" customFormat="1" ht="27.6">
      <c r="A8" s="293" t="s">
        <v>460</v>
      </c>
      <c r="B8" s="294" t="s">
        <v>253</v>
      </c>
      <c r="C8" s="295" t="s">
        <v>461</v>
      </c>
      <c r="D8" s="293" t="s">
        <v>462</v>
      </c>
      <c r="E8" s="293" t="s">
        <v>463</v>
      </c>
      <c r="F8" s="296" t="s">
        <v>464</v>
      </c>
      <c r="G8" s="297" t="s">
        <v>465</v>
      </c>
      <c r="H8" s="298" t="s">
        <v>190</v>
      </c>
      <c r="I8" s="298" t="s">
        <v>466</v>
      </c>
      <c r="J8" s="628"/>
      <c r="K8" s="544"/>
      <c r="L8" s="544"/>
      <c r="M8" s="544"/>
      <c r="N8" s="544"/>
      <c r="O8" s="544"/>
      <c r="P8" s="156"/>
    </row>
    <row r="9" spans="1:16" s="117" customFormat="1" ht="51.45" customHeight="1">
      <c r="A9" s="622" t="s">
        <v>467</v>
      </c>
      <c r="B9" s="39" t="s">
        <v>468</v>
      </c>
      <c r="C9" s="299">
        <v>2</v>
      </c>
      <c r="D9" s="300" t="s">
        <v>469</v>
      </c>
      <c r="E9" s="76" t="s">
        <v>470</v>
      </c>
      <c r="F9" s="299">
        <f>C9*$A$13</f>
        <v>4</v>
      </c>
      <c r="G9" s="538">
        <v>74.430000000000007</v>
      </c>
      <c r="H9" s="258">
        <f>ROUND(F9*G9,2)</f>
        <v>297.72000000000003</v>
      </c>
      <c r="I9" s="138" t="str">
        <f>IF(G9&lt;=(100%-Estimativa_ADM!$C$15)*Estimativa_ADM!C62,Estimativa_ADM!$C$16,"")</f>
        <v/>
      </c>
      <c r="J9" s="302">
        <v>25.8</v>
      </c>
      <c r="K9" s="39">
        <f>ROUND(IF(Dados!$I$59="SIM",J9*Dados!$N$59,J9),2)</f>
        <v>25.8</v>
      </c>
      <c r="L9" s="39">
        <f>ROUND(IF(Dados!$I$60="SIM",K9*Dados!$N$60,K9),2)</f>
        <v>25.8</v>
      </c>
      <c r="M9" s="39">
        <f>ROUND(IF(Dados!$I$61="SIM",L9*Dados!$N$61,L9),2)</f>
        <v>25.8</v>
      </c>
      <c r="N9" s="39">
        <f>ROUND(IF(Dados!$I$62="SIM",M9*Dados!$N$62,M9),2)</f>
        <v>25.8</v>
      </c>
      <c r="O9" s="39">
        <f>ROUND(IF(Dados!$I$63="SIM",N9*Dados!$N$63,N9),2)</f>
        <v>25.8</v>
      </c>
    </row>
    <row r="10" spans="1:16" s="117" customFormat="1" ht="94.65" customHeight="1">
      <c r="A10" s="622"/>
      <c r="B10" s="39" t="s">
        <v>471</v>
      </c>
      <c r="C10" s="299">
        <v>3</v>
      </c>
      <c r="D10" s="300" t="s">
        <v>472</v>
      </c>
      <c r="E10" s="76" t="s">
        <v>473</v>
      </c>
      <c r="F10" s="299">
        <f>C10*$A$13</f>
        <v>6</v>
      </c>
      <c r="G10" s="538">
        <v>47.42</v>
      </c>
      <c r="H10" s="258">
        <f>ROUND(F10*G10,2)</f>
        <v>284.52</v>
      </c>
      <c r="I10" s="138" t="str">
        <f>IF(G10&lt;=(100%-Estimativa_ADM!$C$15)*Estimativa_ADM!C63,Estimativa_ADM!$C$16,"")</f>
        <v/>
      </c>
      <c r="J10" s="302"/>
      <c r="K10" s="39"/>
      <c r="L10" s="39"/>
      <c r="M10" s="39"/>
      <c r="N10" s="39"/>
      <c r="O10" s="39"/>
    </row>
    <row r="11" spans="1:16" s="117" customFormat="1" ht="41.1" customHeight="1">
      <c r="A11" s="622"/>
      <c r="B11" s="39" t="s">
        <v>474</v>
      </c>
      <c r="C11" s="299">
        <v>1</v>
      </c>
      <c r="D11" s="303" t="s">
        <v>475</v>
      </c>
      <c r="E11" s="76" t="s">
        <v>470</v>
      </c>
      <c r="F11" s="299">
        <f>C11*$A$13</f>
        <v>2</v>
      </c>
      <c r="G11" s="538">
        <v>72.13</v>
      </c>
      <c r="H11" s="258">
        <f>ROUND(F11*G11,2)</f>
        <v>144.26</v>
      </c>
      <c r="I11" s="138" t="str">
        <f>IF(G11&lt;=(100%-Estimativa_ADM!$C$15)*Estimativa_ADM!C64,Estimativa_ADM!$C$16,"")</f>
        <v/>
      </c>
      <c r="J11" s="302">
        <v>19.989999999999998</v>
      </c>
      <c r="K11" s="39">
        <f>ROUND(IF(Dados!$I$59="SIM",J11*Dados!$N$59,J11),2)</f>
        <v>19.989999999999998</v>
      </c>
      <c r="L11" s="39">
        <f>ROUND(IF(Dados!$I$60="SIM",K11*Dados!$N$60,K11),2)</f>
        <v>19.989999999999998</v>
      </c>
      <c r="M11" s="39">
        <f>ROUND(IF(Dados!$I$61="SIM",L11*Dados!$N$61,L11),2)</f>
        <v>19.989999999999998</v>
      </c>
      <c r="N11" s="39">
        <f>ROUND(IF(Dados!$I$62="SIM",M11*Dados!$N$62,M11),2)</f>
        <v>19.989999999999998</v>
      </c>
      <c r="O11" s="39">
        <f>ROUND(IF(Dados!$I$63="SIM",N11*Dados!$N$63,N11),2)</f>
        <v>19.989999999999998</v>
      </c>
    </row>
    <row r="12" spans="1:16" s="117" customFormat="1" ht="60" customHeight="1">
      <c r="A12" s="76" t="s">
        <v>476</v>
      </c>
      <c r="B12" s="39" t="s">
        <v>477</v>
      </c>
      <c r="C12" s="299">
        <v>1</v>
      </c>
      <c r="D12" s="304" t="s">
        <v>478</v>
      </c>
      <c r="E12" s="76" t="s">
        <v>479</v>
      </c>
      <c r="F12" s="299">
        <f>C12*$A$13</f>
        <v>2</v>
      </c>
      <c r="G12" s="538">
        <v>139.85</v>
      </c>
      <c r="H12" s="258">
        <f>ROUND(F12*G12,2)</f>
        <v>279.7</v>
      </c>
      <c r="I12" s="138" t="str">
        <f>IF(G12&lt;=(100%-Estimativa_ADM!$C$15)*Estimativa_ADM!C65,Estimativa_ADM!$C$16,"")</f>
        <v/>
      </c>
      <c r="J12" s="302">
        <v>39.9</v>
      </c>
      <c r="K12" s="39">
        <f>ROUND(IF(Dados!$I$59="SIM",J12*Dados!$N$59,J12),2)</f>
        <v>39.9</v>
      </c>
      <c r="L12" s="39">
        <f>ROUND(IF(Dados!$I$60="SIM",K12*Dados!$N$60,K12),2)</f>
        <v>39.9</v>
      </c>
      <c r="M12" s="39">
        <f>ROUND(IF(Dados!$I$61="SIM",L12*Dados!$N$61,L12),2)</f>
        <v>39.9</v>
      </c>
      <c r="N12" s="39">
        <f>ROUND(IF(Dados!$I$62="SIM",M12*Dados!$N$62,M12),2)</f>
        <v>39.9</v>
      </c>
      <c r="O12" s="39">
        <f>ROUND(IF(Dados!$I$63="SIM",N12*Dados!$N$63,N12),2)</f>
        <v>39.9</v>
      </c>
    </row>
    <row r="13" spans="1:16" s="117" customFormat="1" ht="25.5" customHeight="1">
      <c r="A13" s="305">
        <f>Dados!B7+Dados!B8</f>
        <v>2</v>
      </c>
      <c r="B13" s="624"/>
      <c r="C13" s="624"/>
      <c r="D13" s="624"/>
      <c r="E13" s="624"/>
      <c r="F13" s="624"/>
      <c r="G13" s="624"/>
      <c r="H13" s="624"/>
      <c r="I13" s="624"/>
      <c r="J13" s="302"/>
      <c r="K13" s="39"/>
      <c r="L13" s="39"/>
      <c r="M13" s="39"/>
      <c r="N13" s="39"/>
      <c r="O13" s="39"/>
    </row>
    <row r="14" spans="1:16" s="117" customFormat="1" ht="24" customHeight="1">
      <c r="A14" s="620" t="s">
        <v>480</v>
      </c>
      <c r="B14" s="620"/>
      <c r="C14" s="620"/>
      <c r="D14" s="620"/>
      <c r="E14" s="620"/>
      <c r="F14" s="620"/>
      <c r="G14" s="620"/>
      <c r="H14" s="306">
        <f>SUM(H9:H13)</f>
        <v>1006.2</v>
      </c>
      <c r="I14" s="307"/>
      <c r="J14" s="3"/>
      <c r="K14" s="3"/>
      <c r="L14" s="3"/>
      <c r="M14" s="3"/>
      <c r="N14" s="3"/>
      <c r="O14" s="3"/>
    </row>
    <row r="15" spans="1:16" s="117" customFormat="1" ht="15.6">
      <c r="A15" s="619" t="s">
        <v>481</v>
      </c>
      <c r="B15" s="619"/>
      <c r="C15" s="619"/>
      <c r="D15" s="619"/>
      <c r="E15" s="619"/>
      <c r="F15" s="619"/>
      <c r="G15" s="228"/>
      <c r="H15" s="308">
        <f>ROUND(H14/A13/12,2)</f>
        <v>41.93</v>
      </c>
      <c r="I15" s="309"/>
      <c r="J15" s="3"/>
      <c r="K15" s="3"/>
      <c r="L15" s="3"/>
      <c r="M15" s="3"/>
      <c r="N15" s="3"/>
      <c r="O15" s="3"/>
    </row>
    <row r="16" spans="1:16" s="117" customFormat="1">
      <c r="A16" s="622"/>
      <c r="B16" s="622"/>
      <c r="C16" s="622"/>
      <c r="D16" s="622"/>
      <c r="E16" s="622"/>
      <c r="F16" s="622"/>
      <c r="G16" s="622"/>
      <c r="H16" s="622"/>
      <c r="I16" s="622"/>
      <c r="J16" s="3"/>
      <c r="K16" s="3"/>
      <c r="L16" s="3"/>
      <c r="M16" s="3"/>
      <c r="N16" s="3"/>
      <c r="O16" s="3"/>
    </row>
    <row r="17" spans="1:16" s="117" customFormat="1" ht="69">
      <c r="A17" s="293" t="s">
        <v>460</v>
      </c>
      <c r="B17" s="294" t="s">
        <v>253</v>
      </c>
      <c r="C17" s="295" t="s">
        <v>461</v>
      </c>
      <c r="D17" s="293" t="s">
        <v>462</v>
      </c>
      <c r="E17" s="293" t="s">
        <v>463</v>
      </c>
      <c r="F17" s="296" t="s">
        <v>464</v>
      </c>
      <c r="G17" s="297" t="s">
        <v>465</v>
      </c>
      <c r="H17" s="298" t="s">
        <v>190</v>
      </c>
      <c r="I17" s="298" t="s">
        <v>466</v>
      </c>
      <c r="J17" s="310" t="s">
        <v>375</v>
      </c>
      <c r="K17" s="311" t="s">
        <v>275</v>
      </c>
      <c r="L17" s="311" t="s">
        <v>276</v>
      </c>
      <c r="M17" s="311" t="s">
        <v>277</v>
      </c>
      <c r="N17" s="311" t="s">
        <v>278</v>
      </c>
      <c r="O17" s="311" t="s">
        <v>279</v>
      </c>
    </row>
    <row r="18" spans="1:16" s="117" customFormat="1" ht="27.6">
      <c r="A18" s="76" t="s">
        <v>482</v>
      </c>
      <c r="B18" s="39" t="s">
        <v>483</v>
      </c>
      <c r="C18" s="299">
        <v>1</v>
      </c>
      <c r="D18" s="75" t="s">
        <v>484</v>
      </c>
      <c r="E18" s="76" t="s">
        <v>485</v>
      </c>
      <c r="F18" s="299">
        <f>C18*A20</f>
        <v>1</v>
      </c>
      <c r="G18" s="538">
        <v>30.82</v>
      </c>
      <c r="H18" s="258">
        <f>ROUND(F18*G18,2)</f>
        <v>30.82</v>
      </c>
      <c r="I18" s="138" t="str">
        <f>IF(G18&lt;=(100%-Estimativa_ADM!$C$15)*Estimativa_ADM!C68,Estimativa_ADM!$C$16,"")</f>
        <v/>
      </c>
      <c r="J18" s="302">
        <v>29.9</v>
      </c>
      <c r="K18" s="39">
        <f>ROUND(IF(Dados!$I$59="SIM",J18*Dados!$N$59,J18),2)</f>
        <v>29.9</v>
      </c>
      <c r="L18" s="39">
        <f>ROUND(IF(Dados!$I$60="SIM",K18*Dados!$N$60,K18),2)</f>
        <v>29.9</v>
      </c>
      <c r="M18" s="39">
        <f>ROUND(IF(Dados!$I$61="SIM",L18*Dados!$N$61,L18),2)</f>
        <v>29.9</v>
      </c>
      <c r="N18" s="39">
        <f>ROUND(IF(Dados!$I$62="SIM",M18*Dados!$N$62,M18),2)</f>
        <v>29.9</v>
      </c>
      <c r="O18" s="39">
        <f>ROUND(IF(Dados!$I$63="SIM",N18*Dados!$N$63,N18),2)</f>
        <v>29.9</v>
      </c>
    </row>
    <row r="19" spans="1:16" s="117" customFormat="1" ht="36.450000000000003" customHeight="1">
      <c r="A19" s="76" t="s">
        <v>476</v>
      </c>
      <c r="B19" s="39" t="s">
        <v>486</v>
      </c>
      <c r="C19" s="299">
        <v>2</v>
      </c>
      <c r="D19" s="223" t="s">
        <v>487</v>
      </c>
      <c r="E19" s="76" t="s">
        <v>488</v>
      </c>
      <c r="F19" s="299">
        <v>2</v>
      </c>
      <c r="G19" s="538">
        <v>13.33</v>
      </c>
      <c r="H19" s="258">
        <f>ROUND(F19*G19,2)</f>
        <v>26.66</v>
      </c>
      <c r="I19" s="138" t="str">
        <f>IF(G19&lt;=(100%-Estimativa_ADM!$C$15)*Estimativa_ADM!C69,Estimativa_ADM!$C$16,"")</f>
        <v/>
      </c>
      <c r="J19" s="302"/>
      <c r="K19" s="39"/>
      <c r="L19" s="39"/>
      <c r="M19" s="39"/>
      <c r="N19" s="39"/>
      <c r="O19" s="39"/>
    </row>
    <row r="20" spans="1:16" s="117" customFormat="1" ht="35.4" customHeight="1">
      <c r="A20" s="312">
        <f>Dados!B8</f>
        <v>1</v>
      </c>
      <c r="B20" s="620" t="s">
        <v>480</v>
      </c>
      <c r="C20" s="620"/>
      <c r="D20" s="620"/>
      <c r="E20" s="620"/>
      <c r="F20" s="620"/>
      <c r="G20" s="620"/>
      <c r="H20" s="306">
        <f>SUM(H18:H19)</f>
        <v>57.480000000000004</v>
      </c>
      <c r="I20" s="307"/>
      <c r="J20" s="3"/>
      <c r="K20" s="3"/>
      <c r="L20" s="3"/>
      <c r="M20" s="3"/>
      <c r="N20" s="3"/>
      <c r="O20" s="3"/>
    </row>
    <row r="21" spans="1:16" s="117" customFormat="1" ht="15.6">
      <c r="A21" s="619" t="s">
        <v>489</v>
      </c>
      <c r="B21" s="619"/>
      <c r="C21" s="619"/>
      <c r="D21" s="619"/>
      <c r="E21" s="619"/>
      <c r="F21" s="619"/>
      <c r="G21" s="228"/>
      <c r="H21" s="308">
        <f>ROUND(H20/A20/12,2)</f>
        <v>4.79</v>
      </c>
      <c r="I21" s="309"/>
      <c r="J21" s="3"/>
      <c r="K21" s="3"/>
      <c r="L21" s="3"/>
      <c r="M21" s="3"/>
      <c r="N21" s="3"/>
      <c r="O21" s="3"/>
    </row>
    <row r="22" spans="1:16" s="117" customFormat="1" ht="15.6">
      <c r="A22" s="621"/>
      <c r="B22" s="621"/>
      <c r="C22" s="621"/>
      <c r="D22" s="621"/>
      <c r="E22" s="621"/>
      <c r="F22" s="621"/>
      <c r="G22" s="621"/>
      <c r="H22" s="621"/>
      <c r="I22" s="621"/>
      <c r="J22" s="3"/>
      <c r="K22" s="3"/>
      <c r="L22" s="3"/>
      <c r="M22" s="3"/>
      <c r="N22" s="3"/>
      <c r="O22" s="3"/>
    </row>
    <row r="23" spans="1:16" ht="69">
      <c r="A23" s="293" t="s">
        <v>460</v>
      </c>
      <c r="B23" s="294" t="s">
        <v>253</v>
      </c>
      <c r="C23" s="295" t="s">
        <v>461</v>
      </c>
      <c r="D23" s="293" t="s">
        <v>462</v>
      </c>
      <c r="E23" s="293" t="s">
        <v>463</v>
      </c>
      <c r="F23" s="296" t="s">
        <v>464</v>
      </c>
      <c r="G23" s="297" t="s">
        <v>465</v>
      </c>
      <c r="H23" s="298" t="s">
        <v>190</v>
      </c>
      <c r="I23" s="298" t="s">
        <v>466</v>
      </c>
      <c r="J23" s="310" t="s">
        <v>375</v>
      </c>
      <c r="K23" s="311" t="s">
        <v>275</v>
      </c>
      <c r="L23" s="311" t="s">
        <v>276</v>
      </c>
      <c r="M23" s="311" t="s">
        <v>277</v>
      </c>
      <c r="N23" s="311" t="s">
        <v>278</v>
      </c>
      <c r="O23" s="311" t="s">
        <v>279</v>
      </c>
    </row>
    <row r="24" spans="1:16" ht="189.45" customHeight="1">
      <c r="A24" s="622" t="s">
        <v>187</v>
      </c>
      <c r="B24" s="39" t="s">
        <v>468</v>
      </c>
      <c r="C24" s="299">
        <v>2</v>
      </c>
      <c r="D24" s="224" t="s">
        <v>490</v>
      </c>
      <c r="E24" s="76" t="s">
        <v>470</v>
      </c>
      <c r="F24" s="299">
        <v>6</v>
      </c>
      <c r="G24" s="301">
        <v>100.44</v>
      </c>
      <c r="H24" s="258">
        <f>ROUND(F24*G24,2)</f>
        <v>602.64</v>
      </c>
      <c r="I24" s="313" t="str">
        <f>IF(G24&lt;=(100%-Estimativa_ADM!$C$15)*Estimativa_ADM!C72,Estimativa_ADM!$C$16,"")</f>
        <v/>
      </c>
      <c r="J24" s="302">
        <v>39.9</v>
      </c>
      <c r="K24" s="39">
        <f>ROUND(IF(Dados!$I$59="SIM",J24*Dados!$N$59,J24),2)</f>
        <v>39.9</v>
      </c>
      <c r="L24" s="39">
        <f>ROUND(IF(Dados!$I$60="SIM",K24*Dados!$N$60,K24),2)</f>
        <v>39.9</v>
      </c>
      <c r="M24" s="39">
        <f>ROUND(IF(Dados!$I$61="SIM",L24*Dados!$N$61,L24),2)</f>
        <v>39.9</v>
      </c>
      <c r="N24" s="39">
        <f>ROUND(IF(Dados!$I$62="SIM",M24*Dados!$N$62,M24),2)</f>
        <v>39.9</v>
      </c>
      <c r="O24" s="39">
        <f>ROUND(IF(Dados!$I$63="SIM",N24*Dados!$N$63,N24),2)</f>
        <v>39.9</v>
      </c>
    </row>
    <row r="25" spans="1:16" ht="190.35" customHeight="1">
      <c r="A25" s="622"/>
      <c r="B25" s="39" t="s">
        <v>491</v>
      </c>
      <c r="C25" s="299">
        <v>3</v>
      </c>
      <c r="D25" s="314" t="s">
        <v>492</v>
      </c>
      <c r="E25" s="76" t="s">
        <v>493</v>
      </c>
      <c r="F25" s="299">
        <v>9</v>
      </c>
      <c r="G25" s="301">
        <v>103.32</v>
      </c>
      <c r="H25" s="258">
        <f>ROUND(F25*G25,2)</f>
        <v>929.88</v>
      </c>
      <c r="I25" s="313" t="str">
        <f>IF(G25&lt;=(100%-Estimativa_ADM!$C$15)*Estimativa_ADM!C73,Estimativa_ADM!$C$16,"")</f>
        <v/>
      </c>
      <c r="J25" s="302"/>
      <c r="K25" s="39"/>
      <c r="L25" s="39"/>
      <c r="M25" s="39"/>
      <c r="N25" s="39"/>
      <c r="O25" s="39"/>
    </row>
    <row r="26" spans="1:16" ht="81.45" customHeight="1">
      <c r="A26" s="76" t="s">
        <v>476</v>
      </c>
      <c r="B26" s="39" t="s">
        <v>494</v>
      </c>
      <c r="C26" s="299">
        <v>1</v>
      </c>
      <c r="D26" s="315" t="s">
        <v>495</v>
      </c>
      <c r="E26" s="76" t="s">
        <v>496</v>
      </c>
      <c r="F26" s="299">
        <v>3</v>
      </c>
      <c r="G26" s="301">
        <v>115.25</v>
      </c>
      <c r="H26" s="258">
        <f>ROUND(F26*G26,2)</f>
        <v>345.75</v>
      </c>
      <c r="I26" s="313" t="str">
        <f>IF(G26&lt;=(100%-Estimativa_ADM!$C$15)*Estimativa_ADM!C74,Estimativa_ADM!$C$16,"")</f>
        <v/>
      </c>
      <c r="J26" s="302">
        <v>19.989999999999998</v>
      </c>
      <c r="K26" s="39">
        <f>ROUND(IF(Dados!$I$59="SIM",J26*Dados!$N$59,J26),2)</f>
        <v>19.989999999999998</v>
      </c>
      <c r="L26" s="39">
        <f>ROUND(IF(Dados!$I$60="SIM",K26*Dados!$N$60,K26),2)</f>
        <v>19.989999999999998</v>
      </c>
      <c r="M26" s="39">
        <f>ROUND(IF(Dados!$I$61="SIM",L26*Dados!$N$61,L26),2)</f>
        <v>19.989999999999998</v>
      </c>
      <c r="N26" s="39">
        <f>ROUND(IF(Dados!$I$62="SIM",M26*Dados!$N$62,M26),2)</f>
        <v>19.989999999999998</v>
      </c>
      <c r="O26" s="39">
        <f>ROUND(IF(Dados!$I$63="SIM",N26*Dados!$N$63,N26),2)</f>
        <v>19.989999999999998</v>
      </c>
    </row>
    <row r="27" spans="1:16" ht="69">
      <c r="A27" s="316">
        <f>Dados!B9</f>
        <v>3</v>
      </c>
      <c r="B27" s="39" t="s">
        <v>477</v>
      </c>
      <c r="C27" s="299">
        <v>1</v>
      </c>
      <c r="D27" s="317" t="s">
        <v>478</v>
      </c>
      <c r="E27" s="76" t="s">
        <v>479</v>
      </c>
      <c r="F27" s="299">
        <v>3</v>
      </c>
      <c r="G27" s="301">
        <v>139.85</v>
      </c>
      <c r="H27" s="258">
        <f>ROUND(F27*G27,2)</f>
        <v>419.55</v>
      </c>
      <c r="I27" s="313" t="str">
        <f>IF(G27&lt;=(100%-Estimativa_ADM!$C$15)*Estimativa_ADM!C75,Estimativa_ADM!$C$16,"")</f>
        <v/>
      </c>
      <c r="J27" s="302"/>
      <c r="K27" s="39"/>
      <c r="L27" s="39"/>
      <c r="M27" s="39"/>
      <c r="N27" s="39"/>
      <c r="O27" s="39"/>
    </row>
    <row r="28" spans="1:16">
      <c r="A28" s="623" t="s">
        <v>480</v>
      </c>
      <c r="B28" s="623"/>
      <c r="C28" s="623"/>
      <c r="D28" s="623"/>
      <c r="E28" s="623"/>
      <c r="F28" s="623"/>
      <c r="G28" s="623"/>
      <c r="H28" s="318">
        <f>SUM(H24:H27)</f>
        <v>2297.8200000000002</v>
      </c>
      <c r="I28" s="319"/>
      <c r="N28" s="3"/>
      <c r="O28" s="3"/>
      <c r="P28" s="117"/>
    </row>
    <row r="29" spans="1:16" ht="15.6">
      <c r="A29" s="619" t="s">
        <v>497</v>
      </c>
      <c r="B29" s="619"/>
      <c r="C29" s="619"/>
      <c r="D29" s="619"/>
      <c r="E29" s="619"/>
      <c r="F29" s="619"/>
      <c r="G29" s="228"/>
      <c r="H29" s="308">
        <f>ROUND(H28/A27/12,2)</f>
        <v>63.83</v>
      </c>
      <c r="I29" s="320"/>
    </row>
  </sheetData>
  <sheetProtection algorithmName="SHA-512" hashValue="lboOKOFCILR8ss4fwNZDFmSkOVxr9bQ+rI6KMynIiaNG0HPBUICE4Ejftn0glQjXNanfuD4yPoWKzON3mi4vDA==" saltValue="UbqkA9Zy4Zw3jIb/jvn0/A==" spinCount="100000" sheet="1" objects="1" scenarios="1"/>
  <mergeCells count="22">
    <mergeCell ref="J1:O4"/>
    <mergeCell ref="A4:H4"/>
    <mergeCell ref="A5:H5"/>
    <mergeCell ref="J5:J8"/>
    <mergeCell ref="K5:K8"/>
    <mergeCell ref="L5:L8"/>
    <mergeCell ref="M5:M8"/>
    <mergeCell ref="N5:N8"/>
    <mergeCell ref="O5:O8"/>
    <mergeCell ref="A6:H6"/>
    <mergeCell ref="A7:I7"/>
    <mergeCell ref="A9:A11"/>
    <mergeCell ref="B13:I13"/>
    <mergeCell ref="A14:G14"/>
    <mergeCell ref="A15:F15"/>
    <mergeCell ref="A16:I16"/>
    <mergeCell ref="A29:F29"/>
    <mergeCell ref="B20:G20"/>
    <mergeCell ref="A21:F21"/>
    <mergeCell ref="A22:I22"/>
    <mergeCell ref="A24:A25"/>
    <mergeCell ref="A28:G28"/>
  </mergeCells>
  <printOptions horizontalCentered="1" verticalCentered="1"/>
  <pageMargins left="0.51180555555555496" right="0.51180555555555496" top="0.78749999999999998" bottom="0.78749999999999998" header="0.51180555555555496" footer="0.51180555555555496"/>
  <pageSetup paperSize="9" scale="58" firstPageNumber="0"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cellIs" priority="3" operator="lessThan" id="{4D59D21B-5248-4D51-A934-ECCB7EB2658D}">
            <xm:f>(100%-Estimativa_ADM!$C$15)*Estimativa_ADM!C62</xm:f>
            <x14:dxf>
              <fill>
                <patternFill>
                  <bgColor theme="5" tint="0.79998168889431442"/>
                </patternFill>
              </fill>
            </x14:dxf>
          </x14:cfRule>
          <xm:sqref>G9:G12</xm:sqref>
        </x14:conditionalFormatting>
        <x14:conditionalFormatting xmlns:xm="http://schemas.microsoft.com/office/excel/2006/main">
          <x14:cfRule type="cellIs" priority="2" operator="lessThan" id="{A997FAEC-790F-4F31-A58B-3D120F54B192}">
            <xm:f>(100%-Estimativa_ADM!$C$15)*Estimativa_ADM!C68</xm:f>
            <x14:dxf>
              <fill>
                <patternFill>
                  <bgColor theme="5" tint="0.79998168889431442"/>
                </patternFill>
              </fill>
            </x14:dxf>
          </x14:cfRule>
          <xm:sqref>G18:G19</xm:sqref>
        </x14:conditionalFormatting>
        <x14:conditionalFormatting xmlns:xm="http://schemas.microsoft.com/office/excel/2006/main">
          <x14:cfRule type="cellIs" priority="1" operator="lessThan" id="{86FF9992-7D25-4070-87A6-04274D20C6E3}">
            <xm:f>(100%-Estimativa_ADM!$C$15)*Estimativa_ADM!C72</xm:f>
            <x14:dxf>
              <fill>
                <patternFill>
                  <bgColor theme="5" tint="0.79998168889431442"/>
                </patternFill>
              </fill>
            </x14:dxf>
          </x14:cfRule>
          <xm:sqref>G24:G27</xm:sqref>
        </x14:conditionalFormatting>
      </x14:conditionalFormattings>
    </ext>
  </extLst>
</worksheet>
</file>

<file path=xl/worksheets/sheet9.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95" zoomScaleNormal="95" workbookViewId="0">
      <selection activeCell="F26" sqref="F26"/>
    </sheetView>
  </sheetViews>
  <sheetFormatPr defaultRowHeight="14.4"/>
  <cols>
    <col min="1" max="1" width="10.5546875" style="69" customWidth="1"/>
    <col min="2" max="2" width="27.6640625" style="69" customWidth="1"/>
    <col min="3" max="3" width="14.44140625" style="69" customWidth="1"/>
    <col min="4" max="5" width="15" style="69" customWidth="1"/>
    <col min="6" max="6" width="16.6640625" style="321" customWidth="1"/>
    <col min="7" max="8" width="13.109375" style="321" customWidth="1"/>
    <col min="9" max="10" width="12.5546875" style="321" customWidth="1"/>
    <col min="11" max="257" width="9.109375" style="69" customWidth="1"/>
    <col min="258" max="258" width="10.5546875" style="69" customWidth="1"/>
    <col min="259" max="259" width="27.6640625" style="69" customWidth="1"/>
    <col min="260" max="260" width="14.44140625" style="69" customWidth="1"/>
    <col min="261" max="262" width="15" style="69" customWidth="1"/>
    <col min="263" max="263" width="16.6640625" style="69" customWidth="1"/>
    <col min="264" max="264" width="13.109375" style="69" customWidth="1"/>
    <col min="265" max="266" width="12.5546875" style="69" customWidth="1"/>
    <col min="267" max="513" width="9.109375" style="69" customWidth="1"/>
    <col min="514" max="514" width="10.5546875" style="69" customWidth="1"/>
    <col min="515" max="515" width="27.6640625" style="69" customWidth="1"/>
    <col min="516" max="516" width="14.44140625" style="69" customWidth="1"/>
    <col min="517" max="518" width="15" style="69" customWidth="1"/>
    <col min="519" max="519" width="16.6640625" style="69" customWidth="1"/>
    <col min="520" max="520" width="13.109375" style="69" customWidth="1"/>
    <col min="521" max="522" width="12.5546875" style="69" customWidth="1"/>
    <col min="523" max="769" width="9.109375" style="69" customWidth="1"/>
    <col min="770" max="770" width="10.5546875" style="69" customWidth="1"/>
    <col min="771" max="771" width="27.6640625" style="69" customWidth="1"/>
    <col min="772" max="772" width="14.44140625" style="69" customWidth="1"/>
    <col min="773" max="774" width="15" style="69" customWidth="1"/>
    <col min="775" max="775" width="16.6640625" style="69" customWidth="1"/>
    <col min="776" max="776" width="13.109375" style="69" customWidth="1"/>
    <col min="777" max="778" width="12.5546875" style="69" customWidth="1"/>
    <col min="779" max="1025" width="9.109375" style="69" customWidth="1"/>
  </cols>
  <sheetData>
    <row r="1" spans="1:10">
      <c r="A1" s="322"/>
      <c r="B1" s="98" t="str">
        <f>INSTRUÇÕES!B1</f>
        <v>Tribunal Regional Federal da 6ª Região</v>
      </c>
      <c r="C1" s="323"/>
      <c r="D1" s="323"/>
      <c r="E1" s="323"/>
      <c r="F1" s="324"/>
      <c r="G1" s="325"/>
      <c r="H1" s="325"/>
      <c r="I1" s="324"/>
      <c r="J1" s="326"/>
    </row>
    <row r="2" spans="1:10">
      <c r="A2" s="327"/>
      <c r="B2" s="100" t="str">
        <f>INSTRUÇÕES!B2</f>
        <v>Seção Judiciária de Minas Gerais</v>
      </c>
      <c r="C2" s="58"/>
      <c r="D2" s="58"/>
      <c r="E2" s="58"/>
      <c r="F2" s="328"/>
      <c r="I2" s="328"/>
      <c r="J2" s="329"/>
    </row>
    <row r="3" spans="1:10">
      <c r="A3" s="164"/>
      <c r="B3" s="330" t="str">
        <f>INSTRUÇÕES!B3</f>
        <v>Subseção Judiciária de Divinópolis</v>
      </c>
      <c r="C3" s="58"/>
      <c r="D3" s="58"/>
      <c r="E3" s="58"/>
      <c r="F3" s="328"/>
      <c r="I3" s="328"/>
      <c r="J3" s="329"/>
    </row>
    <row r="4" spans="1:10" ht="19.5" customHeight="1">
      <c r="A4" s="654" t="s">
        <v>498</v>
      </c>
      <c r="B4" s="654"/>
      <c r="C4" s="654"/>
      <c r="D4" s="654"/>
      <c r="E4" s="654"/>
      <c r="F4" s="654"/>
      <c r="G4" s="654"/>
      <c r="H4" s="654"/>
      <c r="I4" s="654"/>
      <c r="J4" s="654"/>
    </row>
    <row r="5" spans="1:10" ht="19.5" customHeight="1">
      <c r="A5" s="655" t="s">
        <v>291</v>
      </c>
      <c r="B5" s="655"/>
      <c r="C5" s="655"/>
      <c r="D5" s="655"/>
      <c r="E5" s="655"/>
      <c r="F5" s="655"/>
      <c r="G5" s="655"/>
      <c r="H5" s="655"/>
      <c r="I5" s="655"/>
      <c r="J5" s="655"/>
    </row>
    <row r="6" spans="1:10" ht="36" customHeight="1">
      <c r="A6" s="656" t="str">
        <f>Dados!A4</f>
        <v>Sindicato utilizado - SINTAPPI x SINSERHT. Vigência: 2024/2025. Sendo a data base da categoria 01° de Abril. Com número de registro no MTE MG002103/2024.</v>
      </c>
      <c r="B6" s="656"/>
      <c r="C6" s="656"/>
      <c r="D6" s="656"/>
      <c r="E6" s="656"/>
      <c r="F6" s="656"/>
      <c r="G6" s="656"/>
      <c r="H6" s="656"/>
      <c r="I6" s="656"/>
      <c r="J6" s="656"/>
    </row>
    <row r="7" spans="1:10" ht="19.5" customHeight="1">
      <c r="A7" s="657" t="str">
        <f>Dados!C7</f>
        <v>Servente de Limpeza 40% Insalubridade</v>
      </c>
      <c r="B7" s="657"/>
      <c r="C7" s="657"/>
      <c r="D7" s="657"/>
      <c r="E7" s="657"/>
      <c r="F7" s="658" t="s">
        <v>499</v>
      </c>
      <c r="G7" s="658" t="s">
        <v>500</v>
      </c>
      <c r="H7" s="658" t="s">
        <v>501</v>
      </c>
      <c r="I7" s="658" t="s">
        <v>502</v>
      </c>
      <c r="J7" s="658" t="s">
        <v>503</v>
      </c>
    </row>
    <row r="8" spans="1:10" ht="19.5" customHeight="1">
      <c r="A8" s="659" t="s">
        <v>504</v>
      </c>
      <c r="B8" s="659"/>
      <c r="C8" s="659"/>
      <c r="D8" s="659"/>
      <c r="E8" s="331" t="s">
        <v>443</v>
      </c>
      <c r="F8" s="658"/>
      <c r="G8" s="658"/>
      <c r="H8" s="658"/>
      <c r="I8" s="658"/>
      <c r="J8" s="658"/>
    </row>
    <row r="9" spans="1:10" ht="19.5" customHeight="1">
      <c r="A9" s="639" t="s">
        <v>505</v>
      </c>
      <c r="B9" s="639"/>
      <c r="C9" s="639"/>
      <c r="D9" s="639"/>
      <c r="E9" s="639"/>
      <c r="F9" s="639"/>
      <c r="G9" s="639"/>
      <c r="H9" s="639"/>
      <c r="I9" s="639"/>
      <c r="J9" s="639"/>
    </row>
    <row r="10" spans="1:10" ht="24" customHeight="1">
      <c r="A10" s="169" t="s">
        <v>444</v>
      </c>
      <c r="B10" s="648" t="s">
        <v>506</v>
      </c>
      <c r="C10" s="648"/>
      <c r="D10" s="332" t="s">
        <v>507</v>
      </c>
      <c r="E10" s="333" t="s">
        <v>508</v>
      </c>
      <c r="F10" s="649" t="s">
        <v>447</v>
      </c>
      <c r="G10" s="649"/>
      <c r="H10" s="649"/>
      <c r="I10" s="649"/>
      <c r="J10" s="649"/>
    </row>
    <row r="11" spans="1:10" ht="19.5" customHeight="1">
      <c r="A11" s="650">
        <v>1</v>
      </c>
      <c r="B11" s="651" t="str">
        <f>A7</f>
        <v>Servente de Limpeza 40% Insalubridade</v>
      </c>
      <c r="C11" s="651"/>
      <c r="D11" s="28">
        <f>Dados!D7</f>
        <v>200</v>
      </c>
      <c r="E11" s="335">
        <f>Dados!E7</f>
        <v>1526.8</v>
      </c>
      <c r="F11" s="336">
        <f>ROUND(E11/220*D11,2)</f>
        <v>1388</v>
      </c>
      <c r="G11" s="336">
        <f>F11</f>
        <v>1388</v>
      </c>
      <c r="H11" s="336"/>
      <c r="I11" s="336"/>
      <c r="J11" s="337"/>
    </row>
    <row r="12" spans="1:10" ht="19.5" customHeight="1">
      <c r="A12" s="650"/>
      <c r="B12" s="651" t="s">
        <v>509</v>
      </c>
      <c r="C12" s="651"/>
      <c r="D12" s="338">
        <f>Dados!G7</f>
        <v>0.4</v>
      </c>
      <c r="E12" s="335">
        <f>Dados!G26</f>
        <v>1412</v>
      </c>
      <c r="F12" s="336">
        <f>D12*E12</f>
        <v>564.80000000000007</v>
      </c>
      <c r="G12" s="336">
        <f>F12</f>
        <v>564.80000000000007</v>
      </c>
      <c r="H12" s="336"/>
      <c r="I12" s="336"/>
      <c r="J12" s="337">
        <f>F12</f>
        <v>564.80000000000007</v>
      </c>
    </row>
    <row r="13" spans="1:10" ht="20.25" customHeight="1">
      <c r="A13" s="650"/>
      <c r="B13" s="339" t="s">
        <v>510</v>
      </c>
      <c r="C13" s="340">
        <f>Dados!I7</f>
        <v>0</v>
      </c>
      <c r="D13" s="340">
        <f>Dados!J7</f>
        <v>0</v>
      </c>
      <c r="E13" s="341">
        <v>0</v>
      </c>
      <c r="F13" s="342">
        <f>ROUND((E13*D13*C13),2)</f>
        <v>0</v>
      </c>
      <c r="G13" s="342">
        <f>F13</f>
        <v>0</v>
      </c>
      <c r="H13" s="342"/>
      <c r="I13" s="342"/>
      <c r="J13" s="343"/>
    </row>
    <row r="14" spans="1:10" ht="19.5" customHeight="1">
      <c r="A14" s="650"/>
      <c r="B14" s="652" t="s">
        <v>511</v>
      </c>
      <c r="C14" s="652"/>
      <c r="D14" s="652"/>
      <c r="E14" s="652"/>
      <c r="F14" s="344">
        <f>SUM(F11:F13)</f>
        <v>1952.8000000000002</v>
      </c>
      <c r="G14" s="344">
        <f>SUM(G11:G13)</f>
        <v>1952.8000000000002</v>
      </c>
      <c r="H14" s="344">
        <f>SUM(H11:H13)</f>
        <v>0</v>
      </c>
      <c r="I14" s="344">
        <f>SUM(I11:I13)</f>
        <v>0</v>
      </c>
      <c r="J14" s="345">
        <f>SUM(J11:J13)</f>
        <v>564.80000000000007</v>
      </c>
    </row>
    <row r="15" spans="1:10" ht="19.5" customHeight="1">
      <c r="A15" s="650"/>
      <c r="B15" s="653" t="s">
        <v>512</v>
      </c>
      <c r="C15" s="653"/>
      <c r="D15" s="653"/>
      <c r="E15" s="346">
        <f>Encargos!$C$57</f>
        <v>0.76400000000000001</v>
      </c>
      <c r="F15" s="336">
        <f>ROUND((E15*F14),2)</f>
        <v>1491.94</v>
      </c>
      <c r="G15" s="336">
        <f>F15</f>
        <v>1491.94</v>
      </c>
      <c r="H15" s="336"/>
      <c r="I15" s="336"/>
      <c r="J15" s="337">
        <f>ROUND((E15*J14),2)</f>
        <v>431.51</v>
      </c>
    </row>
    <row r="16" spans="1:10" ht="19.5" customHeight="1">
      <c r="A16" s="645" t="s">
        <v>513</v>
      </c>
      <c r="B16" s="645"/>
      <c r="C16" s="645"/>
      <c r="D16" s="645"/>
      <c r="E16" s="645"/>
      <c r="F16" s="347">
        <f>SUM(F14:F15)</f>
        <v>3444.7400000000002</v>
      </c>
      <c r="G16" s="347">
        <f>SUM(G14:G15)</f>
        <v>3444.7400000000002</v>
      </c>
      <c r="H16" s="347">
        <f>SUM(H14:H15)</f>
        <v>0</v>
      </c>
      <c r="I16" s="347">
        <f>SUM(I14:I15)</f>
        <v>0</v>
      </c>
      <c r="J16" s="348">
        <f>SUM(J14:J15)</f>
        <v>996.31000000000006</v>
      </c>
    </row>
    <row r="17" spans="1:12" ht="19.5" customHeight="1">
      <c r="A17" s="646" t="s">
        <v>514</v>
      </c>
      <c r="B17" s="646"/>
      <c r="C17" s="646"/>
      <c r="D17" s="646"/>
      <c r="E17" s="646"/>
      <c r="F17" s="646"/>
      <c r="G17" s="646"/>
      <c r="H17" s="646"/>
      <c r="I17" s="646"/>
      <c r="J17" s="646"/>
    </row>
    <row r="18" spans="1:12" ht="19.5" customHeight="1">
      <c r="A18" s="640" t="s">
        <v>515</v>
      </c>
      <c r="B18" s="640"/>
      <c r="C18" s="39" t="s">
        <v>446</v>
      </c>
      <c r="D18" s="624" t="s">
        <v>516</v>
      </c>
      <c r="E18" s="624"/>
      <c r="F18" s="647" t="s">
        <v>447</v>
      </c>
      <c r="G18" s="647"/>
      <c r="H18" s="647"/>
      <c r="I18" s="647"/>
      <c r="J18" s="647"/>
    </row>
    <row r="19" spans="1:12" ht="19.5" customHeight="1">
      <c r="A19" s="631" t="s">
        <v>517</v>
      </c>
      <c r="B19" s="631"/>
      <c r="C19" s="351"/>
      <c r="D19" s="351"/>
      <c r="E19" s="351"/>
      <c r="F19" s="336">
        <f>Dados!$N$7</f>
        <v>41.93</v>
      </c>
      <c r="G19" s="336">
        <f t="shared" ref="G19:G24" si="0">F19</f>
        <v>41.93</v>
      </c>
      <c r="H19" s="336"/>
      <c r="I19" s="336"/>
      <c r="J19" s="337"/>
    </row>
    <row r="20" spans="1:12" ht="19.5" customHeight="1">
      <c r="A20" s="631" t="s">
        <v>518</v>
      </c>
      <c r="B20" s="631"/>
      <c r="C20" s="351"/>
      <c r="D20" s="351"/>
      <c r="E20" s="351"/>
      <c r="F20" s="336">
        <f>Dados!$G$29</f>
        <v>7.2</v>
      </c>
      <c r="G20" s="336">
        <f t="shared" si="0"/>
        <v>7.2</v>
      </c>
      <c r="H20" s="336"/>
      <c r="I20" s="336"/>
      <c r="J20" s="337"/>
    </row>
    <row r="21" spans="1:12" ht="23.25" customHeight="1">
      <c r="A21" s="644" t="s">
        <v>221</v>
      </c>
      <c r="B21" s="644"/>
      <c r="C21" s="351"/>
      <c r="D21" s="351"/>
      <c r="E21" s="351"/>
      <c r="F21" s="336">
        <f>Dados!G30</f>
        <v>0</v>
      </c>
      <c r="G21" s="336">
        <f t="shared" si="0"/>
        <v>0</v>
      </c>
      <c r="H21" s="336"/>
      <c r="I21" s="336"/>
      <c r="J21" s="337"/>
    </row>
    <row r="22" spans="1:12" ht="19.5" customHeight="1">
      <c r="A22" s="631" t="s">
        <v>222</v>
      </c>
      <c r="B22" s="631"/>
      <c r="C22" s="352">
        <f>Dados!$G$33</f>
        <v>22</v>
      </c>
      <c r="D22" s="352">
        <f>Dados!$G$32</f>
        <v>2</v>
      </c>
      <c r="E22" s="351">
        <f>Dados!$G$31</f>
        <v>3.65</v>
      </c>
      <c r="F22" s="336">
        <f>IF(ROUND((E22*D22*C22)-(F11*Dados!$G$34),2)&lt;0,0,ROUND((E22*D22*C22)-(F11*Dados!$G$34),2))</f>
        <v>77.319999999999993</v>
      </c>
      <c r="G22" s="336">
        <f t="shared" si="0"/>
        <v>77.319999999999993</v>
      </c>
      <c r="H22" s="336"/>
      <c r="I22" s="336">
        <f>F22</f>
        <v>77.319999999999993</v>
      </c>
      <c r="J22" s="337"/>
    </row>
    <row r="23" spans="1:12" ht="19.5" customHeight="1">
      <c r="A23" s="631" t="s">
        <v>230</v>
      </c>
      <c r="B23" s="631"/>
      <c r="C23" s="352">
        <f>Dados!$G$36</f>
        <v>22</v>
      </c>
      <c r="D23" s="353">
        <f>Dados!$G$37</f>
        <v>0.2</v>
      </c>
      <c r="E23" s="351">
        <f>Dados!$G$35</f>
        <v>27</v>
      </c>
      <c r="F23" s="258">
        <f>ROUND((IF(D11&gt;150,((C23*E23)-(C23*(D23*E23))),0)),2)</f>
        <v>475.2</v>
      </c>
      <c r="G23" s="336">
        <f t="shared" si="0"/>
        <v>475.2</v>
      </c>
      <c r="H23" s="336">
        <f>$F$23</f>
        <v>475.2</v>
      </c>
      <c r="I23" s="258"/>
      <c r="J23" s="337"/>
    </row>
    <row r="24" spans="1:12" ht="19.5" customHeight="1">
      <c r="A24" s="631" t="s">
        <v>181</v>
      </c>
      <c r="B24" s="631"/>
      <c r="C24" s="352"/>
      <c r="D24" s="352"/>
      <c r="E24" s="351"/>
      <c r="F24" s="258">
        <f>Dados!Q7</f>
        <v>4.17</v>
      </c>
      <c r="G24" s="336">
        <f t="shared" si="0"/>
        <v>4.17</v>
      </c>
      <c r="H24" s="336"/>
      <c r="I24" s="258"/>
      <c r="J24" s="337"/>
    </row>
    <row r="25" spans="1:12" ht="19.5" customHeight="1">
      <c r="A25" s="631" t="s">
        <v>233</v>
      </c>
      <c r="B25" s="631"/>
      <c r="C25" s="352"/>
      <c r="D25" s="352"/>
      <c r="E25" s="351"/>
      <c r="F25" s="258">
        <f>Dados!$G$39</f>
        <v>0</v>
      </c>
      <c r="G25" s="336"/>
      <c r="H25" s="336"/>
      <c r="I25" s="258"/>
      <c r="J25" s="337"/>
    </row>
    <row r="26" spans="1:12" ht="19.5" customHeight="1">
      <c r="A26" s="631" t="s">
        <v>519</v>
      </c>
      <c r="B26" s="631"/>
      <c r="C26" s="352"/>
      <c r="D26" s="351"/>
      <c r="E26" s="351"/>
      <c r="F26" s="336">
        <f>Dados!$O$7</f>
        <v>1136.3900000000001</v>
      </c>
      <c r="G26" s="336"/>
      <c r="H26" s="336"/>
      <c r="I26" s="336"/>
      <c r="J26" s="337"/>
      <c r="L26" s="58"/>
    </row>
    <row r="27" spans="1:12" ht="19.5" customHeight="1">
      <c r="A27" s="350" t="s">
        <v>520</v>
      </c>
      <c r="B27" s="354"/>
      <c r="C27" s="352"/>
      <c r="D27" s="351"/>
      <c r="E27" s="351"/>
      <c r="F27" s="336"/>
      <c r="G27" s="336"/>
      <c r="H27" s="336"/>
      <c r="I27" s="336"/>
      <c r="J27" s="337"/>
    </row>
    <row r="28" spans="1:12" ht="19.5" customHeight="1">
      <c r="A28" s="643" t="s">
        <v>521</v>
      </c>
      <c r="B28" s="643"/>
      <c r="C28" s="355"/>
      <c r="D28" s="356"/>
      <c r="E28" s="356"/>
      <c r="F28" s="342">
        <f>Dados!$R$7</f>
        <v>0</v>
      </c>
      <c r="G28" s="342">
        <f>F28</f>
        <v>0</v>
      </c>
      <c r="H28" s="342"/>
      <c r="I28" s="342"/>
      <c r="J28" s="343"/>
    </row>
    <row r="29" spans="1:12" ht="19.5" customHeight="1">
      <c r="A29" s="638" t="s">
        <v>522</v>
      </c>
      <c r="B29" s="638"/>
      <c r="C29" s="638"/>
      <c r="D29" s="638"/>
      <c r="E29" s="638"/>
      <c r="F29" s="347">
        <f>SUM(F19:F28)</f>
        <v>1742.21</v>
      </c>
      <c r="G29" s="347">
        <f>SUM(G19:G28)</f>
        <v>605.81999999999994</v>
      </c>
      <c r="H29" s="347">
        <f>SUM(H19:H28)</f>
        <v>475.2</v>
      </c>
      <c r="I29" s="347">
        <f>SUM(I19:I28)</f>
        <v>77.319999999999993</v>
      </c>
      <c r="J29" s="348">
        <f>SUM(J19:J28)</f>
        <v>0</v>
      </c>
    </row>
    <row r="30" spans="1:12" ht="19.5" customHeight="1">
      <c r="A30" s="638" t="s">
        <v>523</v>
      </c>
      <c r="B30" s="638"/>
      <c r="C30" s="638"/>
      <c r="D30" s="638"/>
      <c r="E30" s="638"/>
      <c r="F30" s="347">
        <f>F16+F29</f>
        <v>5186.9500000000007</v>
      </c>
      <c r="G30" s="347">
        <f>G16+G29</f>
        <v>4050.5600000000004</v>
      </c>
      <c r="H30" s="347">
        <f>H16+H29</f>
        <v>475.2</v>
      </c>
      <c r="I30" s="347">
        <f>I16+I29</f>
        <v>77.319999999999993</v>
      </c>
      <c r="J30" s="348">
        <f>J16+J29</f>
        <v>996.31000000000006</v>
      </c>
    </row>
    <row r="31" spans="1:12" ht="19.5" customHeight="1">
      <c r="A31" s="639" t="s">
        <v>524</v>
      </c>
      <c r="B31" s="639"/>
      <c r="C31" s="639"/>
      <c r="D31" s="639"/>
      <c r="E31" s="639"/>
      <c r="F31" s="639"/>
      <c r="G31" s="639"/>
      <c r="H31" s="639"/>
      <c r="I31" s="639"/>
      <c r="J31" s="639"/>
    </row>
    <row r="32" spans="1:12" ht="19.5" customHeight="1">
      <c r="A32" s="640" t="s">
        <v>525</v>
      </c>
      <c r="B32" s="640"/>
      <c r="C32" s="640"/>
      <c r="D32" s="81" t="s">
        <v>526</v>
      </c>
      <c r="E32" s="641" t="s">
        <v>447</v>
      </c>
      <c r="F32" s="641"/>
      <c r="G32" s="641"/>
      <c r="H32" s="641"/>
      <c r="I32" s="641"/>
      <c r="J32" s="641"/>
    </row>
    <row r="33" spans="1:12" ht="19.5" customHeight="1">
      <c r="A33" s="357" t="s">
        <v>527</v>
      </c>
      <c r="B33" s="358"/>
      <c r="C33" s="358"/>
      <c r="D33" s="338">
        <f>Dados!$G$42</f>
        <v>0.03</v>
      </c>
      <c r="E33" s="359"/>
      <c r="F33" s="336">
        <f>ROUND((F30*$D$33),2)</f>
        <v>155.61000000000001</v>
      </c>
      <c r="G33" s="336">
        <f>ROUND((G30*$D$33),2)</f>
        <v>121.52</v>
      </c>
      <c r="H33" s="336">
        <f>ROUND((H30*$D$33),2)</f>
        <v>14.26</v>
      </c>
      <c r="I33" s="336">
        <f>ROUND((I30*$D$33),2)</f>
        <v>2.3199999999999998</v>
      </c>
      <c r="J33" s="337">
        <f>ROUND((J30*$D$33),2)</f>
        <v>29.89</v>
      </c>
    </row>
    <row r="34" spans="1:12" ht="19.5" customHeight="1">
      <c r="A34" s="642" t="s">
        <v>528</v>
      </c>
      <c r="B34" s="642"/>
      <c r="C34" s="642"/>
      <c r="D34" s="338"/>
      <c r="E34" s="359"/>
      <c r="F34" s="336">
        <f>F30+F33</f>
        <v>5342.56</v>
      </c>
      <c r="G34" s="336">
        <f>G30+G33</f>
        <v>4172.0800000000008</v>
      </c>
      <c r="H34" s="336">
        <f>H30+H33</f>
        <v>489.46</v>
      </c>
      <c r="I34" s="336">
        <f>I30+I33</f>
        <v>79.639999999999986</v>
      </c>
      <c r="J34" s="337">
        <f>J30+J33</f>
        <v>1026.2</v>
      </c>
    </row>
    <row r="35" spans="1:12" ht="19.5" customHeight="1">
      <c r="A35" s="360" t="s">
        <v>238</v>
      </c>
      <c r="B35" s="361"/>
      <c r="C35" s="361"/>
      <c r="D35" s="362">
        <f>Dados!$G$43</f>
        <v>6.7900000000000002E-2</v>
      </c>
      <c r="E35" s="363"/>
      <c r="F35" s="342">
        <f>ROUND((F34*$D$35),2)</f>
        <v>362.76</v>
      </c>
      <c r="G35" s="342">
        <f>ROUND((G34*$D$35),2)</f>
        <v>283.27999999999997</v>
      </c>
      <c r="H35" s="342">
        <f>ROUND((H34*$D$35),2)</f>
        <v>33.229999999999997</v>
      </c>
      <c r="I35" s="342">
        <f>ROUND((I34*$D$35),2)</f>
        <v>5.41</v>
      </c>
      <c r="J35" s="343">
        <f>ROUND((J34*$D$35),2)</f>
        <v>69.680000000000007</v>
      </c>
    </row>
    <row r="36" spans="1:12" ht="19.5" customHeight="1">
      <c r="A36" s="364" t="s">
        <v>529</v>
      </c>
      <c r="B36" s="365"/>
      <c r="C36" s="365"/>
      <c r="D36" s="366">
        <f>SUM(D33:D35)</f>
        <v>9.7900000000000001E-2</v>
      </c>
      <c r="E36" s="367"/>
      <c r="F36" s="347">
        <f>F33+F35</f>
        <v>518.37</v>
      </c>
      <c r="G36" s="347">
        <f>G33+G35</f>
        <v>404.79999999999995</v>
      </c>
      <c r="H36" s="347">
        <f>H33+H35</f>
        <v>47.489999999999995</v>
      </c>
      <c r="I36" s="347">
        <f>I33+I35</f>
        <v>7.73</v>
      </c>
      <c r="J36" s="348">
        <f>J33+J35</f>
        <v>99.570000000000007</v>
      </c>
    </row>
    <row r="37" spans="1:12" ht="19.5" customHeight="1">
      <c r="A37" s="636" t="s">
        <v>530</v>
      </c>
      <c r="B37" s="636"/>
      <c r="C37" s="636"/>
      <c r="D37" s="636"/>
      <c r="E37" s="636"/>
      <c r="F37" s="368">
        <f>F30+F36</f>
        <v>5705.3200000000006</v>
      </c>
      <c r="G37" s="368">
        <f>G30+G36</f>
        <v>4455.3600000000006</v>
      </c>
      <c r="H37" s="368">
        <f>H30+H36</f>
        <v>522.68999999999994</v>
      </c>
      <c r="I37" s="368">
        <f>I30+I36</f>
        <v>85.05</v>
      </c>
      <c r="J37" s="369">
        <f>J30+J36</f>
        <v>1095.8800000000001</v>
      </c>
    </row>
    <row r="38" spans="1:12" ht="19.5" customHeight="1">
      <c r="A38" s="637" t="s">
        <v>531</v>
      </c>
      <c r="B38" s="637"/>
      <c r="C38" s="637"/>
      <c r="D38" s="637"/>
      <c r="E38" s="637"/>
      <c r="F38" s="637"/>
      <c r="G38" s="637"/>
      <c r="H38" s="637"/>
      <c r="I38" s="637"/>
      <c r="J38" s="637"/>
    </row>
    <row r="39" spans="1:12" ht="19.5" customHeight="1">
      <c r="A39" s="631" t="s">
        <v>244</v>
      </c>
      <c r="B39" s="631"/>
      <c r="C39" s="631"/>
      <c r="D39" s="338">
        <f>Dados!G50</f>
        <v>7.5999999999999998E-2</v>
      </c>
      <c r="E39" s="336"/>
      <c r="F39" s="336">
        <f>ROUND(($F$45*D39),2)</f>
        <v>494.14</v>
      </c>
      <c r="G39" s="336">
        <f>ROUND((G45*$D$39),2)</f>
        <v>385.88</v>
      </c>
      <c r="H39" s="336">
        <f>ROUND((H45*$D$39),2)</f>
        <v>45.27</v>
      </c>
      <c r="I39" s="336">
        <f>ROUND((I45*$D$39),2)</f>
        <v>7.37</v>
      </c>
      <c r="J39" s="337">
        <f>ROUND((J45*$D$39),2)</f>
        <v>94.91</v>
      </c>
    </row>
    <row r="40" spans="1:12" ht="19.5" customHeight="1">
      <c r="A40" s="631" t="s">
        <v>246</v>
      </c>
      <c r="B40" s="631"/>
      <c r="C40" s="631"/>
      <c r="D40" s="338">
        <f>Dados!G51</f>
        <v>1.6500000000000001E-2</v>
      </c>
      <c r="E40" s="336"/>
      <c r="F40" s="336">
        <f>ROUND((F45*$D$40),2)</f>
        <v>107.28</v>
      </c>
      <c r="G40" s="336">
        <f>ROUND((G45*$D$40),2)</f>
        <v>83.78</v>
      </c>
      <c r="H40" s="336">
        <f>ROUND((H45*$D$40),2)</f>
        <v>9.83</v>
      </c>
      <c r="I40" s="336">
        <f>ROUND((I45*$D$40),2)</f>
        <v>1.6</v>
      </c>
      <c r="J40" s="337">
        <f>ROUND((J45*$D$40),2)</f>
        <v>20.61</v>
      </c>
    </row>
    <row r="41" spans="1:12" ht="19.5" customHeight="1">
      <c r="A41" s="631" t="str">
        <f>Dados!B52</f>
        <v>ISSQN - Limpeza e Conservação</v>
      </c>
      <c r="B41" s="631"/>
      <c r="C41" s="631"/>
      <c r="D41" s="338">
        <f>Dados!G52</f>
        <v>0.03</v>
      </c>
      <c r="E41" s="336"/>
      <c r="F41" s="336">
        <f>ROUND((F45*$D$41),2)</f>
        <v>195.05</v>
      </c>
      <c r="G41" s="336">
        <f>ROUND((G45*$D$41),2)</f>
        <v>152.32</v>
      </c>
      <c r="H41" s="336">
        <f>ROUND((H45*$D$41),2)</f>
        <v>17.87</v>
      </c>
      <c r="I41" s="336">
        <f>ROUND((I45*$D$41),2)</f>
        <v>2.91</v>
      </c>
      <c r="J41" s="337">
        <f>ROUND((J45*$D$41),2)</f>
        <v>37.47</v>
      </c>
    </row>
    <row r="42" spans="1:12" ht="19.5" customHeight="1">
      <c r="A42" s="631" t="str">
        <f>Dados!B53</f>
        <v>ISSQN - Administrativo</v>
      </c>
      <c r="B42" s="631"/>
      <c r="C42" s="631"/>
      <c r="D42" s="338">
        <v>0</v>
      </c>
      <c r="E42" s="336"/>
      <c r="F42" s="336">
        <f>ROUND((F45*$D$42),2)</f>
        <v>0</v>
      </c>
      <c r="G42" s="336">
        <f>ROUND((G45*$D$42),2)</f>
        <v>0</v>
      </c>
      <c r="H42" s="336">
        <f>ROUND((H45*$D$42),2)</f>
        <v>0</v>
      </c>
      <c r="I42" s="336">
        <f>ROUND((I45*$D$42),2)</f>
        <v>0</v>
      </c>
      <c r="J42" s="337">
        <f>ROUND((J45*$D$42),2)</f>
        <v>0</v>
      </c>
    </row>
    <row r="43" spans="1:12" ht="19.5" customHeight="1">
      <c r="A43" s="632" t="s">
        <v>532</v>
      </c>
      <c r="B43" s="632"/>
      <c r="C43" s="632"/>
      <c r="D43" s="370">
        <f>SUM(D39:D42)</f>
        <v>0.1225</v>
      </c>
      <c r="E43" s="371"/>
      <c r="F43" s="372">
        <f>SUM(F39:F42)</f>
        <v>796.47</v>
      </c>
      <c r="G43" s="372">
        <f>SUM(G39:G42)</f>
        <v>621.98</v>
      </c>
      <c r="H43" s="372">
        <f>SUM(H39:H42)</f>
        <v>72.97</v>
      </c>
      <c r="I43" s="372">
        <f>SUM(I39:I42)</f>
        <v>11.88</v>
      </c>
      <c r="J43" s="373">
        <f>SUM(J39:J41)</f>
        <v>152.99</v>
      </c>
    </row>
    <row r="44" spans="1:12" ht="19.5" customHeight="1">
      <c r="A44" s="633" t="str">
        <f>CONCATENATE("Custo Mensal - ",A7)</f>
        <v>Custo Mensal - Servente de Limpeza 40% Insalubridade</v>
      </c>
      <c r="B44" s="633"/>
      <c r="C44" s="633"/>
      <c r="D44" s="633"/>
      <c r="E44" s="633"/>
      <c r="F44" s="374">
        <f>ROUND(F37/(1-D43),2)</f>
        <v>6501.79</v>
      </c>
      <c r="G44" s="374">
        <f>ROUND(G37/(1-D43),2)</f>
        <v>5077.33</v>
      </c>
      <c r="H44" s="374">
        <f>ROUND(H37/(1-D43),2)</f>
        <v>595.66</v>
      </c>
      <c r="I44" s="374">
        <f>ROUND(I37/(1-D43),2)</f>
        <v>96.92</v>
      </c>
      <c r="J44" s="375">
        <f>ROUND(J37/(1-D43),2)</f>
        <v>1248.8699999999999</v>
      </c>
    </row>
    <row r="45" spans="1:12" ht="19.5" customHeight="1">
      <c r="A45" s="634" t="str">
        <f>CONCATENATE("Valor do Custo Mensal - ",A7)</f>
        <v>Valor do Custo Mensal - Servente de Limpeza 40% Insalubridade</v>
      </c>
      <c r="B45" s="634"/>
      <c r="C45" s="634"/>
      <c r="D45" s="634"/>
      <c r="E45" s="634"/>
      <c r="F45" s="374">
        <f>F44</f>
        <v>6501.79</v>
      </c>
      <c r="G45" s="374">
        <f>G44</f>
        <v>5077.33</v>
      </c>
      <c r="H45" s="374">
        <f>H44</f>
        <v>595.66</v>
      </c>
      <c r="I45" s="374">
        <f>I44</f>
        <v>96.92</v>
      </c>
      <c r="J45" s="375">
        <f>J44</f>
        <v>1248.8699999999999</v>
      </c>
      <c r="K45" s="376"/>
      <c r="L45" s="376"/>
    </row>
    <row r="46" spans="1:12" ht="27.75" customHeight="1">
      <c r="A46" s="635" t="s">
        <v>533</v>
      </c>
      <c r="B46" s="635"/>
      <c r="C46" s="635"/>
      <c r="D46" s="635"/>
      <c r="E46" s="635"/>
      <c r="F46" s="377">
        <f>(F45/F14)</f>
        <v>3.3294705038918471</v>
      </c>
      <c r="G46" s="377">
        <f>(G45/G14)</f>
        <v>2.6000256042605487</v>
      </c>
      <c r="H46" s="630" t="s">
        <v>534</v>
      </c>
      <c r="I46" s="630"/>
      <c r="J46" s="378">
        <f>ROUND((J45/30),2)</f>
        <v>41.63</v>
      </c>
    </row>
    <row r="47" spans="1:12" ht="19.5" customHeight="1"/>
  </sheetData>
  <sheetProtection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496" right="0.51180555555555496" top="0.78749999999999998" bottom="0.78749999999999998" header="0.51180555555555496" footer="0.51180555555555496"/>
  <pageSetup paperSize="9" firstPageNumber="0" fitToHeight="2"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14</vt:i4>
      </vt:variant>
    </vt:vector>
  </HeadingPairs>
  <TitlesOfParts>
    <vt:vector size="29" baseType="lpstr">
      <vt:lpstr>Ocorrências Mensais - FAT</vt:lpstr>
      <vt:lpstr>INSTRUÇÕES</vt:lpstr>
      <vt:lpstr>Dados</vt:lpstr>
      <vt:lpstr>Encargos</vt:lpstr>
      <vt:lpstr>Materiais</vt:lpstr>
      <vt:lpstr>EPI</vt:lpstr>
      <vt:lpstr>Equip</vt:lpstr>
      <vt:lpstr>Uniforme</vt:lpstr>
      <vt:lpstr>Servente Insalubre</vt:lpstr>
      <vt:lpstr>Servente acúmulo função Copeira</vt:lpstr>
      <vt:lpstr>Auxiliar Administrativo</vt:lpstr>
      <vt:lpstr>Custo Estimado Substituto</vt:lpstr>
      <vt:lpstr>Resumo</vt:lpstr>
      <vt:lpstr>Estimativa_ADM</vt:lpstr>
      <vt:lpstr>IPCA</vt:lpstr>
      <vt:lpstr>'Auxiliar Administrativo'!Area_de_impressao</vt:lpstr>
      <vt:lpstr>Dados!Area_de_impressao</vt:lpstr>
      <vt:lpstr>Encargos!Area_de_impressao</vt:lpstr>
      <vt:lpstr>Materiais!Area_de_impressao</vt:lpstr>
      <vt:lpstr>'Servente acúmulo função Copeira'!Area_de_impressao</vt:lpstr>
      <vt:lpstr>'Servente Insalubre'!Area_de_impressao</vt:lpstr>
      <vt:lpstr>Uniforme!Area_de_impressao</vt:lpstr>
      <vt:lpstr>'Auxiliar Administrativo'!Print_Area_0</vt:lpstr>
      <vt:lpstr>Dados!Print_Area_0</vt:lpstr>
      <vt:lpstr>Encargos!Print_Area_0</vt:lpstr>
      <vt:lpstr>Materiais!Print_Area_0</vt:lpstr>
      <vt:lpstr>'Servente acúmulo função Copeira'!Print_Area_0</vt:lpstr>
      <vt:lpstr>'Servente Insalubre'!Print_Area_0</vt:lpstr>
      <vt:lpstr>Uniforme!Print_Area_0</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Lucas Gouveia dos Santos</dc:creator>
  <cp:lastModifiedBy>Rita Bruno</cp:lastModifiedBy>
  <cp:revision>35</cp:revision>
  <dcterms:created xsi:type="dcterms:W3CDTF">2015-06-05T18:17:20Z</dcterms:created>
  <dcterms:modified xsi:type="dcterms:W3CDTF">2024-12-09T13:53:09Z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ProgId">
    <vt:lpwstr>Excel.Sheet</vt:lpwstr>
  </property>
  <property fmtid="{D5CDD505-2E9C-101B-9397-08002B2CF9AE}" pid="7" name="ScaleCrop">
    <vt:bool>false</vt:bool>
  </property>
  <property fmtid="{D5CDD505-2E9C-101B-9397-08002B2CF9AE}" pid="8" name="ShareDoc">
    <vt:bool>false</vt:bool>
  </property>
</Properties>
</file>