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3256" windowHeight="14616" tabRatio="930" firstSheet="1" activeTab="1"/>
  </bookViews>
  <sheets>
    <sheet name="Ocorrências Mensais - FAT" sheetId="1" state="hidden" r:id="rId1"/>
    <sheet name="INSTRUÇÕES" sheetId="2" r:id="rId2"/>
    <sheet name="Dados" sheetId="3" r:id="rId3"/>
    <sheet name="Encargos" sheetId="4" r:id="rId4"/>
    <sheet name="EPI" sheetId="17" r:id="rId5"/>
    <sheet name="Materiais" sheetId="5" r:id="rId6"/>
    <sheet name="Uniformes" sheetId="7" r:id="rId7"/>
    <sheet name="Servente Ins" sheetId="9" r:id="rId8"/>
    <sheet name="Servente" sheetId="10" r:id="rId9"/>
    <sheet name="Servente acúmulo Copeira" sheetId="11" r:id="rId10"/>
    <sheet name="Zelador" sheetId="12" r:id="rId11"/>
    <sheet name="Assistente Adm 150" sheetId="18" r:id="rId12"/>
    <sheet name="Custo Estimado Substituto" sheetId="15" r:id="rId13"/>
    <sheet name="Resumo" sheetId="14" r:id="rId14"/>
    <sheet name="IPCA" sheetId="16" state="hidden" r:id="rId15"/>
  </sheets>
  <definedNames>
    <definedName name="_xlnm._FilterDatabase" localSheetId="5" hidden="1">Materiais!$A$1:$H$50</definedName>
    <definedName name="_xlnm.Print_Area" localSheetId="11">'Assistente Adm 150'!$A$1:$J$46</definedName>
    <definedName name="_xlnm.Print_Area" localSheetId="12">'Custo Estimado Substituto'!$A$1:$J$33</definedName>
    <definedName name="_xlnm.Print_Area" localSheetId="2">Dados!$A$1:$T$56</definedName>
    <definedName name="_xlnm.Print_Area" localSheetId="3">Encargos!$A$1:$H$59</definedName>
    <definedName name="_xlnm.Print_Area" localSheetId="5">Materiais!$A$1:$L$52</definedName>
    <definedName name="_xlnm.Print_Area" localSheetId="8">Servente!$A$1:$J$46</definedName>
    <definedName name="_xlnm.Print_Area" localSheetId="9">'Servente acúmulo Copeira'!$A$1:$J$46</definedName>
    <definedName name="_xlnm.Print_Area" localSheetId="7">'Servente Ins'!$A$1:$J$46</definedName>
    <definedName name="_xlnm.Print_Area" localSheetId="6">Uniformes!$A$1:$H$33</definedName>
    <definedName name="_xlnm.Print_Area" localSheetId="10">Zelador!$A$1:$J$46</definedName>
    <definedName name="BS">NA()</definedName>
    <definedName name="BT">NA()</definedName>
    <definedName name="CIDADE">NA()</definedName>
    <definedName name="CIDADES">NA()</definedName>
    <definedName name="CPMF">NA()</definedName>
    <definedName name="d">NA()</definedName>
    <definedName name="ENCARGOS">NA()</definedName>
    <definedName name="Excel_BuiltIn_Print_Area_1_1">"$#REF!.$A$2:$C$99"</definedName>
    <definedName name="Excel_BuiltIn_Print_Area_6_1">NA()</definedName>
    <definedName name="Excel_BuiltIn_Print_Area_7_1">NA()</definedName>
    <definedName name="Excel_BuiltIn_Print_Area_8_1">NA()</definedName>
    <definedName name="Excel_BuiltIn_Print_Area_9_1">NA()</definedName>
    <definedName name="ISS">NA()</definedName>
    <definedName name="Jornada">NA()</definedName>
    <definedName name="Print_Area_0" localSheetId="11">'Assistente Adm 150'!$A$1:$J$46</definedName>
    <definedName name="Print_Area_0" localSheetId="2">Dados!$A$1:$T$56</definedName>
    <definedName name="Print_Area_0" localSheetId="3">Encargos!$A$1:$H$59</definedName>
    <definedName name="Print_Area_0" localSheetId="5">Materiais!$A$1:$L$52</definedName>
    <definedName name="Print_Area_0" localSheetId="8">Servente!$A$1:$J$46</definedName>
    <definedName name="Print_Area_0" localSheetId="9">'Servente acúmulo Copeira'!$A$1:$J$46</definedName>
    <definedName name="Print_Area_0" localSheetId="7">'Servente Ins'!$A$1:$J$46</definedName>
    <definedName name="Print_Area_0" localSheetId="6">Uniformes!$A$1:$H$33</definedName>
    <definedName name="Print_Area_0" localSheetId="10">Zelador!$A$1:$J$46</definedName>
    <definedName name="TERRIT">NA()</definedName>
    <definedName name="Tipo_de_Joranda_de_Trabalho">NA()</definedName>
    <definedName name="TP_SERV">NA()</definedName>
    <definedName name="TP_SERVPERC">NA()</definedName>
    <definedName name="VRSELEC">NA()</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4" i="4"/>
  <c r="H57" i="5" l="1"/>
  <c r="K19" l="1"/>
  <c r="E11" i="18"/>
  <c r="A7"/>
  <c r="A45" s="1"/>
  <c r="N28" i="1"/>
  <c r="O28" s="1"/>
  <c r="N29"/>
  <c r="O29" s="1"/>
  <c r="N30"/>
  <c r="O30" s="1"/>
  <c r="N31"/>
  <c r="O31" s="1"/>
  <c r="N32"/>
  <c r="O32" s="1"/>
  <c r="N33"/>
  <c r="O33" s="1"/>
  <c r="N34"/>
  <c r="O34" s="1"/>
  <c r="N35"/>
  <c r="O35" s="1"/>
  <c r="N36"/>
  <c r="O36" s="1"/>
  <c r="N37"/>
  <c r="O37" s="1"/>
  <c r="N38"/>
  <c r="O38" s="1"/>
  <c r="N39"/>
  <c r="O39" s="1"/>
  <c r="N40"/>
  <c r="O40" s="1"/>
  <c r="N41"/>
  <c r="O41" s="1"/>
  <c r="N42"/>
  <c r="O42" s="1"/>
  <c r="N43"/>
  <c r="O43" s="1"/>
  <c r="N44"/>
  <c r="O44" s="1"/>
  <c r="N45"/>
  <c r="O45" s="1"/>
  <c r="N46"/>
  <c r="O46" s="1"/>
  <c r="N47"/>
  <c r="O47" s="1"/>
  <c r="N48"/>
  <c r="O48" s="1"/>
  <c r="N49"/>
  <c r="O49" s="1"/>
  <c r="N50"/>
  <c r="O50" s="1"/>
  <c r="N51"/>
  <c r="O51" s="1"/>
  <c r="N52"/>
  <c r="O52" s="1"/>
  <c r="N53"/>
  <c r="O53" s="1"/>
  <c r="N54"/>
  <c r="O54" s="1"/>
  <c r="N55"/>
  <c r="O55" s="1"/>
  <c r="N56"/>
  <c r="O56" s="1"/>
  <c r="N57"/>
  <c r="O57" s="1"/>
  <c r="N58"/>
  <c r="O58" s="1"/>
  <c r="N59"/>
  <c r="O59" s="1"/>
  <c r="N60"/>
  <c r="O60" s="1"/>
  <c r="N61"/>
  <c r="O61" s="1"/>
  <c r="N62"/>
  <c r="O62" s="1"/>
  <c r="N63"/>
  <c r="O63" s="1"/>
  <c r="N64"/>
  <c r="O64" s="1"/>
  <c r="N65"/>
  <c r="O65" s="1"/>
  <c r="N66"/>
  <c r="O66" s="1"/>
  <c r="N67"/>
  <c r="O67" s="1"/>
  <c r="N68"/>
  <c r="O68" s="1"/>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A31" i="7"/>
  <c r="A24"/>
  <c r="K23"/>
  <c r="L23" s="1"/>
  <c r="M23" s="1"/>
  <c r="N23" s="1"/>
  <c r="O23" s="1"/>
  <c r="A18"/>
  <c r="F17" s="1"/>
  <c r="A12"/>
  <c r="F11" s="1"/>
  <c r="H11" s="1"/>
  <c r="P14" i="1"/>
  <c r="K13"/>
  <c r="E23" i="18"/>
  <c r="F11" i="3"/>
  <c r="M11" s="1"/>
  <c r="J7" i="15" s="1"/>
  <c r="C15" i="1"/>
  <c r="C14"/>
  <c r="E12" i="18"/>
  <c r="Q16" i="14"/>
  <c r="N16"/>
  <c r="D16"/>
  <c r="C16"/>
  <c r="B16"/>
  <c r="R15" i="1"/>
  <c r="K15"/>
  <c r="K16" i="14" s="1"/>
  <c r="F15" i="1"/>
  <c r="H16" i="14" s="1"/>
  <c r="B15" i="1"/>
  <c r="A15"/>
  <c r="J5" i="15"/>
  <c r="D11" i="18"/>
  <c r="F23" s="1"/>
  <c r="J13" i="15" s="1"/>
  <c r="D42" i="18"/>
  <c r="D41"/>
  <c r="D40"/>
  <c r="D39"/>
  <c r="D35"/>
  <c r="D33"/>
  <c r="J29"/>
  <c r="F25"/>
  <c r="F24"/>
  <c r="D23"/>
  <c r="E22"/>
  <c r="D22"/>
  <c r="C22"/>
  <c r="F21"/>
  <c r="G21" s="1"/>
  <c r="F20"/>
  <c r="G20" s="1"/>
  <c r="I14"/>
  <c r="I16" s="1"/>
  <c r="H14"/>
  <c r="H16" s="1"/>
  <c r="D12"/>
  <c r="B3"/>
  <c r="B2"/>
  <c r="B1"/>
  <c r="D12" i="9"/>
  <c r="F9" i="7" l="1"/>
  <c r="L36" i="1"/>
  <c r="G36" s="1"/>
  <c r="H36" s="1"/>
  <c r="L44"/>
  <c r="G44" s="1"/>
  <c r="H44" s="1"/>
  <c r="L28"/>
  <c r="G28" s="1"/>
  <c r="J10" i="5" s="1"/>
  <c r="K10" s="1"/>
  <c r="L68" i="1"/>
  <c r="G68" s="1"/>
  <c r="H68" s="1"/>
  <c r="L60"/>
  <c r="G60" s="1"/>
  <c r="J42" i="5" s="1"/>
  <c r="K42" s="1"/>
  <c r="L54" i="1"/>
  <c r="G54" s="1"/>
  <c r="L46"/>
  <c r="G46" s="1"/>
  <c r="H46" s="1"/>
  <c r="L38"/>
  <c r="G38" s="1"/>
  <c r="J20" i="5" s="1"/>
  <c r="K20" s="1"/>
  <c r="L30" i="1"/>
  <c r="G30" s="1"/>
  <c r="H30" s="1"/>
  <c r="L61"/>
  <c r="G61" s="1"/>
  <c r="J43" i="5" s="1"/>
  <c r="K43" s="1"/>
  <c r="L53" i="1"/>
  <c r="G53" s="1"/>
  <c r="L45"/>
  <c r="G45" s="1"/>
  <c r="J27" i="5" s="1"/>
  <c r="K27" s="1"/>
  <c r="L37" i="1"/>
  <c r="G37" s="1"/>
  <c r="H37" s="1"/>
  <c r="L29"/>
  <c r="G29" s="1"/>
  <c r="H29" s="1"/>
  <c r="L52"/>
  <c r="G52" s="1"/>
  <c r="H52" s="1"/>
  <c r="L62"/>
  <c r="G62" s="1"/>
  <c r="H62" s="1"/>
  <c r="L55"/>
  <c r="L47"/>
  <c r="G47" s="1"/>
  <c r="H47" s="1"/>
  <c r="L39"/>
  <c r="L31"/>
  <c r="L63"/>
  <c r="L67"/>
  <c r="G67" s="1"/>
  <c r="H67" s="1"/>
  <c r="L35"/>
  <c r="L51"/>
  <c r="G51" s="1"/>
  <c r="H51" s="1"/>
  <c r="L65"/>
  <c r="L59"/>
  <c r="L43"/>
  <c r="G43" s="1"/>
  <c r="H43" s="1"/>
  <c r="L66"/>
  <c r="L58"/>
  <c r="L50"/>
  <c r="G50" s="1"/>
  <c r="J32" i="5" s="1"/>
  <c r="K32" s="1"/>
  <c r="L42" i="1"/>
  <c r="L34"/>
  <c r="L57"/>
  <c r="L49"/>
  <c r="L41"/>
  <c r="L33"/>
  <c r="L64"/>
  <c r="L56"/>
  <c r="L48"/>
  <c r="L40"/>
  <c r="G40" s="1"/>
  <c r="H40" s="1"/>
  <c r="L32"/>
  <c r="F16" i="7"/>
  <c r="D43" i="18"/>
  <c r="F13"/>
  <c r="G13" s="1"/>
  <c r="D36"/>
  <c r="F11"/>
  <c r="G11" s="1"/>
  <c r="A44"/>
  <c r="B11"/>
  <c r="F12"/>
  <c r="G12" s="1"/>
  <c r="J12" l="1"/>
  <c r="J14" s="1"/>
  <c r="H61" i="1"/>
  <c r="J34" i="5"/>
  <c r="K34" s="1"/>
  <c r="J28"/>
  <c r="K28" s="1"/>
  <c r="J26"/>
  <c r="K26" s="1"/>
  <c r="H38" i="1"/>
  <c r="J18" i="5"/>
  <c r="K18" s="1"/>
  <c r="H28" i="1"/>
  <c r="H60"/>
  <c r="J50" i="5"/>
  <c r="K50" s="1"/>
  <c r="I68" i="1"/>
  <c r="J35" i="5"/>
  <c r="K35" s="1"/>
  <c r="H53" i="1"/>
  <c r="J25" i="5"/>
  <c r="K25" s="1"/>
  <c r="H45" i="1"/>
  <c r="J44" i="5"/>
  <c r="K44" s="1"/>
  <c r="H54" i="1"/>
  <c r="J36" i="5"/>
  <c r="K36" s="1"/>
  <c r="J29"/>
  <c r="K29" s="1"/>
  <c r="I67" i="1"/>
  <c r="H50"/>
  <c r="J49" i="5"/>
  <c r="K49" s="1"/>
  <c r="J11"/>
  <c r="K11" s="1"/>
  <c r="J22"/>
  <c r="K22" s="1"/>
  <c r="F22" i="18"/>
  <c r="G22" s="1"/>
  <c r="G59" i="1"/>
  <c r="H59" s="1"/>
  <c r="G32"/>
  <c r="H32" s="1"/>
  <c r="G65"/>
  <c r="I65" s="1"/>
  <c r="G63"/>
  <c r="J45" i="5" s="1"/>
  <c r="K45" s="1"/>
  <c r="J12"/>
  <c r="K12" s="1"/>
  <c r="J33"/>
  <c r="K33" s="1"/>
  <c r="G33" i="1"/>
  <c r="H33" s="1"/>
  <c r="G66"/>
  <c r="J48" i="5" s="1"/>
  <c r="K48" s="1"/>
  <c r="G41" i="1"/>
  <c r="J23" i="5" s="1"/>
  <c r="K23" s="1"/>
  <c r="G49" i="1"/>
  <c r="J31" i="5" s="1"/>
  <c r="K31" s="1"/>
  <c r="G48" i="1"/>
  <c r="H48" s="1"/>
  <c r="G39"/>
  <c r="H39" s="1"/>
  <c r="G57"/>
  <c r="J39" i="5" s="1"/>
  <c r="K39" s="1"/>
  <c r="G34" i="1"/>
  <c r="H34" s="1"/>
  <c r="G31"/>
  <c r="H31" s="1"/>
  <c r="G42"/>
  <c r="J24" i="5" s="1"/>
  <c r="K24" s="1"/>
  <c r="G35" i="1"/>
  <c r="H35" s="1"/>
  <c r="G56"/>
  <c r="H56" s="1"/>
  <c r="G64"/>
  <c r="G58"/>
  <c r="H58" s="1"/>
  <c r="G55"/>
  <c r="J37" i="5" s="1"/>
  <c r="K37" s="1"/>
  <c r="F14" i="18"/>
  <c r="G14"/>
  <c r="G23"/>
  <c r="H23"/>
  <c r="H29" s="1"/>
  <c r="H30" s="1"/>
  <c r="J15" i="5" l="1"/>
  <c r="K15" s="1"/>
  <c r="H41" i="1"/>
  <c r="H57"/>
  <c r="I22" i="18"/>
  <c r="I29" s="1"/>
  <c r="I30" s="1"/>
  <c r="I33" s="1"/>
  <c r="I34" s="1"/>
  <c r="I35" s="1"/>
  <c r="I36" s="1"/>
  <c r="I37" s="1"/>
  <c r="I44" s="1"/>
  <c r="I45" s="1"/>
  <c r="J16" i="5"/>
  <c r="K16" s="1"/>
  <c r="J17"/>
  <c r="K17" s="1"/>
  <c r="J14" i="15"/>
  <c r="J16" s="1"/>
  <c r="J30" s="1"/>
  <c r="J47" i="5"/>
  <c r="K47" s="1"/>
  <c r="H55" i="1"/>
  <c r="J41" i="5"/>
  <c r="K41" s="1"/>
  <c r="H42" i="1"/>
  <c r="J21" i="5"/>
  <c r="K21" s="1"/>
  <c r="H63" i="1"/>
  <c r="I64"/>
  <c r="J46" i="5"/>
  <c r="K46" s="1"/>
  <c r="H64" i="1"/>
  <c r="J13" i="5"/>
  <c r="K13" s="1"/>
  <c r="J30"/>
  <c r="K30" s="1"/>
  <c r="H65" i="1"/>
  <c r="H66"/>
  <c r="H49"/>
  <c r="J38" i="5"/>
  <c r="K38" s="1"/>
  <c r="J14"/>
  <c r="K14" s="1"/>
  <c r="J40"/>
  <c r="K40" s="1"/>
  <c r="I66" i="1"/>
  <c r="H33" i="18"/>
  <c r="H34" s="1"/>
  <c r="H35" s="1"/>
  <c r="N27" i="1"/>
  <c r="M27"/>
  <c r="L10" i="5"/>
  <c r="L11"/>
  <c r="L12"/>
  <c r="L13"/>
  <c r="L14"/>
  <c r="L15"/>
  <c r="L16"/>
  <c r="L17"/>
  <c r="L18"/>
  <c r="L19"/>
  <c r="L20"/>
  <c r="L21"/>
  <c r="L22"/>
  <c r="L23"/>
  <c r="L24"/>
  <c r="L25"/>
  <c r="L26"/>
  <c r="L27"/>
  <c r="L28"/>
  <c r="L29"/>
  <c r="L30"/>
  <c r="L31"/>
  <c r="L32"/>
  <c r="L33"/>
  <c r="L34"/>
  <c r="L35"/>
  <c r="L36"/>
  <c r="L37"/>
  <c r="L38"/>
  <c r="L39"/>
  <c r="L40"/>
  <c r="L41"/>
  <c r="L42"/>
  <c r="L43"/>
  <c r="L44"/>
  <c r="L45"/>
  <c r="L46"/>
  <c r="L47"/>
  <c r="L48"/>
  <c r="L9"/>
  <c r="F27" i="1"/>
  <c r="E27"/>
  <c r="B27"/>
  <c r="E12" i="17"/>
  <c r="F12" s="1"/>
  <c r="F13" s="1"/>
  <c r="E9"/>
  <c r="F9" s="1"/>
  <c r="B3"/>
  <c r="B2"/>
  <c r="B1"/>
  <c r="AG22" i="16"/>
  <c r="AH22" s="1"/>
  <c r="AE22"/>
  <c r="Z22"/>
  <c r="AA22" s="1"/>
  <c r="X22"/>
  <c r="S22"/>
  <c r="T22" s="1"/>
  <c r="Q22"/>
  <c r="L22"/>
  <c r="M22" s="1"/>
  <c r="J22"/>
  <c r="I22"/>
  <c r="P22" s="1"/>
  <c r="W22" s="1"/>
  <c r="AD22" s="1"/>
  <c r="F22"/>
  <c r="AH21"/>
  <c r="AE21"/>
  <c r="AA21"/>
  <c r="X21"/>
  <c r="T21"/>
  <c r="Q21"/>
  <c r="M21"/>
  <c r="J21"/>
  <c r="I21"/>
  <c r="P21" s="1"/>
  <c r="W21" s="1"/>
  <c r="AD21" s="1"/>
  <c r="F21"/>
  <c r="AH20"/>
  <c r="AE20"/>
  <c r="AA20"/>
  <c r="X20"/>
  <c r="T20"/>
  <c r="Q20"/>
  <c r="M20"/>
  <c r="J20"/>
  <c r="I20"/>
  <c r="P20" s="1"/>
  <c r="W20" s="1"/>
  <c r="AD20" s="1"/>
  <c r="F20"/>
  <c r="AH19"/>
  <c r="AE19"/>
  <c r="AA19"/>
  <c r="X19"/>
  <c r="T19"/>
  <c r="Q19"/>
  <c r="M19"/>
  <c r="J19"/>
  <c r="I19"/>
  <c r="P19" s="1"/>
  <c r="W19" s="1"/>
  <c r="AD19" s="1"/>
  <c r="F19"/>
  <c r="AH18"/>
  <c r="AE18"/>
  <c r="AA18"/>
  <c r="X18"/>
  <c r="T18"/>
  <c r="Q18"/>
  <c r="M18"/>
  <c r="J18"/>
  <c r="I18"/>
  <c r="P18" s="1"/>
  <c r="W18" s="1"/>
  <c r="AD18" s="1"/>
  <c r="F18"/>
  <c r="AH17"/>
  <c r="AE17"/>
  <c r="AA17"/>
  <c r="X17"/>
  <c r="T17"/>
  <c r="Q17"/>
  <c r="M17"/>
  <c r="J17"/>
  <c r="I17"/>
  <c r="P17" s="1"/>
  <c r="W17" s="1"/>
  <c r="AD17" s="1"/>
  <c r="F17"/>
  <c r="AH16"/>
  <c r="AE16"/>
  <c r="AA16"/>
  <c r="X16"/>
  <c r="T16"/>
  <c r="Q16"/>
  <c r="M16"/>
  <c r="J16"/>
  <c r="I16"/>
  <c r="P16" s="1"/>
  <c r="W16" s="1"/>
  <c r="AD16" s="1"/>
  <c r="F16"/>
  <c r="AH15"/>
  <c r="AE15"/>
  <c r="AA15"/>
  <c r="X15"/>
  <c r="T15"/>
  <c r="Q15"/>
  <c r="M15"/>
  <c r="J15"/>
  <c r="I15"/>
  <c r="P15" s="1"/>
  <c r="W15" s="1"/>
  <c r="AD15" s="1"/>
  <c r="F15"/>
  <c r="AH14"/>
  <c r="AE14"/>
  <c r="AA14"/>
  <c r="X14"/>
  <c r="T14"/>
  <c r="Q14"/>
  <c r="M14"/>
  <c r="J14"/>
  <c r="I14"/>
  <c r="P14" s="1"/>
  <c r="W14" s="1"/>
  <c r="AD14" s="1"/>
  <c r="F14"/>
  <c r="AH13"/>
  <c r="AE13"/>
  <c r="AA13"/>
  <c r="X13"/>
  <c r="T13"/>
  <c r="Q13"/>
  <c r="M13"/>
  <c r="J13"/>
  <c r="I13"/>
  <c r="P13" s="1"/>
  <c r="W13" s="1"/>
  <c r="AD13" s="1"/>
  <c r="F13"/>
  <c r="AH12"/>
  <c r="AE12"/>
  <c r="AA12"/>
  <c r="X12"/>
  <c r="T12"/>
  <c r="Q12"/>
  <c r="M12"/>
  <c r="J12"/>
  <c r="I12"/>
  <c r="P12" s="1"/>
  <c r="W12" s="1"/>
  <c r="AD12" s="1"/>
  <c r="F12"/>
  <c r="AH11"/>
  <c r="AE11"/>
  <c r="AA11"/>
  <c r="X11"/>
  <c r="T11"/>
  <c r="Q11"/>
  <c r="M11"/>
  <c r="J11"/>
  <c r="I11"/>
  <c r="P11" s="1"/>
  <c r="W11" s="1"/>
  <c r="AD11" s="1"/>
  <c r="F11"/>
  <c r="AG10"/>
  <c r="AH10" s="1"/>
  <c r="AI10" s="1"/>
  <c r="AE10"/>
  <c r="Z10"/>
  <c r="AA10" s="1"/>
  <c r="AB10" s="1"/>
  <c r="X10"/>
  <c r="S10"/>
  <c r="T10" s="1"/>
  <c r="U10" s="1"/>
  <c r="Q10"/>
  <c r="L10"/>
  <c r="M10" s="1"/>
  <c r="N10" s="1"/>
  <c r="J10"/>
  <c r="I10"/>
  <c r="P10" s="1"/>
  <c r="W10" s="1"/>
  <c r="AD10" s="1"/>
  <c r="F10"/>
  <c r="G10" s="1"/>
  <c r="E24" i="15"/>
  <c r="B24"/>
  <c r="E23"/>
  <c r="E21"/>
  <c r="E19"/>
  <c r="E18"/>
  <c r="I5"/>
  <c r="H5"/>
  <c r="G5"/>
  <c r="F5"/>
  <c r="B3"/>
  <c r="B2"/>
  <c r="B1"/>
  <c r="Q15" i="14"/>
  <c r="N15"/>
  <c r="D15"/>
  <c r="C15"/>
  <c r="B15"/>
  <c r="Q14"/>
  <c r="N14"/>
  <c r="D14"/>
  <c r="C14"/>
  <c r="B14"/>
  <c r="A7" i="11" s="1"/>
  <c r="U13" i="14"/>
  <c r="U17" s="1"/>
  <c r="Q13"/>
  <c r="N13"/>
  <c r="D13"/>
  <c r="C13"/>
  <c r="B13"/>
  <c r="Q12"/>
  <c r="N12"/>
  <c r="D12"/>
  <c r="C12"/>
  <c r="B12"/>
  <c r="B3"/>
  <c r="A5" s="1"/>
  <c r="B2"/>
  <c r="B1"/>
  <c r="D42" i="12"/>
  <c r="D41"/>
  <c r="D40"/>
  <c r="D39"/>
  <c r="D35"/>
  <c r="D33"/>
  <c r="J29"/>
  <c r="F25"/>
  <c r="E23"/>
  <c r="D23"/>
  <c r="E22"/>
  <c r="D22"/>
  <c r="C22"/>
  <c r="F21"/>
  <c r="G21" s="1"/>
  <c r="F20"/>
  <c r="G20" s="1"/>
  <c r="I14"/>
  <c r="I16" s="1"/>
  <c r="H14"/>
  <c r="H16" s="1"/>
  <c r="D13"/>
  <c r="C13"/>
  <c r="E12"/>
  <c r="D12"/>
  <c r="E11"/>
  <c r="D11"/>
  <c r="A7"/>
  <c r="A45" s="1"/>
  <c r="B3"/>
  <c r="B2"/>
  <c r="B1"/>
  <c r="D42" i="11"/>
  <c r="D41"/>
  <c r="D40"/>
  <c r="D39"/>
  <c r="D35"/>
  <c r="D33"/>
  <c r="J29"/>
  <c r="F25"/>
  <c r="E23"/>
  <c r="D23"/>
  <c r="E22"/>
  <c r="D22"/>
  <c r="C22"/>
  <c r="F21"/>
  <c r="G21" s="1"/>
  <c r="F20"/>
  <c r="G20" s="1"/>
  <c r="I14"/>
  <c r="I16" s="1"/>
  <c r="H14"/>
  <c r="H16" s="1"/>
  <c r="D13"/>
  <c r="C13"/>
  <c r="E12"/>
  <c r="D12"/>
  <c r="E11"/>
  <c r="D11"/>
  <c r="B3"/>
  <c r="B2"/>
  <c r="B1"/>
  <c r="D42" i="10"/>
  <c r="D41"/>
  <c r="D40"/>
  <c r="D39"/>
  <c r="D35"/>
  <c r="D33"/>
  <c r="J29"/>
  <c r="F25"/>
  <c r="E23"/>
  <c r="D23"/>
  <c r="E22"/>
  <c r="D22"/>
  <c r="C22"/>
  <c r="F21"/>
  <c r="G21" s="1"/>
  <c r="F20"/>
  <c r="G20" s="1"/>
  <c r="I14"/>
  <c r="I16" s="1"/>
  <c r="H14"/>
  <c r="H16" s="1"/>
  <c r="E13"/>
  <c r="D13"/>
  <c r="C13"/>
  <c r="E12"/>
  <c r="D12"/>
  <c r="E11"/>
  <c r="D11"/>
  <c r="A7"/>
  <c r="A44" s="1"/>
  <c r="B3"/>
  <c r="B2"/>
  <c r="B1"/>
  <c r="D42" i="9"/>
  <c r="D41"/>
  <c r="D40"/>
  <c r="D39"/>
  <c r="D35"/>
  <c r="D33"/>
  <c r="J29"/>
  <c r="F24"/>
  <c r="E23"/>
  <c r="D23"/>
  <c r="E22"/>
  <c r="D22"/>
  <c r="C22"/>
  <c r="F21"/>
  <c r="G21" s="1"/>
  <c r="F20"/>
  <c r="G20" s="1"/>
  <c r="I14"/>
  <c r="I16" s="1"/>
  <c r="H14"/>
  <c r="H16" s="1"/>
  <c r="D13"/>
  <c r="C13"/>
  <c r="E12"/>
  <c r="E11"/>
  <c r="D11"/>
  <c r="A7"/>
  <c r="A45" s="1"/>
  <c r="B3"/>
  <c r="B2"/>
  <c r="B1"/>
  <c r="K31" i="7"/>
  <c r="L31" s="1"/>
  <c r="M31" s="1"/>
  <c r="N31" s="1"/>
  <c r="O31" s="1"/>
  <c r="F29"/>
  <c r="H29" s="1"/>
  <c r="K30"/>
  <c r="L30" s="1"/>
  <c r="M30" s="1"/>
  <c r="N30" s="1"/>
  <c r="O30" s="1"/>
  <c r="K29"/>
  <c r="L29" s="1"/>
  <c r="M29" s="1"/>
  <c r="N29" s="1"/>
  <c r="O29" s="1"/>
  <c r="K24"/>
  <c r="L24" s="1"/>
  <c r="M24" s="1"/>
  <c r="N24" s="1"/>
  <c r="O24" s="1"/>
  <c r="F23"/>
  <c r="H23" s="1"/>
  <c r="K22"/>
  <c r="L22" s="1"/>
  <c r="M22" s="1"/>
  <c r="N22" s="1"/>
  <c r="O22" s="1"/>
  <c r="K16"/>
  <c r="L16" s="1"/>
  <c r="M16" s="1"/>
  <c r="N16" s="1"/>
  <c r="O16" s="1"/>
  <c r="K10"/>
  <c r="L10" s="1"/>
  <c r="M10" s="1"/>
  <c r="N10" s="1"/>
  <c r="O10" s="1"/>
  <c r="K9"/>
  <c r="L9" s="1"/>
  <c r="M9" s="1"/>
  <c r="N9" s="1"/>
  <c r="O9" s="1"/>
  <c r="B3"/>
  <c r="B2"/>
  <c r="B1"/>
  <c r="O48" i="5"/>
  <c r="P48" s="1"/>
  <c r="Q48" s="1"/>
  <c r="R48" s="1"/>
  <c r="S48" s="1"/>
  <c r="O47"/>
  <c r="P47" s="1"/>
  <c r="Q47" s="1"/>
  <c r="R47" s="1"/>
  <c r="S47" s="1"/>
  <c r="O46"/>
  <c r="P46" s="1"/>
  <c r="Q46" s="1"/>
  <c r="R46" s="1"/>
  <c r="S46" s="1"/>
  <c r="O45"/>
  <c r="P45" s="1"/>
  <c r="Q45" s="1"/>
  <c r="R45" s="1"/>
  <c r="S45" s="1"/>
  <c r="O44"/>
  <c r="P44" s="1"/>
  <c r="Q44" s="1"/>
  <c r="R44" s="1"/>
  <c r="S44" s="1"/>
  <c r="O43"/>
  <c r="P43" s="1"/>
  <c r="Q43" s="1"/>
  <c r="R43" s="1"/>
  <c r="S43" s="1"/>
  <c r="O42"/>
  <c r="P42" s="1"/>
  <c r="Q42" s="1"/>
  <c r="R42" s="1"/>
  <c r="S42" s="1"/>
  <c r="O41"/>
  <c r="P41" s="1"/>
  <c r="Q41" s="1"/>
  <c r="R41" s="1"/>
  <c r="S41" s="1"/>
  <c r="O40"/>
  <c r="P40" s="1"/>
  <c r="Q40" s="1"/>
  <c r="R40" s="1"/>
  <c r="S40" s="1"/>
  <c r="O39"/>
  <c r="P39" s="1"/>
  <c r="Q39" s="1"/>
  <c r="R39" s="1"/>
  <c r="S39" s="1"/>
  <c r="O38"/>
  <c r="P38" s="1"/>
  <c r="Q38" s="1"/>
  <c r="R38" s="1"/>
  <c r="S38" s="1"/>
  <c r="O37"/>
  <c r="P37" s="1"/>
  <c r="Q37" s="1"/>
  <c r="R37" s="1"/>
  <c r="S37" s="1"/>
  <c r="O36"/>
  <c r="P36" s="1"/>
  <c r="Q36" s="1"/>
  <c r="R36" s="1"/>
  <c r="S36" s="1"/>
  <c r="O35"/>
  <c r="P35" s="1"/>
  <c r="Q35" s="1"/>
  <c r="R35" s="1"/>
  <c r="S35" s="1"/>
  <c r="O34"/>
  <c r="P34" s="1"/>
  <c r="Q34" s="1"/>
  <c r="R34" s="1"/>
  <c r="S34" s="1"/>
  <c r="O33"/>
  <c r="P33" s="1"/>
  <c r="Q33" s="1"/>
  <c r="R33" s="1"/>
  <c r="S33" s="1"/>
  <c r="O32"/>
  <c r="P32" s="1"/>
  <c r="Q32" s="1"/>
  <c r="R32" s="1"/>
  <c r="S32" s="1"/>
  <c r="O31"/>
  <c r="P31" s="1"/>
  <c r="Q31" s="1"/>
  <c r="R31" s="1"/>
  <c r="S31" s="1"/>
  <c r="O30"/>
  <c r="P30" s="1"/>
  <c r="Q30" s="1"/>
  <c r="R30" s="1"/>
  <c r="S30" s="1"/>
  <c r="O29"/>
  <c r="P29" s="1"/>
  <c r="Q29" s="1"/>
  <c r="R29" s="1"/>
  <c r="S29" s="1"/>
  <c r="O28"/>
  <c r="P28" s="1"/>
  <c r="Q28" s="1"/>
  <c r="R28" s="1"/>
  <c r="S28" s="1"/>
  <c r="O27"/>
  <c r="P27" s="1"/>
  <c r="Q27" s="1"/>
  <c r="R27" s="1"/>
  <c r="S27" s="1"/>
  <c r="O26"/>
  <c r="P26" s="1"/>
  <c r="Q26" s="1"/>
  <c r="R26" s="1"/>
  <c r="S26" s="1"/>
  <c r="O25"/>
  <c r="P25" s="1"/>
  <c r="Q25" s="1"/>
  <c r="R25" s="1"/>
  <c r="S25" s="1"/>
  <c r="O24"/>
  <c r="P24" s="1"/>
  <c r="Q24" s="1"/>
  <c r="R24" s="1"/>
  <c r="S24" s="1"/>
  <c r="O23"/>
  <c r="P23" s="1"/>
  <c r="Q23" s="1"/>
  <c r="R23" s="1"/>
  <c r="S23" s="1"/>
  <c r="O22"/>
  <c r="P22" s="1"/>
  <c r="Q22" s="1"/>
  <c r="R22" s="1"/>
  <c r="S22" s="1"/>
  <c r="O21"/>
  <c r="P21" s="1"/>
  <c r="Q21" s="1"/>
  <c r="R21" s="1"/>
  <c r="S21" s="1"/>
  <c r="O20"/>
  <c r="P20" s="1"/>
  <c r="Q20" s="1"/>
  <c r="R20" s="1"/>
  <c r="S20" s="1"/>
  <c r="O19"/>
  <c r="P19" s="1"/>
  <c r="Q19" s="1"/>
  <c r="R19" s="1"/>
  <c r="S19" s="1"/>
  <c r="O18"/>
  <c r="P18" s="1"/>
  <c r="Q18" s="1"/>
  <c r="R18" s="1"/>
  <c r="S18" s="1"/>
  <c r="O17"/>
  <c r="P17" s="1"/>
  <c r="Q17" s="1"/>
  <c r="R17" s="1"/>
  <c r="S17" s="1"/>
  <c r="O15"/>
  <c r="P15" s="1"/>
  <c r="Q15" s="1"/>
  <c r="R15" s="1"/>
  <c r="S15" s="1"/>
  <c r="O14"/>
  <c r="P14" s="1"/>
  <c r="Q14" s="1"/>
  <c r="R14" s="1"/>
  <c r="S14" s="1"/>
  <c r="O13"/>
  <c r="P13" s="1"/>
  <c r="Q13" s="1"/>
  <c r="R13" s="1"/>
  <c r="S13" s="1"/>
  <c r="O12"/>
  <c r="P12" s="1"/>
  <c r="Q12" s="1"/>
  <c r="R12" s="1"/>
  <c r="S12" s="1"/>
  <c r="O11"/>
  <c r="P11" s="1"/>
  <c r="Q11" s="1"/>
  <c r="R11" s="1"/>
  <c r="S11" s="1"/>
  <c r="O10"/>
  <c r="P10" s="1"/>
  <c r="Q10" s="1"/>
  <c r="R10" s="1"/>
  <c r="S10" s="1"/>
  <c r="O9"/>
  <c r="P9" s="1"/>
  <c r="Q9" s="1"/>
  <c r="R9" s="1"/>
  <c r="S9" s="1"/>
  <c r="B3"/>
  <c r="B2"/>
  <c r="B1"/>
  <c r="C48" i="4"/>
  <c r="C49" s="1"/>
  <c r="C56" s="1"/>
  <c r="C43"/>
  <c r="C42"/>
  <c r="C41"/>
  <c r="C39"/>
  <c r="E8" i="15" s="1"/>
  <c r="J8" s="1"/>
  <c r="C36" i="4"/>
  <c r="C33"/>
  <c r="H56" s="1"/>
  <c r="C31"/>
  <c r="C32" s="1"/>
  <c r="C27"/>
  <c r="C21"/>
  <c r="C22" s="1"/>
  <c r="F53" s="1"/>
  <c r="B3"/>
  <c r="B2"/>
  <c r="B1"/>
  <c r="F74" i="3"/>
  <c r="G74" s="1"/>
  <c r="H74" s="1"/>
  <c r="I74" s="1"/>
  <c r="J74" s="1"/>
  <c r="G56"/>
  <c r="B48"/>
  <c r="G38"/>
  <c r="C23" i="18" s="1"/>
  <c r="G23" i="3"/>
  <c r="C16" i="4" s="1"/>
  <c r="C18" s="1"/>
  <c r="H49" s="1"/>
  <c r="F10" i="3"/>
  <c r="F9"/>
  <c r="K9" s="1"/>
  <c r="F8"/>
  <c r="M8" s="1"/>
  <c r="H7"/>
  <c r="F7"/>
  <c r="Q6"/>
  <c r="P6"/>
  <c r="A4"/>
  <c r="A6" i="18" s="1"/>
  <c r="B3" i="3"/>
  <c r="B2"/>
  <c r="B1"/>
  <c r="G71" i="1"/>
  <c r="G70"/>
  <c r="F20"/>
  <c r="S14"/>
  <c r="K14"/>
  <c r="K15" i="14" s="1"/>
  <c r="F14" i="1"/>
  <c r="H15" i="14" s="1"/>
  <c r="B14" i="1"/>
  <c r="A14"/>
  <c r="P13"/>
  <c r="K14" i="14"/>
  <c r="F13" i="1"/>
  <c r="H14" i="14" s="1"/>
  <c r="C13" i="1"/>
  <c r="B13"/>
  <c r="A13"/>
  <c r="K12"/>
  <c r="K13" i="14" s="1"/>
  <c r="F12" i="1"/>
  <c r="H13" i="14" s="1"/>
  <c r="C12" i="1"/>
  <c r="B12"/>
  <c r="A12"/>
  <c r="P11"/>
  <c r="K11"/>
  <c r="K12" i="14" s="1"/>
  <c r="F11" i="1"/>
  <c r="H12" i="14" s="1"/>
  <c r="C11" i="1"/>
  <c r="B11"/>
  <c r="A11"/>
  <c r="F5"/>
  <c r="E5"/>
  <c r="B3"/>
  <c r="B2"/>
  <c r="B1"/>
  <c r="N11" i="16" l="1"/>
  <c r="N12" s="1"/>
  <c r="N13" s="1"/>
  <c r="N14" s="1"/>
  <c r="N15" s="1"/>
  <c r="N16" s="1"/>
  <c r="N17" s="1"/>
  <c r="N18" s="1"/>
  <c r="N19" s="1"/>
  <c r="N20" s="1"/>
  <c r="N21" s="1"/>
  <c r="N22" s="1"/>
  <c r="N23" s="1"/>
  <c r="D62" i="3" s="1"/>
  <c r="N62" s="1"/>
  <c r="V15" i="1"/>
  <c r="W15"/>
  <c r="G16" i="14"/>
  <c r="I16" s="1"/>
  <c r="D17"/>
  <c r="I42" i="18"/>
  <c r="I40"/>
  <c r="I41"/>
  <c r="I39"/>
  <c r="H36"/>
  <c r="H37" s="1"/>
  <c r="H44" s="1"/>
  <c r="H45" s="1"/>
  <c r="P16" i="14" s="1"/>
  <c r="R16" s="1"/>
  <c r="F22" i="7"/>
  <c r="H22" s="1"/>
  <c r="F10"/>
  <c r="H10" s="1"/>
  <c r="H16"/>
  <c r="H17"/>
  <c r="AI11" i="16"/>
  <c r="AI12" s="1"/>
  <c r="AI13" s="1"/>
  <c r="AI14" s="1"/>
  <c r="AI15" s="1"/>
  <c r="AI16" s="1"/>
  <c r="AI17" s="1"/>
  <c r="AI18" s="1"/>
  <c r="AI19" s="1"/>
  <c r="AI20" s="1"/>
  <c r="AI21" s="1"/>
  <c r="AI22" s="1"/>
  <c r="AI23" s="1"/>
  <c r="D65" i="3" s="1"/>
  <c r="N65" s="1"/>
  <c r="F12" i="11"/>
  <c r="J12" s="1"/>
  <c r="J14" s="1"/>
  <c r="R10" i="3"/>
  <c r="F24" i="12" s="1"/>
  <c r="G24" s="1"/>
  <c r="F10" i="17"/>
  <c r="V14" i="1"/>
  <c r="G72"/>
  <c r="M7" i="3"/>
  <c r="F7" i="15" s="1"/>
  <c r="AB11" i="16"/>
  <c r="AB12" s="1"/>
  <c r="AB13" s="1"/>
  <c r="AB14" s="1"/>
  <c r="AB15" s="1"/>
  <c r="AB16" s="1"/>
  <c r="AB17" s="1"/>
  <c r="AB18" s="1"/>
  <c r="AB19" s="1"/>
  <c r="AB20" s="1"/>
  <c r="AB21" s="1"/>
  <c r="AB22" s="1"/>
  <c r="AB23" s="1"/>
  <c r="D64" i="3" s="1"/>
  <c r="N64" s="1"/>
  <c r="D43" i="10"/>
  <c r="F11" i="11"/>
  <c r="G11" s="1"/>
  <c r="E20" i="15"/>
  <c r="D36" i="11"/>
  <c r="H9" i="7"/>
  <c r="F12" i="10"/>
  <c r="J12" s="1"/>
  <c r="J14" s="1"/>
  <c r="F11"/>
  <c r="G11" s="1"/>
  <c r="Q17" i="14"/>
  <c r="D36" i="9"/>
  <c r="D36" i="10"/>
  <c r="A45"/>
  <c r="B11"/>
  <c r="A44" i="9"/>
  <c r="C35" i="4"/>
  <c r="C37" s="1"/>
  <c r="C54" s="1"/>
  <c r="N17" i="14"/>
  <c r="H50" i="4"/>
  <c r="D43" i="11"/>
  <c r="B11" i="12"/>
  <c r="B11" i="9"/>
  <c r="F11" i="12"/>
  <c r="G11" s="1"/>
  <c r="F24" i="7"/>
  <c r="H24" s="1"/>
  <c r="F11" i="9"/>
  <c r="G11" s="1"/>
  <c r="A44" i="12"/>
  <c r="U11" i="16"/>
  <c r="U12" s="1"/>
  <c r="U13" s="1"/>
  <c r="U14" s="1"/>
  <c r="U15" s="1"/>
  <c r="U16" s="1"/>
  <c r="U17" s="1"/>
  <c r="U18" s="1"/>
  <c r="U19" s="1"/>
  <c r="U20" s="1"/>
  <c r="U21" s="1"/>
  <c r="U22" s="1"/>
  <c r="U23" s="1"/>
  <c r="D63" i="3" s="1"/>
  <c r="N63" s="1"/>
  <c r="D43" i="9"/>
  <c r="F12"/>
  <c r="J12" s="1"/>
  <c r="J14" s="1"/>
  <c r="D36" i="12"/>
  <c r="G11" i="16"/>
  <c r="G12" s="1"/>
  <c r="G13" s="1"/>
  <c r="G14" s="1"/>
  <c r="G15" s="1"/>
  <c r="G16" s="1"/>
  <c r="G17" s="1"/>
  <c r="G18" s="1"/>
  <c r="G19" s="1"/>
  <c r="G20" s="1"/>
  <c r="G21" s="1"/>
  <c r="G22" s="1"/>
  <c r="G23" s="1"/>
  <c r="D61" i="3" s="1"/>
  <c r="N61" s="1"/>
  <c r="G53" i="4"/>
  <c r="H53"/>
  <c r="G7" i="15"/>
  <c r="C23" i="12"/>
  <c r="F23" s="1"/>
  <c r="C23" i="10"/>
  <c r="F23" s="1"/>
  <c r="C23" i="9"/>
  <c r="F23" s="1"/>
  <c r="V13" i="1"/>
  <c r="K17" i="14"/>
  <c r="A6"/>
  <c r="A6" i="11"/>
  <c r="A6" i="12"/>
  <c r="A6" i="10"/>
  <c r="A6" i="9"/>
  <c r="C51" i="4"/>
  <c r="C28"/>
  <c r="C29" s="1"/>
  <c r="C53" s="1"/>
  <c r="H17" i="14"/>
  <c r="W14" i="1"/>
  <c r="D43" i="12"/>
  <c r="C23" i="4"/>
  <c r="F51"/>
  <c r="W13" i="1"/>
  <c r="F28" i="12"/>
  <c r="G28" s="1"/>
  <c r="C23" i="11"/>
  <c r="F23" s="1"/>
  <c r="E13" i="9"/>
  <c r="F13" s="1"/>
  <c r="G13" s="1"/>
  <c r="M10" i="3"/>
  <c r="E13" i="12"/>
  <c r="F13" s="1"/>
  <c r="G13" s="1"/>
  <c r="F12"/>
  <c r="E9" i="15"/>
  <c r="C44" i="4"/>
  <c r="F52"/>
  <c r="F31" i="7"/>
  <c r="H31" s="1"/>
  <c r="F30"/>
  <c r="H30" s="1"/>
  <c r="A44" i="11"/>
  <c r="A45"/>
  <c r="B11"/>
  <c r="F13" i="10"/>
  <c r="G13" s="1"/>
  <c r="H32" i="7" l="1"/>
  <c r="H33" s="1"/>
  <c r="R9" i="3"/>
  <c r="F24" i="11" s="1"/>
  <c r="G24" s="1"/>
  <c r="R8" i="3"/>
  <c r="F24" i="10" s="1"/>
  <c r="G24" s="1"/>
  <c r="R7" i="3"/>
  <c r="F25" i="9" s="1"/>
  <c r="G25" s="1"/>
  <c r="L9" i="3"/>
  <c r="M9" s="1"/>
  <c r="H7" i="15" s="1"/>
  <c r="H8" s="1"/>
  <c r="E13" i="11"/>
  <c r="F13" s="1"/>
  <c r="G13" s="1"/>
  <c r="G12" i="9"/>
  <c r="G14" s="1"/>
  <c r="G12" i="10"/>
  <c r="G14" s="1"/>
  <c r="J9" i="15"/>
  <c r="J10" s="1"/>
  <c r="J11" s="1"/>
  <c r="J29" s="1"/>
  <c r="J31" s="1"/>
  <c r="H41" i="18"/>
  <c r="H39"/>
  <c r="H42"/>
  <c r="H40"/>
  <c r="I43"/>
  <c r="G12" i="11"/>
  <c r="F22"/>
  <c r="H14" i="15" s="1"/>
  <c r="H12" i="7"/>
  <c r="H13" s="1"/>
  <c r="F14" i="9"/>
  <c r="F14" i="10"/>
  <c r="F22"/>
  <c r="G14" i="15" s="1"/>
  <c r="H25" i="7"/>
  <c r="H26" s="1"/>
  <c r="N10" i="3" s="1"/>
  <c r="F22" i="12"/>
  <c r="F22" i="9"/>
  <c r="F14" i="12"/>
  <c r="H13" i="15"/>
  <c r="H23" i="11"/>
  <c r="H29" s="1"/>
  <c r="H30" s="1"/>
  <c r="G23"/>
  <c r="F8" i="15"/>
  <c r="F9"/>
  <c r="G23" i="9"/>
  <c r="F13" i="15"/>
  <c r="H23" i="9"/>
  <c r="H29" s="1"/>
  <c r="H30" s="1"/>
  <c r="C45" i="4"/>
  <c r="C46" s="1"/>
  <c r="C55" s="1"/>
  <c r="E10" i="15"/>
  <c r="I13"/>
  <c r="G23" i="12"/>
  <c r="H23"/>
  <c r="H29" s="1"/>
  <c r="H30" s="1"/>
  <c r="G8" i="15"/>
  <c r="G9"/>
  <c r="J12" i="12"/>
  <c r="J14" s="1"/>
  <c r="G12"/>
  <c r="G14" s="1"/>
  <c r="H52" i="4"/>
  <c r="G52"/>
  <c r="I7" i="15"/>
  <c r="F28" i="9"/>
  <c r="G28" s="1"/>
  <c r="F28" i="10"/>
  <c r="G28" s="1"/>
  <c r="F54" i="4"/>
  <c r="G51"/>
  <c r="H51"/>
  <c r="G23" i="10"/>
  <c r="G13" i="15"/>
  <c r="H23" i="10"/>
  <c r="H29" s="1"/>
  <c r="H30" s="1"/>
  <c r="H18" i="7"/>
  <c r="C24" i="4"/>
  <c r="C25" s="1"/>
  <c r="C52" s="1"/>
  <c r="H9" i="15" l="1"/>
  <c r="H10" s="1"/>
  <c r="H11" s="1"/>
  <c r="H29" s="1"/>
  <c r="F14" i="11"/>
  <c r="G14"/>
  <c r="M12" i="3"/>
  <c r="H19" i="7"/>
  <c r="G22" i="11"/>
  <c r="I22"/>
  <c r="I29" s="1"/>
  <c r="I30" s="1"/>
  <c r="I33" s="1"/>
  <c r="J18" i="15"/>
  <c r="H43" i="18"/>
  <c r="F26" i="12"/>
  <c r="N8" i="3"/>
  <c r="F19" i="10" s="1"/>
  <c r="N7" i="3"/>
  <c r="F19" i="9" s="1"/>
  <c r="G54" i="4"/>
  <c r="G55" s="1"/>
  <c r="G57" s="1"/>
  <c r="G59" s="1"/>
  <c r="I22" i="10"/>
  <c r="I29" s="1"/>
  <c r="I30" s="1"/>
  <c r="I33" s="1"/>
  <c r="G22"/>
  <c r="G16" i="15"/>
  <c r="G30" s="1"/>
  <c r="C57" i="4"/>
  <c r="F19" i="12"/>
  <c r="F10" i="15"/>
  <c r="F11" s="1"/>
  <c r="F29" s="1"/>
  <c r="N11" i="3"/>
  <c r="F19" i="18" s="1"/>
  <c r="I22" i="12"/>
  <c r="I29" s="1"/>
  <c r="I30" s="1"/>
  <c r="I33" s="1"/>
  <c r="I14" i="15"/>
  <c r="I16" s="1"/>
  <c r="I30" s="1"/>
  <c r="G22" i="12"/>
  <c r="H54" i="4"/>
  <c r="H55" s="1"/>
  <c r="H57" s="1"/>
  <c r="H59" s="1"/>
  <c r="T15" i="1" s="1"/>
  <c r="G10" i="15"/>
  <c r="G11" s="1"/>
  <c r="G29" s="1"/>
  <c r="H16"/>
  <c r="H30" s="1"/>
  <c r="I22" i="9"/>
  <c r="I29" s="1"/>
  <c r="I30" s="1"/>
  <c r="F14" i="15"/>
  <c r="F16" s="1"/>
  <c r="F30" s="1"/>
  <c r="G22" i="9"/>
  <c r="I9" i="15"/>
  <c r="I8"/>
  <c r="H33" i="12"/>
  <c r="H33" i="11"/>
  <c r="H33" i="10"/>
  <c r="H34" s="1"/>
  <c r="H35" s="1"/>
  <c r="F55" i="4"/>
  <c r="F57" s="1"/>
  <c r="F59" s="1"/>
  <c r="H33" i="9"/>
  <c r="H31" i="15" l="1"/>
  <c r="H18" s="1"/>
  <c r="H19" s="1"/>
  <c r="H20" s="1"/>
  <c r="N9" i="3"/>
  <c r="F19" i="11" s="1"/>
  <c r="G19" s="1"/>
  <c r="G29" s="1"/>
  <c r="E15"/>
  <c r="J15" s="1"/>
  <c r="J16" s="1"/>
  <c r="J30" s="1"/>
  <c r="E15" i="18"/>
  <c r="J19" i="15"/>
  <c r="J20" s="1"/>
  <c r="E15" i="9"/>
  <c r="J15" s="1"/>
  <c r="J16" s="1"/>
  <c r="J30" s="1"/>
  <c r="G21" i="3"/>
  <c r="E15" i="10"/>
  <c r="F15" s="1"/>
  <c r="E15" i="12"/>
  <c r="J15" s="1"/>
  <c r="J16" s="1"/>
  <c r="J30" s="1"/>
  <c r="I34" i="10"/>
  <c r="I35" s="1"/>
  <c r="I36" s="1"/>
  <c r="I37" s="1"/>
  <c r="I44" s="1"/>
  <c r="I45" s="1"/>
  <c r="G31" i="15"/>
  <c r="G18" s="1"/>
  <c r="G19" s="1"/>
  <c r="R14" i="1"/>
  <c r="F29" i="12"/>
  <c r="G19"/>
  <c r="G29" s="1"/>
  <c r="I34"/>
  <c r="I35" s="1"/>
  <c r="I36" s="1"/>
  <c r="I37" s="1"/>
  <c r="I44" s="1"/>
  <c r="I45" s="1"/>
  <c r="I41" s="1"/>
  <c r="I33" i="9"/>
  <c r="I34" s="1"/>
  <c r="I35" s="1"/>
  <c r="F31" i="15"/>
  <c r="F18" s="1"/>
  <c r="F19" s="1"/>
  <c r="F20" s="1"/>
  <c r="W11" i="1"/>
  <c r="T11"/>
  <c r="T13"/>
  <c r="T12"/>
  <c r="T14"/>
  <c r="I34" i="11"/>
  <c r="I35" s="1"/>
  <c r="I36" s="1"/>
  <c r="I37" s="1"/>
  <c r="I44" s="1"/>
  <c r="I45" s="1"/>
  <c r="H34" i="12"/>
  <c r="H35" s="1"/>
  <c r="H36" s="1"/>
  <c r="H37" s="1"/>
  <c r="H44" s="1"/>
  <c r="H45" s="1"/>
  <c r="G19" i="10"/>
  <c r="G29" s="1"/>
  <c r="G19" i="9"/>
  <c r="G29" s="1"/>
  <c r="H34"/>
  <c r="H35" s="1"/>
  <c r="H36" s="1"/>
  <c r="H37" s="1"/>
  <c r="H44" s="1"/>
  <c r="H45" s="1"/>
  <c r="H36" i="10"/>
  <c r="H37" s="1"/>
  <c r="H44" s="1"/>
  <c r="H45" s="1"/>
  <c r="H34" i="11"/>
  <c r="H35" s="1"/>
  <c r="H36" s="1"/>
  <c r="H37" s="1"/>
  <c r="H44" s="1"/>
  <c r="H45" s="1"/>
  <c r="I10" i="15"/>
  <c r="I11" s="1"/>
  <c r="I29" s="1"/>
  <c r="I31" s="1"/>
  <c r="F15" i="11" l="1"/>
  <c r="G15" s="1"/>
  <c r="G16" s="1"/>
  <c r="G30" s="1"/>
  <c r="J15" i="10"/>
  <c r="J16" s="1"/>
  <c r="J30" s="1"/>
  <c r="J33" s="1"/>
  <c r="F15" i="9"/>
  <c r="F16" s="1"/>
  <c r="F15" i="12"/>
  <c r="F16" s="1"/>
  <c r="F30" s="1"/>
  <c r="F15" i="18"/>
  <c r="J15"/>
  <c r="J16" s="1"/>
  <c r="J30" s="1"/>
  <c r="J33" s="1"/>
  <c r="J25" i="15"/>
  <c r="J32" s="1"/>
  <c r="J33" s="1"/>
  <c r="G13" i="14"/>
  <c r="I13" s="1"/>
  <c r="I41" i="10"/>
  <c r="I42"/>
  <c r="I39"/>
  <c r="I40"/>
  <c r="I39" i="12"/>
  <c r="I36" i="9"/>
  <c r="I37" s="1"/>
  <c r="I44" s="1"/>
  <c r="I45" s="1"/>
  <c r="I40" i="12"/>
  <c r="I42"/>
  <c r="G15" i="14"/>
  <c r="I15" s="1"/>
  <c r="P14"/>
  <c r="R14" s="1"/>
  <c r="H42" i="11"/>
  <c r="H41"/>
  <c r="H40"/>
  <c r="H39"/>
  <c r="I42"/>
  <c r="I40"/>
  <c r="G14" i="14"/>
  <c r="I14" s="1"/>
  <c r="I41" i="11"/>
  <c r="I39"/>
  <c r="H41" i="9"/>
  <c r="H39"/>
  <c r="P12" i="14"/>
  <c r="R12" s="1"/>
  <c r="H42" i="9"/>
  <c r="H40"/>
  <c r="T16" i="1"/>
  <c r="W12"/>
  <c r="W16" s="1"/>
  <c r="J33" i="11"/>
  <c r="J33" i="9"/>
  <c r="J34" s="1"/>
  <c r="J35" s="1"/>
  <c r="H25" i="15"/>
  <c r="H32" s="1"/>
  <c r="H33" s="1"/>
  <c r="F25"/>
  <c r="F32" s="1"/>
  <c r="F33" s="1"/>
  <c r="G20"/>
  <c r="G25" s="1"/>
  <c r="G32" s="1"/>
  <c r="G33" s="1"/>
  <c r="I18"/>
  <c r="J33" i="12"/>
  <c r="H42"/>
  <c r="H40"/>
  <c r="P15" i="14"/>
  <c r="R15" s="1"/>
  <c r="H41" i="12"/>
  <c r="H39"/>
  <c r="H41" i="10"/>
  <c r="H39"/>
  <c r="P13" i="14"/>
  <c r="R13" s="1"/>
  <c r="H42" i="10"/>
  <c r="H40"/>
  <c r="G15"/>
  <c r="G16" s="1"/>
  <c r="G30" s="1"/>
  <c r="F16"/>
  <c r="F16" i="11" l="1"/>
  <c r="G15" i="12"/>
  <c r="G16" s="1"/>
  <c r="G30" s="1"/>
  <c r="G33" s="1"/>
  <c r="G34" s="1"/>
  <c r="G35" s="1"/>
  <c r="G15" i="9"/>
  <c r="G16" s="1"/>
  <c r="G30" s="1"/>
  <c r="G33" s="1"/>
  <c r="G34" s="1"/>
  <c r="G35" s="1"/>
  <c r="F16" i="18"/>
  <c r="G15"/>
  <c r="G16" s="1"/>
  <c r="J34"/>
  <c r="J35" s="1"/>
  <c r="J36" s="1"/>
  <c r="J37" s="1"/>
  <c r="J44" s="1"/>
  <c r="J45" s="1"/>
  <c r="J22" i="15"/>
  <c r="J21"/>
  <c r="J24"/>
  <c r="J23"/>
  <c r="M16" i="14"/>
  <c r="O16" s="1"/>
  <c r="G19" i="18"/>
  <c r="G29" s="1"/>
  <c r="F29"/>
  <c r="I43" i="10"/>
  <c r="H43"/>
  <c r="H43" i="12"/>
  <c r="I41" i="9"/>
  <c r="G12" i="14"/>
  <c r="I12" s="1"/>
  <c r="I17" s="1"/>
  <c r="H16" i="1" s="1"/>
  <c r="I40" i="9"/>
  <c r="I39"/>
  <c r="I42"/>
  <c r="I43" i="12"/>
  <c r="G23" i="15"/>
  <c r="G21"/>
  <c r="G22"/>
  <c r="M13" i="14"/>
  <c r="O13" s="1"/>
  <c r="G24" i="15"/>
  <c r="G33" i="10"/>
  <c r="I19" i="15"/>
  <c r="I20" s="1"/>
  <c r="I25" s="1"/>
  <c r="I32" s="1"/>
  <c r="I33" s="1"/>
  <c r="J34" i="10"/>
  <c r="J35" s="1"/>
  <c r="J36" s="1"/>
  <c r="J37" s="1"/>
  <c r="J44" s="1"/>
  <c r="J45" s="1"/>
  <c r="H43" i="9"/>
  <c r="H43" i="11"/>
  <c r="F21" i="15"/>
  <c r="M12" i="14"/>
  <c r="F22" i="15"/>
  <c r="F23"/>
  <c r="F24"/>
  <c r="F33" i="12"/>
  <c r="F34" s="1"/>
  <c r="F35" s="1"/>
  <c r="G33" i="11"/>
  <c r="H23" i="15"/>
  <c r="M14" i="14"/>
  <c r="O14" s="1"/>
  <c r="H21" i="15"/>
  <c r="H22"/>
  <c r="H24"/>
  <c r="R17" i="14"/>
  <c r="M16" i="1" s="1"/>
  <c r="J34" i="12"/>
  <c r="J35" s="1"/>
  <c r="J36" s="1"/>
  <c r="J37" s="1"/>
  <c r="J44" s="1"/>
  <c r="J45" s="1"/>
  <c r="J36" i="9"/>
  <c r="J37" s="1"/>
  <c r="J44" s="1"/>
  <c r="J45" s="1"/>
  <c r="J34" i="11"/>
  <c r="J35" s="1"/>
  <c r="J36" s="1"/>
  <c r="J37" s="1"/>
  <c r="J44" s="1"/>
  <c r="J45" s="1"/>
  <c r="I43"/>
  <c r="G30" i="18" l="1"/>
  <c r="G33" s="1"/>
  <c r="G34" s="1"/>
  <c r="G35" s="1"/>
  <c r="J40"/>
  <c r="J42"/>
  <c r="J39"/>
  <c r="J41"/>
  <c r="F30"/>
  <c r="F33" s="1"/>
  <c r="I43" i="9"/>
  <c r="J41" i="12"/>
  <c r="J39"/>
  <c r="J42"/>
  <c r="J40"/>
  <c r="J42" i="10"/>
  <c r="J40"/>
  <c r="J41"/>
  <c r="J39"/>
  <c r="J42" i="9"/>
  <c r="J40"/>
  <c r="J41"/>
  <c r="J39"/>
  <c r="J46"/>
  <c r="T13" i="14" s="1"/>
  <c r="J42" i="11"/>
  <c r="J41"/>
  <c r="J40"/>
  <c r="J39"/>
  <c r="I22" i="15"/>
  <c r="M15" i="14"/>
  <c r="O15" s="1"/>
  <c r="I21" i="15"/>
  <c r="I24"/>
  <c r="I23"/>
  <c r="O12" i="14"/>
  <c r="G34" i="11"/>
  <c r="G35" s="1"/>
  <c r="G36" s="1"/>
  <c r="G37" s="1"/>
  <c r="G44" s="1"/>
  <c r="G45" s="1"/>
  <c r="F36" i="12"/>
  <c r="F37" s="1"/>
  <c r="F44" s="1"/>
  <c r="F45" s="1"/>
  <c r="G36" i="9"/>
  <c r="G37" s="1"/>
  <c r="G44" s="1"/>
  <c r="G45" s="1"/>
  <c r="G34" i="10"/>
  <c r="G35" s="1"/>
  <c r="G36" s="1"/>
  <c r="G37" s="1"/>
  <c r="G44" s="1"/>
  <c r="G45" s="1"/>
  <c r="G36" i="12"/>
  <c r="G37" s="1"/>
  <c r="G44" s="1"/>
  <c r="G45" s="1"/>
  <c r="J43" i="18" l="1"/>
  <c r="F34"/>
  <c r="F35" s="1"/>
  <c r="F36" s="1"/>
  <c r="F37" s="1"/>
  <c r="F44" s="1"/>
  <c r="F45" s="1"/>
  <c r="E16" i="14" s="1"/>
  <c r="F16" s="1"/>
  <c r="G36" i="18"/>
  <c r="G37" s="1"/>
  <c r="G44" s="1"/>
  <c r="G45" s="1"/>
  <c r="J16" i="14" s="1"/>
  <c r="L16" s="1"/>
  <c r="S16" s="1"/>
  <c r="O15" i="1" s="1"/>
  <c r="O17" i="14"/>
  <c r="L16" i="1" s="1"/>
  <c r="M17" i="14"/>
  <c r="J13"/>
  <c r="L13" s="1"/>
  <c r="S13" s="1"/>
  <c r="O12" i="1" s="1"/>
  <c r="G46" i="10"/>
  <c r="G39"/>
  <c r="G42"/>
  <c r="G41"/>
  <c r="G40"/>
  <c r="E15" i="14"/>
  <c r="F15" s="1"/>
  <c r="F41" i="12"/>
  <c r="F39"/>
  <c r="F46"/>
  <c r="F42"/>
  <c r="F40"/>
  <c r="G41" i="11"/>
  <c r="G39"/>
  <c r="J14" i="14"/>
  <c r="L14" s="1"/>
  <c r="S14" s="1"/>
  <c r="O13" i="1" s="1"/>
  <c r="G42" i="11"/>
  <c r="G40"/>
  <c r="G46"/>
  <c r="J43" i="12"/>
  <c r="J15" i="14"/>
  <c r="L15" s="1"/>
  <c r="S15" s="1"/>
  <c r="O14" i="1" s="1"/>
  <c r="G46" i="12"/>
  <c r="G41"/>
  <c r="G40"/>
  <c r="G39"/>
  <c r="G42"/>
  <c r="V13" i="14"/>
  <c r="A21"/>
  <c r="J12"/>
  <c r="G46" i="9"/>
  <c r="G39"/>
  <c r="G42"/>
  <c r="G41"/>
  <c r="G40"/>
  <c r="J43" i="11"/>
  <c r="J43" i="9"/>
  <c r="J43" i="10"/>
  <c r="W16" i="14" l="1"/>
  <c r="Q15" i="1" s="1"/>
  <c r="F39" i="18"/>
  <c r="F40"/>
  <c r="F41"/>
  <c r="F46"/>
  <c r="F42"/>
  <c r="G42"/>
  <c r="G40"/>
  <c r="G46"/>
  <c r="G41"/>
  <c r="G39"/>
  <c r="G43" i="9"/>
  <c r="W15" i="14"/>
  <c r="Q14" i="1" s="1"/>
  <c r="V17" i="14"/>
  <c r="P12" i="1"/>
  <c r="G43" i="10"/>
  <c r="J17" i="14"/>
  <c r="L12"/>
  <c r="G43" i="12"/>
  <c r="F43"/>
  <c r="G43" i="11"/>
  <c r="V11" i="1" l="1"/>
  <c r="F43" i="18"/>
  <c r="G43"/>
  <c r="L17" i="14"/>
  <c r="K16" i="1" s="1"/>
  <c r="O16" s="1"/>
  <c r="S12" i="14"/>
  <c r="P16" i="1"/>
  <c r="N16"/>
  <c r="S17" i="14" l="1"/>
  <c r="O11" i="1"/>
  <c r="I31" l="1"/>
  <c r="I45"/>
  <c r="I32"/>
  <c r="I35"/>
  <c r="I30"/>
  <c r="I39"/>
  <c r="I41"/>
  <c r="I58"/>
  <c r="I34"/>
  <c r="I62"/>
  <c r="I33"/>
  <c r="I46"/>
  <c r="I36"/>
  <c r="I55"/>
  <c r="I42"/>
  <c r="I61"/>
  <c r="I43"/>
  <c r="I44"/>
  <c r="I51"/>
  <c r="I57"/>
  <c r="I60"/>
  <c r="I49"/>
  <c r="I47"/>
  <c r="I38"/>
  <c r="I37"/>
  <c r="I53"/>
  <c r="I50"/>
  <c r="I63"/>
  <c r="I48"/>
  <c r="I56"/>
  <c r="I40"/>
  <c r="I54"/>
  <c r="I52"/>
  <c r="I59"/>
  <c r="O27"/>
  <c r="L27" s="1"/>
  <c r="G27" s="1"/>
  <c r="H27" s="1"/>
  <c r="J9" i="5" l="1"/>
  <c r="K9" s="1"/>
  <c r="K51" s="1"/>
  <c r="I27" i="1"/>
  <c r="W18" i="14" l="1"/>
  <c r="I29" i="1"/>
  <c r="I28"/>
  <c r="O7" i="3" l="1"/>
  <c r="O9"/>
  <c r="F26" i="11" s="1"/>
  <c r="H69" i="1"/>
  <c r="H70" s="1"/>
  <c r="H71" s="1"/>
  <c r="F26" i="9" l="1"/>
  <c r="F29" s="1"/>
  <c r="F30" s="1"/>
  <c r="O8" i="3"/>
  <c r="F26" i="10" s="1"/>
  <c r="F29" s="1"/>
  <c r="F30" s="1"/>
  <c r="H73" i="1"/>
  <c r="H72" s="1"/>
  <c r="R11" l="1"/>
  <c r="R12"/>
  <c r="F33" i="10"/>
  <c r="F33" i="9"/>
  <c r="F34" s="1"/>
  <c r="F35" s="1"/>
  <c r="F36" l="1"/>
  <c r="F37" s="1"/>
  <c r="F44" s="1"/>
  <c r="F45" s="1"/>
  <c r="F34" i="10"/>
  <c r="F35" s="1"/>
  <c r="F36" s="1"/>
  <c r="F37" s="1"/>
  <c r="F44" s="1"/>
  <c r="F45" s="1"/>
  <c r="F41" l="1"/>
  <c r="F39"/>
  <c r="F40"/>
  <c r="F46"/>
  <c r="F42"/>
  <c r="E13" i="14"/>
  <c r="F13" s="1"/>
  <c r="W13" s="1"/>
  <c r="F40" i="9"/>
  <c r="F46"/>
  <c r="F39"/>
  <c r="E12" i="14"/>
  <c r="F12" s="1"/>
  <c r="F41" i="9"/>
  <c r="F42"/>
  <c r="Q12" i="1" l="1"/>
  <c r="F43" i="10"/>
  <c r="F43" i="9"/>
  <c r="W12" i="14"/>
  <c r="Q11" i="1" l="1"/>
  <c r="R13" l="1"/>
  <c r="R16" s="1"/>
  <c r="F27" i="11" l="1"/>
  <c r="F29" s="1"/>
  <c r="F30" s="1"/>
  <c r="F33" s="1"/>
  <c r="F34" l="1"/>
  <c r="F35" s="1"/>
  <c r="F36" s="1"/>
  <c r="F37" s="1"/>
  <c r="F44" s="1"/>
  <c r="F45" s="1"/>
  <c r="F42" l="1"/>
  <c r="F39"/>
  <c r="F41"/>
  <c r="E14" i="14"/>
  <c r="F14" s="1"/>
  <c r="F17" s="1"/>
  <c r="F40" i="11"/>
  <c r="F46"/>
  <c r="W14" i="14" l="1"/>
  <c r="W17" s="1"/>
  <c r="W19" s="1"/>
  <c r="F43" i="11"/>
  <c r="Q13" i="1" l="1"/>
  <c r="V12" l="1"/>
  <c r="V16" s="1"/>
  <c r="Q16"/>
</calcChain>
</file>

<file path=xl/sharedStrings.xml><?xml version="1.0" encoding="utf-8"?>
<sst xmlns="http://schemas.openxmlformats.org/spreadsheetml/2006/main" count="1205" uniqueCount="654">
  <si>
    <t xml:space="preserve">OCORRÊNCIAS MENSAIS DO FATURAMENTO </t>
  </si>
  <si>
    <t>UTILIZAÇÃO DO GESTOR CONTRATUAL PARA REALIZAÇÃO DO FATURAMENTO MENSAL</t>
  </si>
  <si>
    <t>DEFINIR VERSÃO DE APRESENTAÇÃO:</t>
  </si>
  <si>
    <t>PLANILHA PARA LICITAÇÃO (PRECIFICAÇÃO)</t>
  </si>
  <si>
    <t>DEFINIR BASE DE DESCONTOS/GLOSAS:</t>
  </si>
  <si>
    <t>MÊS CONTÁBIL</t>
  </si>
  <si>
    <r>
      <rPr>
        <b/>
        <sz val="10"/>
        <rFont val="Calibri"/>
        <family val="2"/>
        <charset val="1"/>
      </rPr>
      <t xml:space="preserve">INSTRUÇÕES DE PREENCHIMENTO
UTILIZAÇÃO EXCLUSIVA FISCAL/GESTOR
PARA AUXILIAR NO VALOR DE FATURAMENTO
Preencher as células destacadas na cor </t>
    </r>
    <r>
      <rPr>
        <b/>
        <sz val="10"/>
        <color rgb="FFFF0000"/>
        <rFont val="Calibri"/>
        <family val="2"/>
        <charset val="1"/>
      </rPr>
      <t>vermelha</t>
    </r>
    <r>
      <rPr>
        <b/>
        <sz val="10"/>
        <rFont val="Calibri"/>
        <family val="2"/>
        <charset val="1"/>
      </rPr>
      <t xml:space="preserve"> para realização dos cálculos das demais abas.
Não é necessário preenchimento de outras abas.</t>
    </r>
  </si>
  <si>
    <t>Informar número de Postos que não utilizam V.T.
(Coluna "D")</t>
  </si>
  <si>
    <t>Informar se titular do posto é optante pelo recebimento de V.T.
(Coluna "E")</t>
  </si>
  <si>
    <t>Desconto automático de V.T.
(Coluna "F")</t>
  </si>
  <si>
    <t>Preencher o número de dias (corridos) que o terceirizado que não recebe vt ficou afastado por férias ou faltas
(Coluna "G")</t>
  </si>
  <si>
    <t>Preencher nº de dias úteis em que o optante de V.T realizou trabalho em Home Office OU dias de Recesso Forense / Ponto facultativo
(Coluna "H")</t>
  </si>
  <si>
    <t>Conversão das horas de ausência em dias de ausência
(Coluna "I")</t>
  </si>
  <si>
    <t>Conversão das horas de ausência em dias de ausência
(Coluna "J")</t>
  </si>
  <si>
    <t>Nº dias de faltas comuns sem substituição.
(Coluna "K")</t>
  </si>
  <si>
    <t>Informar número de dias por férias no mês (dias)
(Coluna "L")</t>
  </si>
  <si>
    <t>Desconto de V.A. por dias de recesso forense e/ou ponto facultativo.
(Coluna "M")</t>
  </si>
  <si>
    <t>Nº de dias corridos de férias sem substituição quando o adicional de insalubridade é passado para outra servente do quadro.
(Coluna "N")</t>
  </si>
  <si>
    <t>Somatório de glosas.
(Coluna "O")</t>
  </si>
  <si>
    <t>Somatório de acrésimo por substituição do posto insalubre por outro profissional do quadro.
(Coluna "P")</t>
  </si>
  <si>
    <t>Informativo sobre valor faturado por tipo de função.
(Coluna "Q")</t>
  </si>
  <si>
    <t>Valores correspondentes ao fornecimento de materiais e epis.
(incluindo impostos)
(Coluna "R")</t>
  </si>
  <si>
    <t>Informar código de elemento de despesa
(Coluna "S")</t>
  </si>
  <si>
    <t>INFORMATIVO PARA GESTÃO CONTRATUAL</t>
  </si>
  <si>
    <t>Quant</t>
  </si>
  <si>
    <t>Descrição das Categorias</t>
  </si>
  <si>
    <t>Carga Horária (horas)</t>
  </si>
  <si>
    <t>Nº Postos não optantes pelo recebimento de V.T.</t>
  </si>
  <si>
    <t>Realizar glosa por não fornecimento de V.T.?</t>
  </si>
  <si>
    <t>Dias de
Glosa V.T.
Para Não Optantes</t>
  </si>
  <si>
    <t>Ajuste de V.T para fornecimento para
postos Não Optantes</t>
  </si>
  <si>
    <t>Dias de Home Office OU Recesso para os postos Optantes de V.T.</t>
  </si>
  <si>
    <t>Dias de faltas após conversão das horas
(planilha auxiliar)</t>
  </si>
  <si>
    <t>Quant. Atrasos e Faltas</t>
  </si>
  <si>
    <t>Dias de Férias</t>
  </si>
  <si>
    <t>Dias de Glosas de V.A no Mês</t>
  </si>
  <si>
    <t>*1 Dias de Deslocamento de Insalubridade</t>
  </si>
  <si>
    <t>VALOR TOTAL GLOSADO</t>
  </si>
  <si>
    <t>VALOR TOTAL ACRESCIDO</t>
  </si>
  <si>
    <t>Valor Mensal 
Faturado com aplicação de descontos</t>
  </si>
  <si>
    <t>VALOR TOTAL INSUMOS FORNECIDOS NO MÊS.</t>
  </si>
  <si>
    <t xml:space="preserve">Elemento de Despesa </t>
  </si>
  <si>
    <t>VALOR DE RETENÇÃO CONTA VINCULADA</t>
  </si>
  <si>
    <t>CÓDIGOS ELEMENTO DE DESPESA</t>
  </si>
  <si>
    <t>FATURAMENTO MENSAL</t>
  </si>
  <si>
    <t>RETENÇÃO 
GLOSA CONTA VINCULADA
(VERIFICAR NECESSIDADE)</t>
  </si>
  <si>
    <t>SIM</t>
  </si>
  <si>
    <t>ELEMENTO 2</t>
  </si>
  <si>
    <t>ELEMENTO 1</t>
  </si>
  <si>
    <t>VALOR TOTAL GLOSADOS</t>
  </si>
  <si>
    <t>OBSERVAÇÕES:</t>
  </si>
  <si>
    <t>1. Para apoio ao lançamento de ausências de horas, sugere-se a utilização da planilha complementar abaixo. O preenchimento das horas convertidas deve ocorrer na Coluna "I".</t>
  </si>
  <si>
    <t>Planilha auxiliar para conversão de horas de ausências em dias de faltas. (preenchimento coluna "I")</t>
  </si>
  <si>
    <t>Jornada</t>
  </si>
  <si>
    <t>Total de Horas</t>
  </si>
  <si>
    <t>Total de Minutos</t>
  </si>
  <si>
    <t>Conversão em Dias</t>
  </si>
  <si>
    <t>Obs: Informar a jornada de trabalho do posto analisado. Em sequência, informar as horas completas faltantes e posteriormente os minutos. Ex: 10:25h faltantes - Lançar 10 na célula "D22" e lançar 25 na célula "E22".
Lançar o resultado convertido na coluna "H".</t>
  </si>
  <si>
    <t>2. Na célula “N15” deverá ser informado a quantidade de dias em que o trabalho insalubre foi realizado por outra servente do quadro, durante as férias da Servente de Limpeza 40% insalubre - titular.</t>
  </si>
  <si>
    <t>ITEM</t>
  </si>
  <si>
    <t>DESCRIÇÃO DO MATERIAL DE IMPEZA
SERVENTES DE LIMPEZA</t>
  </si>
  <si>
    <t>GASTO MENSAL</t>
  </si>
  <si>
    <r>
      <rPr>
        <b/>
        <u/>
        <sz val="10"/>
        <rFont val="Calibri"/>
        <family val="2"/>
        <charset val="1"/>
      </rPr>
      <t xml:space="preserve">ANÁLISE CRÍTICA </t>
    </r>
    <r>
      <rPr>
        <b/>
        <sz val="10"/>
        <rFont val="Calibri"/>
        <family val="2"/>
        <charset val="1"/>
      </rPr>
      <t>SOBRE O FORNECIMENTO DOS MATERIAIS
ESTIMATIVA MENSAL x FORNECIMENTO EFETIVO
(INFORMAÇÃO COMO PARÂMETRO DE INDICATIVO)</t>
    </r>
  </si>
  <si>
    <t>REFERÊNCIA MENSAL PARA FORNECIMENTO</t>
  </si>
  <si>
    <t>Material</t>
  </si>
  <si>
    <t>Unid.</t>
  </si>
  <si>
    <t>Marcas de Referência</t>
  </si>
  <si>
    <t>QNTDE "REAL" FORNECIDA
NO MÊS</t>
  </si>
  <si>
    <t>Custo Mensal</t>
  </si>
  <si>
    <t>Quantidade Mensal</t>
  </si>
  <si>
    <t>Quantidade Total</t>
  </si>
  <si>
    <t>Periodicidade</t>
  </si>
  <si>
    <t>Divisor</t>
  </si>
  <si>
    <t>DESPESA MENSAL</t>
  </si>
  <si>
    <t>TAXA ADMINISTRATIVA</t>
  </si>
  <si>
    <t>LUCRO</t>
  </si>
  <si>
    <t>TRIBUTOS</t>
  </si>
  <si>
    <t>VALOR TOTAL COM MATERIAIS DE LIMPEZA</t>
  </si>
  <si>
    <t>LISTA PARA OPÇÕES DE GLOSAS</t>
  </si>
  <si>
    <t>DIAS ÚTEIS (CONTRATO)</t>
  </si>
  <si>
    <t>Obs: Desconto por dias definidos em contrato.</t>
  </si>
  <si>
    <t>Obs: Desconto atualmente aplicado (30 dias corridos).</t>
  </si>
  <si>
    <t>DIAS DO MÊS VIGENTE</t>
  </si>
  <si>
    <t>Informar</t>
  </si>
  <si>
    <t>Obs: Desconto por dias úteis mensais, ocorrência variável, devendo ser informado mensalmente.</t>
  </si>
  <si>
    <t>JORNADA DE TRABALHO</t>
  </si>
  <si>
    <t>DIVISOR DE HORAS</t>
  </si>
  <si>
    <t>LISTA PARA TOTAL DE POSTOS</t>
  </si>
  <si>
    <t>Tribunal Regional Federal da 6ª Região</t>
  </si>
  <si>
    <t>Seção Judiciária de Minas Gerais</t>
  </si>
  <si>
    <t>Subseção Judiciária de Varginha</t>
  </si>
  <si>
    <t>INSTRUÇÕES DE PREENCHIMENTO - ANEXO X - PLANILHAS DE COMPOSIÇÃO DE CUSTOS</t>
  </si>
  <si>
    <t>1.</t>
  </si>
  <si>
    <t>SOMENTE SERÃO ACEITAS MODIFICAÇÕES NAS CÉLULAS DESTACADAS NA COR AMARELA COMO NO EXEMPLO ABAIXO:</t>
  </si>
  <si>
    <t>Células de livre edição.</t>
  </si>
  <si>
    <t>2.</t>
  </si>
  <si>
    <r>
      <rPr>
        <sz val="10"/>
        <rFont val="Calibri"/>
        <family val="2"/>
        <charset val="1"/>
      </rPr>
      <t xml:space="preserve">As demais células estarão </t>
    </r>
    <r>
      <rPr>
        <b/>
        <sz val="10"/>
        <rFont val="Calibri"/>
        <family val="2"/>
        <charset val="1"/>
      </rPr>
      <t>bloqueadas</t>
    </r>
    <r>
      <rPr>
        <sz val="10"/>
        <rFont val="Calibri"/>
        <family val="2"/>
        <charset val="1"/>
      </rPr>
      <t xml:space="preserve"> para edição das licitantes.</t>
    </r>
  </si>
  <si>
    <t>3.</t>
  </si>
  <si>
    <t>As Abas necessárias para o preenchimento estão organizadas em uma sequência lógica, sendo Dados; Encargos; Materiais (limpeza, copa e limpeza de veículos); EPI; Equipamentos; Uniforme.</t>
  </si>
  <si>
    <t>Os nomes das abas estarão abreviados para otimização da planilha.</t>
  </si>
  <si>
    <r>
      <rPr>
        <b/>
        <sz val="10"/>
        <rFont val="Calibri"/>
        <family val="2"/>
        <charset val="1"/>
      </rPr>
      <t xml:space="preserve">Sugere-se o preenchimento das seguintes abas em sequência: </t>
    </r>
    <r>
      <rPr>
        <sz val="10"/>
        <rFont val="Calibri"/>
        <family val="2"/>
        <charset val="1"/>
      </rPr>
      <t>Dados, Encargos, Materiais, EPI, Equipamentos e Uniforme, para a realização de cálculos completa da planilha de composição de custos.</t>
    </r>
  </si>
  <si>
    <t>3.1</t>
  </si>
  <si>
    <t>Estas Abas estarão destacadas na Cor Amarela.</t>
  </si>
  <si>
    <t>3.2</t>
  </si>
  <si>
    <t>PREENCHIMENTO ABA "DADOS"</t>
  </si>
  <si>
    <t xml:space="preserve"> - Informar piso salarial de cada categoria, correspondente à jornada de 220h. (Células "E7":"E11").</t>
  </si>
  <si>
    <t xml:space="preserve"> - Informar o percentual de acúmulo de função a ser aplicado. (Célula "I9").</t>
  </si>
  <si>
    <t xml:space="preserve"> - Informar o salário base para cálculo da atividade acumulada. (Célula "K9").</t>
  </si>
  <si>
    <t xml:space="preserve"> - Informar os Dados da Apresentação da Proposta e relacionados à Convenção Coletiva de Trabalho. Tais informações não interferem na execução de cálculos, servem apenas para instruir o processo da análise da proposta. (Células "E14:E18").</t>
  </si>
  <si>
    <t xml:space="preserve"> - Informar o percentual correspondente ao RAT, conforme atividade principal da licitante. (Célula "G24").</t>
  </si>
  <si>
    <t xml:space="preserve"> - Informar o fator correspondente ao FAP, conforme extraído do relatório FapWeb. (Célula "G25").</t>
  </si>
  <si>
    <t xml:space="preserve"> - Informar o valor do salário mínimo nacional vigente (base de cálculo para a cotação de insalubridade). (Célula "G28").</t>
  </si>
  <si>
    <t xml:space="preserve"> - Informar o valor unitário do Seguro de Vida, nos casos exigidos, conforme legislação vigente. (Célula "G31").</t>
  </si>
  <si>
    <t xml:space="preserve"> - Informar o valor unitário do Programa de Assistência Familiar - PAF, nos casos exigidos, conforme legislação vigente. (Célula "G32").</t>
  </si>
  <si>
    <t xml:space="preserve"> - Informar o valor unitário da tarifa de transporte público vigente à data de apresentação da proposta, conforme legislação vigente. (Célula "G33").</t>
  </si>
  <si>
    <t xml:space="preserve"> - Informar o quantitativo unitário diário de tarifas de transporte público (ex.: 1 tarifa para ida e 1 tarifa para volta = Total de 2 tarifas). (Célula "G34").</t>
  </si>
  <si>
    <t xml:space="preserve"> - Informar o percentual de desconto à título de participação do trabalhador em relação ao fornecimento de vale transporte, nos casos exigidos, conforme legislação vigente. (Célula "G36").</t>
  </si>
  <si>
    <t xml:space="preserve"> - Informar o valor unitário do ticket de Vale Alimentação, nos casos exigidos, conforme legislação vigente. (Célula "G37").</t>
  </si>
  <si>
    <t xml:space="preserve"> - Informar o percentual de desconto à título de participação do trabalhador em relação ao fornecimento de Vale Alimentação, nos casos exigidos, conforme legislação vigente. (Célula "G39").</t>
  </si>
  <si>
    <t xml:space="preserve"> - Incluir outros custos não previstos previamente, bem como descrevê-los, em caso de previsão legal, devendo ser apresentadas justificativas para a inserção. (Células "B40" e "G40").</t>
  </si>
  <si>
    <t xml:space="preserve"> - Incluir outros custos não previstos previamente, bem como descrevê-los, em caso de previsão legal, devendo ser apresentadas justificativas para a inserção. (Células "B41" e "G41").</t>
  </si>
  <si>
    <t xml:space="preserve"> - Informar o percentual relativo às Despesas Administrativas da licitante. (Células "G44").</t>
  </si>
  <si>
    <t xml:space="preserve"> - Informar o percentual relativo ao Lucro da licitante. (Células "G45").</t>
  </si>
  <si>
    <t xml:space="preserve"> - Informar a opção tributária da licitante (Células "F51") conforme legislação vigente, OBSERVANDO as instruções contantes na Célula "B48".</t>
  </si>
  <si>
    <t xml:space="preserve"> - Informar o percentual da alíquota COFINS (Células "G52") conforme legislação vigente, OBSERVANDO as instruções contantes na Célula "B48".</t>
  </si>
  <si>
    <t xml:space="preserve"> - Informar o percentual da alíquota PIS/PASEP (Células "G53") conforme legislação vigente, OBSERVANDO as instruções contantes na Célula "B48".</t>
  </si>
  <si>
    <t xml:space="preserve"> - Informar o percentual da alíquota ISSQN (Células "G54") conforme legislação vigente, OBSERVANDO as instruções contantes na Célula "B48".</t>
  </si>
  <si>
    <t xml:space="preserve"> - Incluir outros impostos não inseridos previamente, bem como descrevê-los, em caso de previsão legal, devendo ser apresentadas justificativas para a inserção. (Células "B55" e "G55").</t>
  </si>
  <si>
    <t xml:space="preserve"> - Alterar SOMENTE aqueles destacados na COR AMARELA.</t>
  </si>
  <si>
    <t>3.3</t>
  </si>
  <si>
    <t>PREENCHIMENTO ABA "ENCARGOS"</t>
  </si>
  <si>
    <t xml:space="preserve"> - Informar os percentuais de encargos nas células destacadas em amarelo dispostas na "Coluna C", de acordo com sua descrição "Coluna B".</t>
  </si>
  <si>
    <t xml:space="preserve"> - Atentar-se às observações continuadas ao final do quadro de encargos (Célula "B59"), com as demais instruções cabíveis aos percentuais dispostos nesta Aba.</t>
  </si>
  <si>
    <t>3.4</t>
  </si>
  <si>
    <t>PREENCHIMENTO ABA "MATERIAIS"</t>
  </si>
  <si>
    <t xml:space="preserve"> - Informar os valores unitários de cada item nas células destacadas em amarelo dispostas na "Coluna F", de acordo com sua descrição "Colunas B:E".</t>
  </si>
  <si>
    <t xml:space="preserve"> - Atentar-se para o preenchimento de todos os quadros dispostos nesta Aba, sendo:</t>
  </si>
  <si>
    <t xml:space="preserve"> - Materiais de Limpeza (Células "G9:G50)</t>
  </si>
  <si>
    <t xml:space="preserve"> - O preenchimento das células da Coluna "H" está permitida somente para inserção de Observações, caso necessário.</t>
  </si>
  <si>
    <t>3.5</t>
  </si>
  <si>
    <t>PREENCHIMENTO ABA "EQUIPAMENTOS"</t>
  </si>
  <si>
    <t xml:space="preserve"> - Informar os valores unitários de cada item nas células destacadas em amarelo dispostas na "Coluna D", de acordo com sua descrição "Colunas B:C".</t>
  </si>
  <si>
    <t>3.6</t>
  </si>
  <si>
    <t>PREENCHIMENTO ABA "UNIFORMES"</t>
  </si>
  <si>
    <t xml:space="preserve"> - Informar os valores unitários de cada peça de uniforme nas células destacadas em amarelo dispostas na "Coluna G", de acordo com sua descrição "Colunas B:F".</t>
  </si>
  <si>
    <t xml:space="preserve"> - Atentar-se às descrições complementares dispostas na ABA "Especificações" que visam melhor entendimento dos itens de uniforme solicitados.</t>
  </si>
  <si>
    <t xml:space="preserve"> - Atentar-se às observações adicionais dispostas na ABA "Especificações", ao final do quadro com o detalhamento dos uniformes. (Células "A24:A32")</t>
  </si>
  <si>
    <t>5.</t>
  </si>
  <si>
    <r>
      <rPr>
        <sz val="10"/>
        <rFont val="Calibri"/>
        <family val="2"/>
        <charset val="1"/>
      </rPr>
      <t xml:space="preserve">Destaca-se que após o preenchimento destas Abas (de acordo com as instruções contidas no item 3), os preços individuais das </t>
    </r>
    <r>
      <rPr>
        <b/>
        <sz val="10"/>
        <rFont val="Calibri"/>
        <family val="2"/>
        <charset val="1"/>
      </rPr>
      <t>categorias</t>
    </r>
    <r>
      <rPr>
        <sz val="10"/>
        <rFont val="Calibri"/>
        <family val="2"/>
        <charset val="1"/>
      </rPr>
      <t xml:space="preserve"> profissionais serão refletidos automaticamente para as suas abas correspondentes (Serv Ins, Serv, Copeira, Zel ac. e Aux).</t>
    </r>
  </si>
  <si>
    <t>5.1</t>
  </si>
  <si>
    <r>
      <rPr>
        <b/>
        <sz val="10"/>
        <rFont val="Calibri"/>
        <family val="2"/>
        <charset val="1"/>
      </rPr>
      <t>Não será necessário realizar nenhuma alteração nas abas contendo o detalhamento de custos de cada categoria profissional.</t>
    </r>
    <r>
      <rPr>
        <sz val="10"/>
        <rFont val="Calibri"/>
        <family val="2"/>
        <charset val="1"/>
      </rPr>
      <t xml:space="preserve"> Estas abas conterão apenas o reflexo dos dados preenchidos nas abas anteriores (conforme explicação nº 3).</t>
    </r>
  </si>
  <si>
    <t>5.2</t>
  </si>
  <si>
    <t>Estas abas estão destacadas na Cor Cinza.</t>
  </si>
  <si>
    <t>6.</t>
  </si>
  <si>
    <r>
      <rPr>
        <sz val="10"/>
        <rFont val="Calibri"/>
        <family val="2"/>
        <charset val="1"/>
      </rPr>
      <t>A Aba "</t>
    </r>
    <r>
      <rPr>
        <b/>
        <sz val="10"/>
        <rFont val="Calibri"/>
        <family val="2"/>
        <charset val="1"/>
      </rPr>
      <t>Resumo</t>
    </r>
    <r>
      <rPr>
        <sz val="10"/>
        <rFont val="Calibri"/>
        <family val="2"/>
        <charset val="1"/>
      </rPr>
      <t>" contém o detalhamento dos custos unitários por categoria profissional, além de conter o preço final da proposta.</t>
    </r>
  </si>
  <si>
    <t>6.1</t>
  </si>
  <si>
    <r>
      <rPr>
        <sz val="10"/>
        <rFont val="Calibri"/>
        <family val="2"/>
        <charset val="1"/>
      </rPr>
      <t xml:space="preserve">Para efeitos de lance/oferta, as licitantes devem considerar o valor da célula "T17", da Aba "Resumo", correspondente ao </t>
    </r>
    <r>
      <rPr>
        <b/>
        <sz val="10"/>
        <rFont val="Calibri"/>
        <family val="2"/>
        <charset val="1"/>
      </rPr>
      <t>VALOR MENSAL.</t>
    </r>
  </si>
  <si>
    <t>6.2</t>
  </si>
  <si>
    <t>Esta aba está destacada na Cor Azul.</t>
  </si>
  <si>
    <t>7.</t>
  </si>
  <si>
    <r>
      <rPr>
        <sz val="10"/>
        <rFont val="Calibri"/>
        <family val="2"/>
        <charset val="1"/>
      </rPr>
      <t>A Aba "</t>
    </r>
    <r>
      <rPr>
        <b/>
        <sz val="10"/>
        <rFont val="Calibri"/>
        <family val="2"/>
        <charset val="1"/>
      </rPr>
      <t>Custo Estimado Substituto</t>
    </r>
    <r>
      <rPr>
        <sz val="10"/>
        <rFont val="Calibri"/>
        <family val="2"/>
        <charset val="1"/>
      </rPr>
      <t>" contém valores estimados com os profissionais substitutos do titular em férias.</t>
    </r>
  </si>
  <si>
    <t>7.1</t>
  </si>
  <si>
    <t>Não será necessário realizar nenhuma alteração nesta aba, pois conterá apenas o reflexo dos dados preenchidos nas abas anteriores (conforme explicação nº 3).</t>
  </si>
  <si>
    <t>7.2</t>
  </si>
  <si>
    <t>ANEXO X - PLANILHA DE CUSTO E FORMAÇÃO DE PREÇO MENSAL ESTIMATIVO - PLANILHA DE DADOS</t>
  </si>
  <si>
    <t>Elemento de Despesa</t>
  </si>
  <si>
    <t>Quantidade de Postos</t>
  </si>
  <si>
    <t>Carga Horária
(Horas)</t>
  </si>
  <si>
    <t>*OBS 1 -
Salário Base I (Piso Para 220h/m)
(R$)</t>
  </si>
  <si>
    <t>Salário Base II
(Conforme Jornada Contratada)
(R$)</t>
  </si>
  <si>
    <t xml:space="preserve">
Insalubridade
Grau de Risco
(%)</t>
  </si>
  <si>
    <t>Valor Insalubridade
(R$)</t>
  </si>
  <si>
    <t>*OBS 2 -
Acúmulo de Função / Acréscimo Salarial
(%)</t>
  </si>
  <si>
    <t>*OBS 3 -
Tempo de Execução de Atividades em Acúmulo
(%)</t>
  </si>
  <si>
    <t>*OBS 4 -
Base Para Cálculo de Acúmulo de Função
(R$)</t>
  </si>
  <si>
    <t>Valor Acúmulo de Função
(R$)</t>
  </si>
  <si>
    <t>Remuneração Total
(Grupo A)
(R$)</t>
  </si>
  <si>
    <t>Uniforme
(R$)</t>
  </si>
  <si>
    <t>Material de Limpeza Rateado
(R$)</t>
  </si>
  <si>
    <t>Material de Copa Rateado
(R$)</t>
  </si>
  <si>
    <t xml:space="preserve"> Material de Limpeza  Veicular
(R$)</t>
  </si>
  <si>
    <t>EPI</t>
  </si>
  <si>
    <t>Depreciação Rateada
(R$)</t>
  </si>
  <si>
    <t>CÓDIGO DE ELEMENTO DE DESPESA
(CONTROLE DA CONTRATANTE)</t>
  </si>
  <si>
    <t>RATEIO
INSUMOS</t>
  </si>
  <si>
    <t>Servente de Limpeza 40% Insalubridade</t>
  </si>
  <si>
    <t xml:space="preserve">Servente de Limpeza  </t>
  </si>
  <si>
    <t>Zelador</t>
  </si>
  <si>
    <t>OBS 1: Inserir piso salarial correspondente à jornada de 220h mensais.      OBS 2: Informar % de acúmulo de função.</t>
  </si>
  <si>
    <t>OBS 3: Informar % do tempo de acúmulo de função.   OBS 4: Informar salário base.</t>
  </si>
  <si>
    <t>TOTAL</t>
  </si>
  <si>
    <t>DADOS DA PROPOSTA</t>
  </si>
  <si>
    <t>Data de apresentação da proposta</t>
  </si>
  <si>
    <t>ABERTURA DA PROPOSTA</t>
  </si>
  <si>
    <t>Informar data de abertura do certame / data final para cadastro da proposta comercial.</t>
  </si>
  <si>
    <t>Sindicato utilizado</t>
  </si>
  <si>
    <t>SEAC x SIEAP</t>
  </si>
  <si>
    <t>Informar o sindicato utilizado pela Licitante.</t>
  </si>
  <si>
    <t>Número de registro da CCT - Código MTE</t>
  </si>
  <si>
    <t>MG000705/2024</t>
  </si>
  <si>
    <t>Informar o número de registro da Convenção Coletiva de Tralbalho utilizada no processo licitatório, junto ao Ministério do Trabalho e Emprego.</t>
  </si>
  <si>
    <t>Vigência da CCT utilizada</t>
  </si>
  <si>
    <t>Informar a vigência da Convenção Coletiva de Trabalho utilizada no processo licitatório.</t>
  </si>
  <si>
    <t>Data base da categoria</t>
  </si>
  <si>
    <t>01° de Janeiro</t>
  </si>
  <si>
    <t>Informar a data base da Convenção Coletiva de Trabalho utilizada no processo licitatório.</t>
  </si>
  <si>
    <t>ENCARGOS SOCIAIS E TRABALHISTAS</t>
  </si>
  <si>
    <t>-</t>
  </si>
  <si>
    <t>Percentual de Encargos (TOTAL)</t>
  </si>
  <si>
    <t>SAT - Seguro Acidentes Trabalho</t>
  </si>
  <si>
    <t>RAT (Atividade Principal)</t>
  </si>
  <si>
    <t>Informar percentual correspondente à atividade preponderante da Licitante.</t>
  </si>
  <si>
    <t>FAP (Conforme FapWeb)</t>
  </si>
  <si>
    <t>Informar Fator extraído do documento FapWeb da Licitante.</t>
  </si>
  <si>
    <t>SALÁRIO BASE PARE CÁLCULO DE INSALUBRIDADE</t>
  </si>
  <si>
    <t xml:space="preserve">SALÁRIO MINÍMO NACIONAL </t>
  </si>
  <si>
    <t>Informar base salarial para fins de cálculo de Insalubridade.</t>
  </si>
  <si>
    <t>BENEFÍCIOS</t>
  </si>
  <si>
    <t>Seguro de Vida em Grupo</t>
  </si>
  <si>
    <t>Inserir valor unitário mensal.</t>
  </si>
  <si>
    <t>Programa de Assistência Odontológica</t>
  </si>
  <si>
    <t>Vale Transporte</t>
  </si>
  <si>
    <t>Valor da tarifa</t>
  </si>
  <si>
    <t>Inserir o valor unitário da tarifa.</t>
  </si>
  <si>
    <t>Número de Tarifas por dia</t>
  </si>
  <si>
    <t>Inserir a quantidade de tarifas diárias.</t>
  </si>
  <si>
    <t>Número de dias para fornecimento</t>
  </si>
  <si>
    <t>Número de dias utilizados para a precificação. Número determinado em edital. Não será permitido alteração.</t>
  </si>
  <si>
    <t>Custeio do trabalhador (participação legal)</t>
  </si>
  <si>
    <t>Inserir percentual de participação do trabalhador.</t>
  </si>
  <si>
    <t>Vale Alimentação</t>
  </si>
  <si>
    <t>Valor Unitário do Ticket</t>
  </si>
  <si>
    <t>Inserir valor unitário do Ticket.</t>
  </si>
  <si>
    <t>Outros (inserir somente com a justificativa legal)</t>
  </si>
  <si>
    <t>Inserir valor unitário mensal, quando preenchido, e apresentar as justificativas legais para inclusão.</t>
  </si>
  <si>
    <t>MONTANTE C</t>
  </si>
  <si>
    <t>Despesas Administrativas</t>
  </si>
  <si>
    <t>Informar percentual da Licitante.</t>
  </si>
  <si>
    <t>Lucro</t>
  </si>
  <si>
    <t>MONTANTE D</t>
  </si>
  <si>
    <t>OBS:</t>
  </si>
  <si>
    <t>Opção Tributária</t>
  </si>
  <si>
    <t>LUCRO REAL</t>
  </si>
  <si>
    <t>Informar opção tributária da Licitante. Atentar-se às observações do "Montante D".</t>
  </si>
  <si>
    <t>COFINS</t>
  </si>
  <si>
    <t>Informar percentual da Licitante. Atentar-se às observações do "Montante D".</t>
  </si>
  <si>
    <t>PIS/PASEP</t>
  </si>
  <si>
    <t>ISSQN</t>
  </si>
  <si>
    <t>Informar percentual do código tributário municipal, local da execução das atividades.</t>
  </si>
  <si>
    <t>Informar o tipo de tributo e apresentar as justificativas legais para inclusão. Informar percentual da Licitante. Atentar-se às observações do "Montante D".</t>
  </si>
  <si>
    <t>Soma dos tributos</t>
  </si>
  <si>
    <t>PREVISÃO DE REAJUSTE IPCA - 12 (DOZE) MESES DE CONTRATO - INFORMATIVO PARA SER UTILIZADO DURANTE A GESTÃO CONTRATUAL</t>
  </si>
  <si>
    <t>UNIFORME</t>
  </si>
  <si>
    <t>MATERIAIS
DIVERSOS</t>
  </si>
  <si>
    <t>EPI COVID</t>
  </si>
  <si>
    <t>SEG VIDA</t>
  </si>
  <si>
    <t>FATOR DE APLICAÇÃO
(2 CASAS DECIMAIS)</t>
  </si>
  <si>
    <t>DATA DE APROVAÇÃO IPCA</t>
  </si>
  <si>
    <t>DOCUMENTO RELACIONADO ID</t>
  </si>
  <si>
    <t>1º REAJUSTE IPCA</t>
  </si>
  <si>
    <t>Percentual (%) aprovado</t>
  </si>
  <si>
    <t>Aplicar reajuste após solicitação da contratada?</t>
  </si>
  <si>
    <t>NÃO</t>
  </si>
  <si>
    <t>2º REAJUSTE IPCA</t>
  </si>
  <si>
    <t>3º REAJUSTE IPCA</t>
  </si>
  <si>
    <t>4º REAJUSTE IPCA</t>
  </si>
  <si>
    <t>5º REAJUSTE IPCA</t>
  </si>
  <si>
    <t>CONTROLE DE REAJUSTE IPCA - UNIFORME</t>
  </si>
  <si>
    <t>APLICAR
VALOR</t>
  </si>
  <si>
    <t>INICIAL</t>
  </si>
  <si>
    <t>CONTROLE DE REAJUSTE IPCA - MATERIAIS DIVERSOS</t>
  </si>
  <si>
    <t>CONTROLE DE REAJUSTE IPCA - EPI COVID</t>
  </si>
  <si>
    <t>CONTROLE DE REAJUSTE IPCA - SEGURO DE VIDA</t>
  </si>
  <si>
    <t>VALOR INICIAL DO CONTRATO</t>
  </si>
  <si>
    <t>1º REAJUSTE POR IPCA</t>
  </si>
  <si>
    <t>2º REAJUSTE POR IPCA</t>
  </si>
  <si>
    <t>3º REAJUSTE POR IPCA</t>
  </si>
  <si>
    <t>4º REAJUSTE POR IPCA</t>
  </si>
  <si>
    <t>5º REAJUSTE POR IPCA</t>
  </si>
  <si>
    <t>HISTÓRICO - CONTROLE DE CONTRATO - VERSÃO DE PLANILHA DE CUSTOS</t>
  </si>
  <si>
    <t>Planilha / Proposta comercial - Início do contrato (Licitação)</t>
  </si>
  <si>
    <t>PLANILHA - ID</t>
  </si>
  <si>
    <t>Obs: Planiha apresentada e aceita durante a fase de lances.</t>
  </si>
  <si>
    <t>1º Termo Aditivo</t>
  </si>
  <si>
    <t>Obs: Planilha ajustada com o acréscimo de 1 posto "X" - 200h.</t>
  </si>
  <si>
    <t>1º Termo de Apostilamento</t>
  </si>
  <si>
    <t>Obs: Repactuação CCT 2024 / Alteração do salário mínimo nacional.</t>
  </si>
  <si>
    <t>INFORMAR TERMO ADITIVO / APOSTILAMENTO / ALTERAÇÃO CONTRATUAL</t>
  </si>
  <si>
    <t>Obs: Descrever alerações. EX: Como é realizado no Extrato.</t>
  </si>
  <si>
    <t>Planilha de Encargos Sociais e Trabalhistas</t>
  </si>
  <si>
    <t>ANEXO X</t>
  </si>
  <si>
    <t>INSTRUÇÕES DE PREENCHIMENTO - Informar/Alterar somente as células destacadas na Cor Amarela, de acordo com o percentual da Licitante.</t>
  </si>
  <si>
    <t>QUADRO RESUMO</t>
  </si>
  <si>
    <t>DESCRIÇÃO</t>
  </si>
  <si>
    <t>PERCENTUAL</t>
  </si>
  <si>
    <t>Grupo A</t>
  </si>
  <si>
    <t>Encargos Previdenciários, FGTS e Outras Contribuições</t>
  </si>
  <si>
    <t>PREVIDÊNCIA SOCIAL - INSS</t>
  </si>
  <si>
    <t>SESI ou SESC</t>
  </si>
  <si>
    <t>SENAI ou SENAC</t>
  </si>
  <si>
    <t>INCRA</t>
  </si>
  <si>
    <t>Salário Educação</t>
  </si>
  <si>
    <t>FGTS</t>
  </si>
  <si>
    <t>SAT - Seguro Acidentes Trabalho - (RAT x FAP)</t>
  </si>
  <si>
    <t xml:space="preserve">  Alterar FAP e RAT na aba "DADOS"</t>
  </si>
  <si>
    <t>SEBRAE</t>
  </si>
  <si>
    <t>Total Grupo A - Encargos previdenciários, FGTS e Outras Contribuições</t>
  </si>
  <si>
    <t>Grupo B</t>
  </si>
  <si>
    <t>Grupo B.1</t>
  </si>
  <si>
    <t>13º Salário</t>
  </si>
  <si>
    <t>Adicional de Férias</t>
  </si>
  <si>
    <t>Subtotal</t>
  </si>
  <si>
    <t>Incidência do Grupo A sobre 13º salário e adicional de férias</t>
  </si>
  <si>
    <t>Total Grupo B.1 - 13º salário e adicional de férias</t>
  </si>
  <si>
    <t>Grupo B.2</t>
  </si>
  <si>
    <t>Afastamento Maternidade</t>
  </si>
  <si>
    <t>Licença Maternidade</t>
  </si>
  <si>
    <t>Incidência do Grupo A sobre o afastamento maternidade</t>
  </si>
  <si>
    <t>Total Grupo B.2 - Afastamento maternidade</t>
  </si>
  <si>
    <t>Grupo B.3</t>
  </si>
  <si>
    <t>Provisão para Rescisão</t>
  </si>
  <si>
    <t>Aviso Prévio Indenizado</t>
  </si>
  <si>
    <t>Incidência do FGTS sobre o Aviso Prévio Indenizado</t>
  </si>
  <si>
    <t>Multa do FGTS do Aviso Prévio Indenizado</t>
  </si>
  <si>
    <t>Aviso Prévio Trabalhado</t>
  </si>
  <si>
    <t xml:space="preserve">Incidência do Grupo A sobre o Aviso Prévio Trabalhado </t>
  </si>
  <si>
    <t xml:space="preserve">Multa do FGTS do Aviso Prévio Trabalhado </t>
  </si>
  <si>
    <t>Total Grupo B.3 - Provisão para rescisão</t>
  </si>
  <si>
    <t>Grupo B.4</t>
  </si>
  <si>
    <t>Composição do Custo de Reposição do Profissional Ausente</t>
  </si>
  <si>
    <t>Remuneração do profissional substituto</t>
  </si>
  <si>
    <t>Ausência por doença</t>
  </si>
  <si>
    <t>Licença Paternidade</t>
  </si>
  <si>
    <t>Ausências Legais</t>
  </si>
  <si>
    <t>Ausência por acidente de trabalho</t>
  </si>
  <si>
    <t>PERCENTUAIS PARA CONTINGENCIAMENTO DE ENCARGOS TRABALHISTAS A SEREM APLICADOS SOBRE A NOTA FISCAL (UTILIZAÇÃO DURANTE A VIGÊNCIA CONTRATUAL)</t>
  </si>
  <si>
    <t>Incidência do submódulo 4.1 sobre custo de reposição</t>
  </si>
  <si>
    <t>Total Grupo B.4 - Custo de reposição do profissional ausente</t>
  </si>
  <si>
    <t>Título</t>
  </si>
  <si>
    <t>VARIAÇÃO RAT AJUSTADO 0,50% A 6%</t>
  </si>
  <si>
    <t>Grupo C</t>
  </si>
  <si>
    <t>Outros (especificar)</t>
  </si>
  <si>
    <t>EMPRESAS</t>
  </si>
  <si>
    <t>Indenização Adicional</t>
  </si>
  <si>
    <t xml:space="preserve">Grupo </t>
  </si>
  <si>
    <t>Mínimo</t>
  </si>
  <si>
    <t>Máximo</t>
  </si>
  <si>
    <t>LICITANTE</t>
  </si>
  <si>
    <t>Total Grupo C - Indenização Adicional</t>
  </si>
  <si>
    <t>SUBMÓDULO E.1 - da IN 02/2008 MPOG:</t>
  </si>
  <si>
    <t>Quadro Resumo - Encargos Sociais e Trabalhistas</t>
  </si>
  <si>
    <t>SAT (RATxFAP):</t>
  </si>
  <si>
    <t>13º salário</t>
  </si>
  <si>
    <t>13º Salário + Adicional de Férias</t>
  </si>
  <si>
    <t>Férias</t>
  </si>
  <si>
    <t>1/3 constitucional</t>
  </si>
  <si>
    <t>Custo de Rescisão</t>
  </si>
  <si>
    <t>Custo de Reposição do profissional Ausente</t>
  </si>
  <si>
    <t>Incidência do Grupo A (*)</t>
  </si>
  <si>
    <t>Multa do FGTS</t>
  </si>
  <si>
    <t>Total dos Encargos Sociais Trabalhistas</t>
  </si>
  <si>
    <t>Encargos a contingenciar</t>
  </si>
  <si>
    <t>Taxa da conta-corrente vinculada (inciso II art. 2º IN 001/2013</t>
  </si>
  <si>
    <t>1. Não deverá haver alteração nos itens 9(9,09%), 10(3,03%), 13(3,49%) e 16(9,09%) dos percentuais acima, considerando que a Justiça Federal segue as diretrizes da IN 1/2016, de 20 de janeiro de 2016, do CJF, bem como o disposto no Art. 12 da Lei 13.932/2019, com vigência a partir de 01/01/2020.</t>
  </si>
  <si>
    <t>Total a contingenciar</t>
  </si>
  <si>
    <t>ANEXO X - CUSTO ESTIMATIVO DE PREÇOS DE EPI</t>
  </si>
  <si>
    <t>INSTRUÇÕES DE PREENCHIMENTO - Informar/Alterar somente as células destacadas na Cor Amarela, de acordo com o valor unitário da Licitante.</t>
  </si>
  <si>
    <t>Valores em R$</t>
  </si>
  <si>
    <t>Item</t>
  </si>
  <si>
    <t>Especificação</t>
  </si>
  <si>
    <t>Quant.</t>
  </si>
  <si>
    <t>Valor Unitário</t>
  </si>
  <si>
    <t>Valor Total</t>
  </si>
  <si>
    <t>Repasse Mensal</t>
  </si>
  <si>
    <t xml:space="preserve">RELAÇÃO DE EPI SERVENTE </t>
  </si>
  <si>
    <t xml:space="preserve">	
Bota em PVC, atendendo as Normas de Segurança do Trabalho, com solado antiderrapante. Desenho de cabedal tipo C e cano longo de 25cm. Cor: preta.
</t>
  </si>
  <si>
    <t>Total de EPI - Servente</t>
  </si>
  <si>
    <t>RELAÇÃO DE EPI ZELADOR</t>
  </si>
  <si>
    <t>Total de EPI - Zelador</t>
  </si>
  <si>
    <t>ANEXO X - CUSTO ESTIMATIVO DE MATERIAIS DE LIMPEZA</t>
  </si>
  <si>
    <t>VALORES UNITÁRIOS DO CONTRATO, CORRIGIDOS PELO REAJUSTE DE IPCA.</t>
  </si>
  <si>
    <t>DESCRIÇÃO DO MATERIAL</t>
  </si>
  <si>
    <t>Quantidade</t>
  </si>
  <si>
    <t>Preço Unitário</t>
  </si>
  <si>
    <t>OBSERVAÇÕES</t>
  </si>
  <si>
    <t>REFERÊNCIA</t>
  </si>
  <si>
    <t>DIVISOR</t>
  </si>
  <si>
    <t>VALOR INICIAL DO CONTRATO
(Informar após o término da licitação)</t>
  </si>
  <si>
    <t>Álcool gel 70% - 5 litros galão - gel à base de álcool a 70% com ação antisséptica. Ideal para ser usado como complemento na higienização de mãos em hospitais, laboratórios, dentistas, clinicas, consultórios e indústria em geral. Composição: álcool etílico, polímero carboxílico, neutralizante, umectante, conservante, quelante e água deionizada. Prazo de validade: 24 meses a partir da data de fabricação.</t>
  </si>
  <si>
    <t>Galão</t>
  </si>
  <si>
    <t>Asseptgel</t>
  </si>
  <si>
    <t>Mensal</t>
  </si>
  <si>
    <t>Álcool Líquido 1 Litro: Etilico Hidratado, para limpeza em geral, teor alcoolico 70 inpm. Aprovação Anvisa; Produto devera estar de acordo com legislacao vigente</t>
  </si>
  <si>
    <t>Facilita</t>
  </si>
  <si>
    <t>Balde plástico em polietileno de alta densidade, alta resistência a impacto, com paredes e fundo reforçados, com reforço no encaixe da alça de aço zincado constando no corpo a marcado fabricante, capacidade de 20 litros</t>
  </si>
  <si>
    <t>Arqplast</t>
  </si>
  <si>
    <t>Trimestral</t>
  </si>
  <si>
    <t>Balde Material: Plástico , Material Alça: Arame Galvanizado, Capacidade: 10 L, Cor: Preta, Características Adicionais: Reforço Fundo E Borda</t>
  </si>
  <si>
    <t>Sanremo</t>
  </si>
  <si>
    <t>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t>
  </si>
  <si>
    <t>Azulim</t>
  </si>
  <si>
    <t>Cesto plástico para lixo com tampa e pedal - 20 lt. cesto para lixo, com tampa e pedal em polipropileno, formato cilíndrico, capacidade aproximada de 20 litros</t>
  </si>
  <si>
    <t>Semestral</t>
  </si>
  <si>
    <t>Cloro liquido concentrado com teor ativo de no minimo 10 a 12% para limpeza pesada embalagem com 5 litros</t>
  </si>
  <si>
    <t>Audax, Butterfly</t>
  </si>
  <si>
    <t>Desentupidor Pia: Tipo: Sanfonado, Com Alto Poder De Sucção. Material: Borracha Flexível, Composto Por Polipropileno E Borracha Termoplástica. Plástico Resistente, Cabo Longo, mínimo 20 CM.</t>
  </si>
  <si>
    <t>Oliveira e Azevedo</t>
  </si>
  <si>
    <t>Desentupidor Vaso Sanitário Material: Borracha Flexível, Comprimento Cabo: 50 CM, Altura: 10 CM, Cor: Preta , Diâmetro: 16 CM, MaterialCabo: Madeira</t>
  </si>
  <si>
    <t>Canada</t>
  </si>
  <si>
    <t>Desodorizador de ambiente com 360ml bom ar</t>
  </si>
  <si>
    <t>Glade</t>
  </si>
  <si>
    <t>Desinfetante concentrado líquido. Aroma floral. Embalagem com 5 litros.</t>
  </si>
  <si>
    <t>Mirax Floral Bouquet</t>
  </si>
  <si>
    <t>Limpeza Pesada - Detergente clorado desenvolvido para desinfecção, limpeza e clareamento das superfícies em ambientes de fluxo alto, médio e baixo. Com excelente ação bactericida. Aprovação Anvisa. CHEFF Clorado diluído (1 x 10) (p/ vasos sanitários) galão com 5 litros</t>
  </si>
  <si>
    <t>Cheff, Audax Gold, Renko</t>
  </si>
  <si>
    <t>Detergente líquido para louça, neutro, embalagem de 500ml, com tampa Push Pool. Deverá conter glicerina e ser testado e aprovado por dermatologistas. Com fórmula biodegradável. Deve possuir registro na Anvisa/Ministério da Saúde, o qual deverá estar impresso no rótulo.</t>
  </si>
  <si>
    <t>Limpol</t>
  </si>
  <si>
    <t>Escova para lavar multiuso, oval, base plástica e cerdas de escova para lavar multiuso, oval, base plástica e cerdas de nylon.</t>
  </si>
  <si>
    <t>Condor</t>
  </si>
  <si>
    <t>Bimestral</t>
  </si>
  <si>
    <t>Escova Sanitária Redonda em plástico Branco contendo 01 escova para vaso sanitário e 01 suporte redondo: Branco Tamanho: 14 x 42 cm</t>
  </si>
  <si>
    <t>Limpamania</t>
  </si>
  <si>
    <t>Esponja Para Lavagem De Louças E Limpeza Em Geral, Dupla Face Sintética, Um Lado Em Espuma Poliuretano E Outro Em Fibra Sintética Abrasiva, Antibacteriana, Formato Retangular, Medindo Aproximadamente 110mm X 75mm X 20mm De Espessura. Pacote com 4 unidades.</t>
  </si>
  <si>
    <t>pacote</t>
  </si>
  <si>
    <t>Scotch-Brite</t>
  </si>
  <si>
    <t>Esponja de LÃ DE AÇO, composição básica: aço carbono abrasivo, p/ limpeza em geral, acondicionada em embalagem plástica original do fabricante, peso líquido aproximado de 60g, pacote c/ 08 unidades</t>
  </si>
  <si>
    <t>Bombril</t>
  </si>
  <si>
    <t>Espanador de pó de penas nº 25. Medidas: 25 cm de penas e 40 cm de cabo</t>
  </si>
  <si>
    <t>Duster</t>
  </si>
  <si>
    <t>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t>
  </si>
  <si>
    <t>Intextil</t>
  </si>
  <si>
    <t>Inseticida Aerossol, multiinseticida, frasco com mínimo 300 ml. Registro/ Autorização no ministério da saúde.</t>
  </si>
  <si>
    <t>Raid</t>
  </si>
  <si>
    <t>Kit limpador de vidro: Rodo limpa vidros com cabo telescópico extensor de 06 (seis)metros. Extremidade composta por lavador de acrílico e limpador com lâmina de borracha de aproximadamente 35 cm. Utilizado para limpeza de vidros e vidraças.</t>
  </si>
  <si>
    <t>Bralimpia</t>
  </si>
  <si>
    <t>Limpa vidro 500ml (Veja ou similar)</t>
  </si>
  <si>
    <t>Veja</t>
  </si>
  <si>
    <t>Lustra Móveis, Embalagem de 200 ml, Emulsão aquosa cremosa, perfumada, para aplicação em móveis e superfícies
lisas. aromas diversos. frasco plástico de 200ml com bico econômico. embalagem certificada pelo INMETRO contendo data de fabricação, validade.</t>
  </si>
  <si>
    <t>Ypê</t>
  </si>
  <si>
    <t>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t>
  </si>
  <si>
    <t>Luva Segurança Com Forro. Material: 100% Látex Nitrílico , Tamanho: M ou G ,Aplicação: Manuseio Reagente Químico E Radioativo , Características Adicionais: Com Forro, Sem Talco, Pulso Com Bainha , Modelo: Palma Antiderrapante, Cor: Verde, Tipo: Ambidestra</t>
  </si>
  <si>
    <t>Par</t>
  </si>
  <si>
    <t>Bettanin</t>
  </si>
  <si>
    <t>Pá p/ lixo em plástico resistente c/ cabo de madeira de 60cm de altura na vertical.</t>
  </si>
  <si>
    <t>Papel higiênico branco, folha dupla, de alta qualidade, com dimensões 10cm X 30m, com a marca do fabricante e indicação na embalagem, absorvente e resistente, fardo com 4 rolos de 30 metros. Tipo Neve ou de melhor qualidade.</t>
  </si>
  <si>
    <t>Fardo com 4 rolos</t>
  </si>
  <si>
    <t>Neve</t>
  </si>
  <si>
    <t>Papel Toalha Interfolhado, 2 dobras, 100% fibras celulósicas, branco extra luxo, sem pintas ou outros tipos de sujidades, boa qualidade , medindo aproximadamente 23cm x 23 cm , acondicionado em caixa c/1000 folhas.</t>
  </si>
  <si>
    <t>Pacote</t>
  </si>
  <si>
    <t>Economy (Jofel) ou similar</t>
  </si>
  <si>
    <t>Pedra sanitária c/ 25g - com suporte para fixar no vaso sanitário. Desinfetante sanitário em pedra 25 g</t>
  </si>
  <si>
    <t>Harpic, Pato</t>
  </si>
  <si>
    <t>Rodo Plástico e borracha dupla expandida de 40cm de largura, acompanha cabo de madeira plastificado de aproximadamente 1,26m, com garras pontiagudas nas laterais para melhor fixar panos de chão.</t>
  </si>
  <si>
    <t>Brubalar</t>
  </si>
  <si>
    <t>Rodo Plástico e borracha dupla expandida de 60cm, resistente e durável, que puxa e seca a água, feita em EVA e cepo em polipropileno com garras pontiagudas nas laterais para melhor fixar panos de chão.</t>
  </si>
  <si>
    <t>Sabão em barra glicerinado - cor neutra. Pacote com 5 de 200g cada unidade.</t>
  </si>
  <si>
    <t>Minuano</t>
  </si>
  <si>
    <t>Sabão em Pó – Caixa de 0,8 a 1Kg. Sabão em pó, convencional, de primeira linha. Para lavar roupas e limpeza em geral.</t>
  </si>
  <si>
    <t>Cx.</t>
  </si>
  <si>
    <t>Omo ou similar</t>
  </si>
  <si>
    <t>Sapólio em pó 300g</t>
  </si>
  <si>
    <t xml:space="preserve">	
Bombril</t>
  </si>
  <si>
    <t>Sabonete líquido Concentrado, cremoso perolizado, pronto pra uso, aroma erva-doce, lavanda ou similar, galão de 05 litros.</t>
  </si>
  <si>
    <t xml:space="preserve">	
Nobre, Start, Ikebana</t>
  </si>
  <si>
    <t>Saco de Algodão Tipo: Alvejado, Tamanho: 60 X 80 CM, Cor: Branco, Características Adicionais: Dupla Face</t>
  </si>
  <si>
    <t>Santa Margarida</t>
  </si>
  <si>
    <t>Saco plástico reforçado para lixo em polietileno, com capacidade de 100 litros, com estanqueidade suficiente para que não haja vazamento de lixo líquido. com espessura mínima de 10 micra, na cor preta. Pacote com 100 unidades.</t>
  </si>
  <si>
    <t>Polisac</t>
  </si>
  <si>
    <t>Saco plástico reforçado para lixo em polietileno, com capacidade de 40 a 50 litros, com estanqueidade suficiente para que não haja vazamento de lixo líquido. Pacote com 100 unidades.</t>
  </si>
  <si>
    <t xml:space="preserve">	
Polisac</t>
  </si>
  <si>
    <t>Saco plástico reforçado para lixo em polietileno, com capacidade de 20 litros, com estanqueidade suficiente para que não haja vazamento de lixo líquido. com espessura mínima de 09 micra, na cor preta. Pacote com 100 unidades.</t>
  </si>
  <si>
    <t xml:space="preserve">	
Altaplast</t>
  </si>
  <si>
    <t>Vassoura limpa teto, com cerdas macias de sisal e cabo de madeira de 2,70 metros. Ideal para uso na limpeza de locais de difícil acesso.</t>
  </si>
  <si>
    <t>Vassoura Material Cerdas: Pêlo Sintético, Comprimento Cepa: 60 CM, Tipo Cabo: Reforçado, Material Cabo: Madeira</t>
  </si>
  <si>
    <t>Vassoura Material Cerdas: Piaçava, Aplicação: Limpeza, Material Cepa: Madeira, Comprimento Cepa: 40 CM, Comprimento Cerdas: 13 CM, Largura Cepa: 5 CM, Altura Cepa: 4 CM, Material Cabo: Madeira</t>
  </si>
  <si>
    <t xml:space="preserve">	
Noviça</t>
  </si>
  <si>
    <t>ANEXO X - CUSTO ESTIMATIVO DE PREÇOS DOS UNIFORMES</t>
  </si>
  <si>
    <t>Serviços de Limpeza e Conservação</t>
  </si>
  <si>
    <t>CATEGORIA</t>
  </si>
  <si>
    <t>QUANT.</t>
  </si>
  <si>
    <t>DESCRIÇÃO DE UNIFORME</t>
  </si>
  <si>
    <t>CORES</t>
  </si>
  <si>
    <t>TOTAL DO QUANTITATIVO</t>
  </si>
  <si>
    <t>PREÇO UNITÁRIO</t>
  </si>
  <si>
    <t xml:space="preserve">Servente </t>
  </si>
  <si>
    <t>Calça</t>
  </si>
  <si>
    <t>Material: brim leve misto 67% Algodão / 33% Poliéster; Modelo: Unissex; Quantidade Bolsos: 2 Laterais E 2 Traseiros; Tipo Cós: Com Elástico E Pala; Modelo: unissex; características adicionais: com elástico e cordão na cintura, sem fecho, tamanhos PP, P, M, G, GG e EX. Cor Preta</t>
  </si>
  <si>
    <t>Azul Marinho</t>
  </si>
  <si>
    <t>TOTAL DE POSTOS</t>
  </si>
  <si>
    <t>Camisa</t>
  </si>
  <si>
    <t>Camisa modelo polo, confeccionada em malha Piquet ou similar, sendo 50% poliéster e 50% algodão, em tecido não transparente com gramatura entre 190 a 220g/m². Modelo gola: tipo colarinho, com pé de gola, pespontada, com um botão para fechamento. Manga curta simples, sem botões. Comprimento alongado para permitir colocar dentro da calça. Aviamento e botões na mesma cor do tecido. Logotipo da empresa bordado no lado esquerdo. Sem bolsos. Etiqueta de composição e identificação do tecido, confecção, tamanho da peça e instruções de lavagem, conforme determinação do INMETRO.
Cor: cinza chumbo.</t>
  </si>
  <si>
    <t>Palha</t>
  </si>
  <si>
    <t>Calçado</t>
  </si>
  <si>
    <t>Calçado de segurança, tipo botina, em couro curtido ao cromo, palmilha de montagem em material sintético, solado de poliuretano bidensidade injetado diretamente ao cabedal, com biqueira de aço. Cor: Preto</t>
  </si>
  <si>
    <t>Preto</t>
  </si>
  <si>
    <t>Soma</t>
  </si>
  <si>
    <t xml:space="preserve">CÁLCULO VALOR DO REPASSE MENSAL SERVENTE DE LIMPEZA </t>
  </si>
  <si>
    <t>Acúmulo Copeira</t>
  </si>
  <si>
    <t>Avental</t>
  </si>
  <si>
    <t xml:space="preserve">Avental confeccionado em napa, com alça no pescoço e cordão para amarração na cintura. Tamanho de 140cmx70cm.
</t>
  </si>
  <si>
    <t>Branco</t>
  </si>
  <si>
    <t>Touca</t>
  </si>
  <si>
    <t>Touca de poliéster com aba em tecido</t>
  </si>
  <si>
    <t>CÁLCULO VALOR DO REPASSE MENSAL ACÚMULO COPEIRA</t>
  </si>
  <si>
    <t>Preta</t>
  </si>
  <si>
    <t>CÁLCULO VALOR DO REPASSE MENSAL  DE ZELADOR</t>
  </si>
  <si>
    <t>Calça modelo em corte reto tradicional, confeccionada em jeans com elastano, sendo, no mínimo 97% algodão e 3% elastano. Frente com 2 bolsos embutidos e zíper de metal com um botão no cós para fechamento. Parte de trás com dois bolsos. Cós total no próprio tecido com 5 (cinco) passadores de cinto. Cor preto ou azul marinho.</t>
  </si>
  <si>
    <t>Camisa: Modelo polo feminino, confeccionada em malha Piquet ou similar, sendo 50% poliéster e 50% algodão, em tecido não transparente com gramatura entre 190 a 220g/m². Modelo gola: tipo colarinho, com pé de gola, pespontada, com um botão para fechamento. Manga curta simples, sem botões. Comprimento alongado para permitir colocar dentro da calça. Aviamento e botões na mesma cor do tecido. Logotipo da empresa bordado no lado esquerdo. Sem bolsos. Etiqueta de composição e identificação do tecido, confecção, tamanho da peça e instruções de lavagem, conforme determinação do INMETRO. Cor: cinza chumbo</t>
  </si>
  <si>
    <t>Cinza</t>
  </si>
  <si>
    <t>Sapato
Feminino: Sapatilha Feminina material sintético; sola antiderrapante, confeccionado em couro na cor Preto, palmilha em EVA recoberta com tecido antimicrobiano. Tamanho: Sob Medida
Sapato Masculino: 
​​​​modelo social de couro, tipo esporte fino masculino, cabedal em couro natural, com cadarçobl, palmilha almofadada, acolchoado, contraforte, solado em borracga, costurado e colado, sistema anti-impacto para o joelho e antiderrapante</t>
  </si>
  <si>
    <t>Planilha de Custo e Formação de Preço Mensal Por Categoria Profissional</t>
  </si>
  <si>
    <t>COM MATERIAL</t>
  </si>
  <si>
    <t>SEM MATERIAL</t>
  </si>
  <si>
    <t>CUSTO DE VALE ALIMENTAÇÃO</t>
  </si>
  <si>
    <t>CUSTO DE VALE-TRANSPORTE</t>
  </si>
  <si>
    <t>CUSTO INSALUBRIDADE</t>
  </si>
  <si>
    <t>33390.37.02 - Limpeza e Conservação</t>
  </si>
  <si>
    <t>MONTANTE "A" - Mão de Obra</t>
  </si>
  <si>
    <t>Função</t>
  </si>
  <si>
    <t>Carga Horária Mensal</t>
  </si>
  <si>
    <t xml:space="preserve"> Salário Base</t>
  </si>
  <si>
    <t>Adicional de Insalubridade</t>
  </si>
  <si>
    <t>Adicional Acúmulo de Função</t>
  </si>
  <si>
    <t>TOTAL DA REMUNERAÇÃO</t>
  </si>
  <si>
    <t xml:space="preserve">Encargos sociais e trabalhistas                         </t>
  </si>
  <si>
    <t>Total do Montante "A" ( Mão de Obra)</t>
  </si>
  <si>
    <t>MONTANTE "B" - INSUMOS</t>
  </si>
  <si>
    <t>Itens</t>
  </si>
  <si>
    <t>Valores Unitários</t>
  </si>
  <si>
    <t>Uniforme</t>
  </si>
  <si>
    <t xml:space="preserve">Seguro de vida  </t>
  </si>
  <si>
    <t>Programa de Assistência Familiar - PAF</t>
  </si>
  <si>
    <t>Material de Limpeza</t>
  </si>
  <si>
    <t>Material de Copa</t>
  </si>
  <si>
    <t>Depreciação de Equipamentos</t>
  </si>
  <si>
    <t>Total do Montante "B" (Insumos)</t>
  </si>
  <si>
    <t>Montante "A" + Montante "B"</t>
  </si>
  <si>
    <t>MONTANTE "C" - DEMAIS COMPONENTES</t>
  </si>
  <si>
    <t>ITENS</t>
  </si>
  <si>
    <t>Percentual</t>
  </si>
  <si>
    <t>Despesas administrativas/operacionais</t>
  </si>
  <si>
    <t>Base de cálculo do lucro</t>
  </si>
  <si>
    <t>Total do Montante "C" (Demais componentes)</t>
  </si>
  <si>
    <t>Montante "A" + Montante "B" + Montante "C"</t>
  </si>
  <si>
    <t>MONTANTE "D" - TRIBUTOS</t>
  </si>
  <si>
    <t>Total do Montante "D" (Tributos)</t>
  </si>
  <si>
    <t>FATOR K</t>
  </si>
  <si>
    <t>Deslocamento Insalubridade</t>
  </si>
  <si>
    <t>Valores Unitarios</t>
  </si>
  <si>
    <t>33390.37.01 - Serviços Administrativos</t>
  </si>
  <si>
    <t xml:space="preserve">ANEXO X - PLANILHA DE CUSTO E FORMAÇÃO DE PREÇO MENSAL ESTIMATIVO DO PROFISSIONAL SUBSTITUTO DO TITULAR EM FÉRIAS </t>
  </si>
  <si>
    <t xml:space="preserve">DESCRIÇÃO </t>
  </si>
  <si>
    <t>4.5</t>
  </si>
  <si>
    <t>Valor em R$</t>
  </si>
  <si>
    <t>Módulo 1 - Total da Remuneração</t>
  </si>
  <si>
    <t>A</t>
  </si>
  <si>
    <t>G</t>
  </si>
  <si>
    <t>Total do Custo MENSAL de Reposição do Profissional Ausente em Férias</t>
  </si>
  <si>
    <t>Total do Custo ANUAL de Reposição do Profissional Ausente em Férias</t>
  </si>
  <si>
    <t>Módulo 2 - Benefícios Mensais e Diários</t>
  </si>
  <si>
    <t>Vale-Alimentação</t>
  </si>
  <si>
    <t>B</t>
  </si>
  <si>
    <t>Vale-Transporte</t>
  </si>
  <si>
    <t>C</t>
  </si>
  <si>
    <t>Outros (sem concessão do intervalo intrajornada)</t>
  </si>
  <si>
    <t>Total de Benefícios Mensais e Diários</t>
  </si>
  <si>
    <t>Módulo 5 - Custos Indiretos, Lucros e Tributos</t>
  </si>
  <si>
    <t>Custos Indiretos (Despesas Operacionais e Administrativas)</t>
  </si>
  <si>
    <t>Tributos</t>
  </si>
  <si>
    <t>C.1</t>
  </si>
  <si>
    <t>Tributos Federais (PIS E COFINS)</t>
  </si>
  <si>
    <t>C.2</t>
  </si>
  <si>
    <t>Tributos Estaduais (especificar)</t>
  </si>
  <si>
    <t>C.3</t>
  </si>
  <si>
    <t>Tributos Municipais (ISS)</t>
  </si>
  <si>
    <t>C.4</t>
  </si>
  <si>
    <t>Total dos Custos Indiretos e Tributos</t>
  </si>
  <si>
    <t>CUSTO TOTAL DO PROFISSIONAL SUBSTITUTO</t>
  </si>
  <si>
    <t>Resumo do Custo Por Empregado Substituto do Titular em Férias</t>
  </si>
  <si>
    <t>Mão de Obra Vinculada à Execução Contratual  (Valor Por Empregado)</t>
  </si>
  <si>
    <t>Módulo 1 - Composição Remuneração * 12 (Anual)</t>
  </si>
  <si>
    <t>Subtotal (A+B)</t>
  </si>
  <si>
    <t>E</t>
  </si>
  <si>
    <t>Módulo 5 - Custos Indiretos, Tributos e Lucro</t>
  </si>
  <si>
    <t xml:space="preserve">Valor Total Mensal Por Empregado Substituto do Titular em Férias </t>
  </si>
  <si>
    <t>ANEXO X - PLANILHA DE CUSTO E FORMAÇÃO DE PREÇO MENSAL ESTIMATIVO INTEGRAL - RESUMO</t>
  </si>
  <si>
    <t xml:space="preserve">MÊS: </t>
  </si>
  <si>
    <t>VALORES EM R$</t>
  </si>
  <si>
    <t>ELEMENTO DE DESPESA</t>
  </si>
  <si>
    <t>CATEGORIA PROFISSIONAL</t>
  </si>
  <si>
    <t>TOTAL DO FATURAMENTO MENSAL</t>
  </si>
  <si>
    <t>CUSTO MENSAL</t>
  </si>
  <si>
    <t>GLOSA VALE TRANSPORTE</t>
  </si>
  <si>
    <t>GLOSA DE ATRASOS, FALTAS E DESCONTO DO TITULAR EM FÉRIAS (sem material)</t>
  </si>
  <si>
    <t>GLOSA VALE ALIMENTAÇÃO</t>
  </si>
  <si>
    <t>TOTAL GLOSAS</t>
  </si>
  <si>
    <t>ACRÉSCIMO DE INSALUBRIDADE</t>
  </si>
  <si>
    <t>Homem-Mês</t>
  </si>
  <si>
    <t>Custo Mensal  do vale-transporte da categoria com Encargos</t>
  </si>
  <si>
    <t xml:space="preserve">GLOSA </t>
  </si>
  <si>
    <t>Glosa de Atrasos e Faltas</t>
  </si>
  <si>
    <t>Desconto Mensal do Titular em Férias sem substituição</t>
  </si>
  <si>
    <t>Desconto de Vale Alimentação em recesso forense ou ponto facultativo.</t>
  </si>
  <si>
    <t>Total da Glosa de Atrasos, Faltas, Desconto do Titular em Férias sem substituição e Desconto de V.A para recessos.</t>
  </si>
  <si>
    <t>PAGAMENTO INSALUBRIDADE EM SUBSTITUIÇÃO</t>
  </si>
  <si>
    <t>Custo Unitário da categoria</t>
  </si>
  <si>
    <t>Custo Mensal da categoria</t>
  </si>
  <si>
    <t>Dias de afastamento</t>
  </si>
  <si>
    <t>Valor da Glosa do vale transporte da categoria</t>
  </si>
  <si>
    <t>Custo Homem-Mês               (sem material)</t>
  </si>
  <si>
    <t>Valor da Glosa de Atrasos e Faltas</t>
  </si>
  <si>
    <t>Custo Unitário da categoria Planilha de Férias</t>
  </si>
  <si>
    <t xml:space="preserve">Valor do Desconto Mensal </t>
  </si>
  <si>
    <t>Custo Mensal  do vale alimentação da categoria com Encargos</t>
  </si>
  <si>
    <t>Dias de Recesso e/ou ponto facultativo</t>
  </si>
  <si>
    <t>Valor da Glosa do vale alimentação da categoria</t>
  </si>
  <si>
    <t>Valor Insalubridade por dia</t>
  </si>
  <si>
    <t>Quantidade de Dias</t>
  </si>
  <si>
    <t>Valor Devido</t>
  </si>
  <si>
    <t>339037-02</t>
  </si>
  <si>
    <t>339037-01</t>
  </si>
  <si>
    <t xml:space="preserve">TOTAL DO FATURAMENTO MENSAL </t>
  </si>
  <si>
    <t>Valor para Lance - Registro de oferta</t>
  </si>
  <si>
    <t>VALOR DO MATERIAL</t>
  </si>
  <si>
    <t>TOTAL DO FATURAMENTO ANUAL</t>
  </si>
  <si>
    <t>2. Na célula “R13” deverá ser informado a quantidade de dias em que o trabalho insalubre foi realizado por outra servente do quadro, durante as férias da titular.</t>
  </si>
  <si>
    <t>Subseção Judiciária de Sete Lagoas</t>
  </si>
  <si>
    <t>Período:</t>
  </si>
  <si>
    <t xml:space="preserve">ÍNDICE </t>
  </si>
  <si>
    <t>IPCA/ IBGE</t>
  </si>
  <si>
    <t>DIAS</t>
  </si>
  <si>
    <t>Pró-rata</t>
  </si>
  <si>
    <t>VALOR ATUAL</t>
  </si>
  <si>
    <t>ANO</t>
  </si>
  <si>
    <t>MÊS</t>
  </si>
  <si>
    <t>ÍNDICE %</t>
  </si>
  <si>
    <t>%</t>
  </si>
  <si>
    <t>AGO</t>
  </si>
  <si>
    <t>SET</t>
  </si>
  <si>
    <t>OUT</t>
  </si>
  <si>
    <t>NOV</t>
  </si>
  <si>
    <t>DEZ</t>
  </si>
  <si>
    <t>JAN</t>
  </si>
  <si>
    <t>FEV</t>
  </si>
  <si>
    <t>MAR</t>
  </si>
  <si>
    <t>ABR</t>
  </si>
  <si>
    <t>MAI</t>
  </si>
  <si>
    <t>JUN</t>
  </si>
  <si>
    <t>JUL</t>
  </si>
  <si>
    <t>INDICE ACUMULADO</t>
  </si>
  <si>
    <t xml:space="preserve">Assistente Administrativo </t>
  </si>
  <si>
    <t>CÁLCULO VALOR DO REPASSE MENSAL ASSISTENTE ADMINISTRATIVO</t>
  </si>
  <si>
    <t>Assistente Administrativo</t>
  </si>
  <si>
    <t>Serventede Limpeza acúmulo função Copeira</t>
  </si>
</sst>
</file>

<file path=xl/styles.xml><?xml version="1.0" encoding="utf-8"?>
<styleSheet xmlns="http://schemas.openxmlformats.org/spreadsheetml/2006/main">
  <numFmts count="7">
    <numFmt numFmtId="164" formatCode="_-* #,##0.00_-;\-* #,##0.00_-;_-* \-??_-;_-@_-"/>
    <numFmt numFmtId="165" formatCode="_-&quot;R$ &quot;* #,##0.00_-;&quot;-R$ &quot;* #,##0.00_-;_-&quot;R$ &quot;* \-??_-;_-@_-"/>
    <numFmt numFmtId="166" formatCode="#,##0_ ;\-#,##0\ "/>
    <numFmt numFmtId="167" formatCode="d/m/yyyy"/>
    <numFmt numFmtId="168" formatCode="0.0000"/>
    <numFmt numFmtId="169" formatCode="* #,##0.00\ ;* \(#,##0.00\);* \-#\ ;@\ "/>
    <numFmt numFmtId="170" formatCode="#,##0.00_ ;\-#,##0.00\ "/>
  </numFmts>
  <fonts count="55">
    <font>
      <sz val="11"/>
      <color rgb="FF000000"/>
      <name val="Calibri"/>
      <family val="2"/>
      <charset val="1"/>
    </font>
    <font>
      <sz val="11"/>
      <name val="Calibri"/>
      <family val="2"/>
      <charset val="1"/>
    </font>
    <font>
      <sz val="10"/>
      <color rgb="FF333333"/>
      <name val="Calibri"/>
      <family val="2"/>
      <charset val="1"/>
    </font>
    <font>
      <b/>
      <sz val="18"/>
      <name val="Calibri"/>
      <family val="2"/>
      <charset val="1"/>
    </font>
    <font>
      <b/>
      <sz val="16"/>
      <name val="Calibri"/>
      <family val="2"/>
      <charset val="1"/>
    </font>
    <font>
      <b/>
      <sz val="11"/>
      <name val="Calibri"/>
      <family val="2"/>
      <charset val="1"/>
    </font>
    <font>
      <sz val="12"/>
      <name val="Calibri"/>
      <family val="2"/>
      <charset val="1"/>
    </font>
    <font>
      <b/>
      <sz val="10"/>
      <name val="Calibri"/>
      <family val="2"/>
      <charset val="1"/>
    </font>
    <font>
      <b/>
      <sz val="10"/>
      <color rgb="FFFF0000"/>
      <name val="Calibri"/>
      <family val="2"/>
      <charset val="1"/>
    </font>
    <font>
      <sz val="10"/>
      <name val="Calibri"/>
      <family val="2"/>
      <charset val="1"/>
    </font>
    <font>
      <sz val="9"/>
      <name val="Calibri"/>
      <family val="2"/>
      <charset val="1"/>
    </font>
    <font>
      <sz val="10"/>
      <color rgb="FFFF0000"/>
      <name val="Calibri"/>
      <family val="2"/>
      <charset val="1"/>
    </font>
    <font>
      <sz val="11"/>
      <color rgb="FF808080"/>
      <name val="Calibri"/>
      <family val="2"/>
      <charset val="1"/>
    </font>
    <font>
      <b/>
      <i/>
      <u/>
      <sz val="11"/>
      <name val="Calibri"/>
      <family val="2"/>
      <charset val="1"/>
    </font>
    <font>
      <sz val="11"/>
      <color rgb="FFFF0000"/>
      <name val="Calibri"/>
      <family val="2"/>
      <charset val="1"/>
    </font>
    <font>
      <b/>
      <u/>
      <sz val="10"/>
      <name val="Calibri"/>
      <family val="2"/>
      <charset val="1"/>
    </font>
    <font>
      <sz val="8"/>
      <name val="Calibri"/>
      <family val="2"/>
      <charset val="1"/>
    </font>
    <font>
      <b/>
      <sz val="12"/>
      <name val="Calibri"/>
      <family val="2"/>
      <charset val="1"/>
    </font>
    <font>
      <sz val="10"/>
      <color rgb="FFFFFFFF"/>
      <name val="Calibri"/>
      <family val="2"/>
      <charset val="1"/>
    </font>
    <font>
      <b/>
      <sz val="14"/>
      <name val="Calibri"/>
      <family val="2"/>
      <charset val="1"/>
    </font>
    <font>
      <b/>
      <sz val="11"/>
      <color rgb="FF000000"/>
      <name val="Calibri"/>
      <family val="2"/>
      <charset val="1"/>
    </font>
    <font>
      <b/>
      <sz val="11"/>
      <color rgb="FFFF0000"/>
      <name val="Calibri"/>
      <family val="2"/>
      <charset val="1"/>
    </font>
    <font>
      <b/>
      <sz val="12"/>
      <color rgb="FF333333"/>
      <name val="Calibri"/>
      <family val="2"/>
      <charset val="1"/>
    </font>
    <font>
      <b/>
      <sz val="11"/>
      <color rgb="FF333333"/>
      <name val="Calibri"/>
      <family val="2"/>
      <charset val="1"/>
    </font>
    <font>
      <b/>
      <sz val="9"/>
      <color rgb="FF333333"/>
      <name val="Calibri"/>
      <family val="2"/>
      <charset val="1"/>
    </font>
    <font>
      <b/>
      <sz val="9"/>
      <name val="Calibri"/>
      <family val="2"/>
      <charset val="1"/>
    </font>
    <font>
      <sz val="10"/>
      <color rgb="FF000000"/>
      <name val="Calibri"/>
      <family val="2"/>
      <charset val="1"/>
    </font>
    <font>
      <b/>
      <sz val="10"/>
      <color rgb="FF000000"/>
      <name val="Calibri"/>
      <family val="2"/>
      <charset val="1"/>
    </font>
    <font>
      <b/>
      <sz val="8"/>
      <name val="Calibri"/>
      <family val="2"/>
      <charset val="1"/>
    </font>
    <font>
      <b/>
      <sz val="9"/>
      <color rgb="FFFF0000"/>
      <name val="Calibri"/>
      <family val="2"/>
      <charset val="1"/>
    </font>
    <font>
      <b/>
      <sz val="6"/>
      <name val="Calibri"/>
      <family val="2"/>
      <charset val="1"/>
    </font>
    <font>
      <b/>
      <sz val="12"/>
      <color rgb="FFBFBFBF"/>
      <name val="Calibri"/>
      <family val="2"/>
      <charset val="1"/>
    </font>
    <font>
      <b/>
      <sz val="10"/>
      <color rgb="FFC00000"/>
      <name val="Calibri"/>
      <family val="2"/>
      <charset val="1"/>
    </font>
    <font>
      <b/>
      <sz val="7"/>
      <name val="Calibri"/>
      <family val="2"/>
      <charset val="1"/>
    </font>
    <font>
      <sz val="10"/>
      <color rgb="FFC00000"/>
      <name val="Calibri"/>
      <family val="2"/>
      <charset val="1"/>
    </font>
    <font>
      <b/>
      <sz val="12"/>
      <name val="Times New Roman"/>
      <family val="1"/>
      <charset val="1"/>
    </font>
    <font>
      <b/>
      <sz val="28"/>
      <name val="Calibri"/>
      <family val="2"/>
      <charset val="1"/>
    </font>
    <font>
      <b/>
      <sz val="12"/>
      <color rgb="FFCCFFCC"/>
      <name val="Calibri"/>
      <family val="2"/>
      <charset val="1"/>
    </font>
    <font>
      <sz val="10"/>
      <name val="Times New Roman"/>
      <family val="1"/>
      <charset val="1"/>
    </font>
    <font>
      <sz val="14"/>
      <name val="Calibri"/>
      <family val="2"/>
      <charset val="1"/>
    </font>
    <font>
      <b/>
      <sz val="12.5"/>
      <name val="Calibri"/>
      <family val="2"/>
      <charset val="1"/>
    </font>
    <font>
      <b/>
      <sz val="12"/>
      <color rgb="FF000000"/>
      <name val="Calibri"/>
      <family val="2"/>
      <charset val="1"/>
    </font>
    <font>
      <b/>
      <sz val="9"/>
      <color rgb="FF000000"/>
      <name val="Calibri"/>
      <family val="2"/>
      <charset val="1"/>
    </font>
    <font>
      <b/>
      <sz val="10"/>
      <color rgb="FFFFFFFF"/>
      <name val="Calibri"/>
      <family val="2"/>
      <charset val="1"/>
    </font>
    <font>
      <b/>
      <sz val="8"/>
      <color rgb="FFFF0000"/>
      <name val="Calibri"/>
      <family val="2"/>
      <charset val="1"/>
    </font>
    <font>
      <sz val="11"/>
      <color rgb="FF000000"/>
      <name val="Calibri"/>
      <family val="2"/>
      <charset val="1"/>
    </font>
    <font>
      <sz val="11"/>
      <name val="Calibri"/>
      <family val="2"/>
    </font>
    <font>
      <sz val="10"/>
      <name val="Calibri"/>
      <family val="2"/>
      <scheme val="minor"/>
    </font>
    <font>
      <sz val="10"/>
      <color rgb="FF000000"/>
      <name val="Calibri"/>
      <family val="2"/>
      <scheme val="minor"/>
    </font>
    <font>
      <b/>
      <sz val="12"/>
      <name val="Calibri"/>
      <family val="2"/>
    </font>
    <font>
      <b/>
      <sz val="24"/>
      <name val="Calibri"/>
      <family val="2"/>
      <charset val="1"/>
    </font>
    <font>
      <b/>
      <sz val="10"/>
      <name val="Calibri"/>
      <family val="2"/>
    </font>
    <font>
      <sz val="10"/>
      <name val="Calibri"/>
      <family val="2"/>
    </font>
    <font>
      <sz val="10"/>
      <color rgb="FF000000"/>
      <name val="Calibri"/>
      <family val="2"/>
    </font>
    <font>
      <sz val="10"/>
      <color rgb="FFC00000"/>
      <name val="Calibri"/>
      <family val="2"/>
    </font>
  </fonts>
  <fills count="22">
    <fill>
      <patternFill patternType="none"/>
    </fill>
    <fill>
      <patternFill patternType="gray125"/>
    </fill>
    <fill>
      <patternFill patternType="solid">
        <fgColor rgb="FFFFFF99"/>
        <bgColor rgb="FFFFFFCC"/>
      </patternFill>
    </fill>
    <fill>
      <patternFill patternType="solid">
        <fgColor rgb="FFF8CBAD"/>
        <bgColor rgb="FFFFC7CE"/>
      </patternFill>
    </fill>
    <fill>
      <patternFill patternType="solid">
        <fgColor rgb="FFFFFFCC"/>
        <bgColor rgb="FFFFF2CC"/>
      </patternFill>
    </fill>
    <fill>
      <patternFill patternType="solid">
        <fgColor rgb="FFDCE6F2"/>
        <bgColor rgb="FFDEEBF7"/>
      </patternFill>
    </fill>
    <fill>
      <patternFill patternType="solid">
        <fgColor rgb="FFF2DCDB"/>
        <bgColor rgb="FFD9D9D9"/>
      </patternFill>
    </fill>
    <fill>
      <patternFill patternType="solid">
        <fgColor rgb="FF606060"/>
        <bgColor rgb="FF808080"/>
      </patternFill>
    </fill>
    <fill>
      <patternFill patternType="solid">
        <fgColor rgb="FFFFFFFF"/>
        <bgColor rgb="FFF2F2F2"/>
      </patternFill>
    </fill>
    <fill>
      <patternFill patternType="solid">
        <fgColor rgb="FFF2F2F2"/>
        <bgColor rgb="FFDEEBF7"/>
      </patternFill>
    </fill>
    <fill>
      <patternFill patternType="solid">
        <fgColor rgb="FF3366CC"/>
        <bgColor rgb="FF0066CC"/>
      </patternFill>
    </fill>
    <fill>
      <patternFill patternType="solid">
        <fgColor rgb="FFD9D9D9"/>
        <bgColor rgb="FFDCE6F2"/>
      </patternFill>
    </fill>
    <fill>
      <patternFill patternType="solid">
        <fgColor rgb="FFDEEBF7"/>
        <bgColor rgb="FFDCE6F2"/>
      </patternFill>
    </fill>
    <fill>
      <patternFill patternType="solid">
        <fgColor rgb="FF10243E"/>
        <bgColor rgb="FF333333"/>
      </patternFill>
    </fill>
    <fill>
      <patternFill patternType="solid">
        <fgColor rgb="FFBDD7EE"/>
        <bgColor rgb="FFD9D9D9"/>
      </patternFill>
    </fill>
    <fill>
      <patternFill patternType="solid">
        <fgColor rgb="FFC0C0C0"/>
        <bgColor rgb="FFBFBFBF"/>
      </patternFill>
    </fill>
    <fill>
      <patternFill patternType="solid">
        <fgColor rgb="FFADB9CA"/>
        <bgColor rgb="FFBFBFBF"/>
      </patternFill>
    </fill>
    <fill>
      <patternFill patternType="solid">
        <fgColor rgb="FF00B0F0"/>
        <bgColor rgb="FF33CCCC"/>
      </patternFill>
    </fill>
    <fill>
      <patternFill patternType="solid">
        <fgColor rgb="FF808080"/>
        <bgColor rgb="FF606060"/>
      </patternFill>
    </fill>
    <fill>
      <patternFill patternType="solid">
        <fgColor theme="0" tint="-0.14999847407452621"/>
        <bgColor indexed="64"/>
      </patternFill>
    </fill>
    <fill>
      <patternFill patternType="solid">
        <fgColor theme="1" tint="0.34998626667073579"/>
        <bgColor rgb="FFFFFFCC"/>
      </patternFill>
    </fill>
    <fill>
      <patternFill patternType="solid">
        <fgColor theme="1" tint="0.34998626667073579"/>
        <bgColor indexed="64"/>
      </patternFill>
    </fill>
  </fills>
  <borders count="6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s>
  <cellStyleXfs count="5">
    <xf numFmtId="0" fontId="0" fillId="0" borderId="0"/>
    <xf numFmtId="164" fontId="45" fillId="0" borderId="0" applyBorder="0" applyProtection="0"/>
    <xf numFmtId="165" fontId="45" fillId="0" borderId="0" applyBorder="0" applyProtection="0"/>
    <xf numFmtId="9" fontId="45" fillId="0" borderId="0" applyBorder="0" applyProtection="0"/>
    <xf numFmtId="169" fontId="38" fillId="0" borderId="0" applyBorder="0" applyProtection="0"/>
  </cellStyleXfs>
  <cellXfs count="68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xf numFmtId="0" fontId="2" fillId="0" borderId="2" xfId="0" applyFont="1" applyBorder="1" applyAlignment="1">
      <alignment horizontal="left" vertical="center"/>
    </xf>
    <xf numFmtId="0" fontId="3" fillId="0" borderId="0" xfId="0" applyFont="1" applyAlignment="1">
      <alignment vertical="center"/>
    </xf>
    <xf numFmtId="0" fontId="1" fillId="0" borderId="3" xfId="0" applyFont="1" applyBorder="1" applyAlignment="1">
      <alignment vertical="top"/>
    </xf>
    <xf numFmtId="0" fontId="2" fillId="0" borderId="0" xfId="0" applyFont="1" applyAlignment="1">
      <alignment horizontal="left" vertical="center"/>
    </xf>
    <xf numFmtId="0" fontId="3"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xf>
    <xf numFmtId="0" fontId="2" fillId="0" borderId="0" xfId="0" applyFont="1" applyAlignment="1">
      <alignment horizontal="left" vertical="top"/>
    </xf>
    <xf numFmtId="0" fontId="5" fillId="2" borderId="4" xfId="0" applyFont="1" applyFill="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 fillId="0" borderId="4"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1" fontId="9" fillId="0" borderId="17" xfId="0" applyNumberFormat="1" applyFont="1" applyBorder="1" applyAlignment="1">
      <alignment horizontal="center" vertical="center"/>
    </xf>
    <xf numFmtId="0" fontId="9" fillId="0" borderId="4" xfId="0" applyFont="1" applyBorder="1" applyAlignment="1">
      <alignment vertical="center" wrapText="1"/>
    </xf>
    <xf numFmtId="1" fontId="9" fillId="0" borderId="4" xfId="0" applyNumberFormat="1" applyFont="1" applyBorder="1" applyAlignment="1">
      <alignment horizontal="center" vertical="center"/>
    </xf>
    <xf numFmtId="0" fontId="11" fillId="6" borderId="18"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2" fontId="11" fillId="6" borderId="17" xfId="0" applyNumberFormat="1" applyFont="1" applyFill="1" applyBorder="1" applyAlignment="1" applyProtection="1">
      <alignment horizontal="center" vertical="center"/>
      <protection locked="0"/>
    </xf>
    <xf numFmtId="2" fontId="9" fillId="0" borderId="19" xfId="0" applyNumberFormat="1" applyFont="1" applyBorder="1" applyAlignment="1">
      <alignment horizontal="center" vertical="center"/>
    </xf>
    <xf numFmtId="0" fontId="11" fillId="6" borderId="20" xfId="0" applyFont="1" applyFill="1" applyBorder="1" applyAlignment="1" applyProtection="1">
      <alignment horizontal="center" vertical="center"/>
      <protection locked="0"/>
    </xf>
    <xf numFmtId="164" fontId="12" fillId="7" borderId="20" xfId="0" applyNumberFormat="1" applyFont="1" applyFill="1" applyBorder="1" applyAlignment="1">
      <alignment horizontal="center" vertical="center"/>
    </xf>
    <xf numFmtId="164" fontId="9" fillId="0" borderId="21" xfId="0" applyNumberFormat="1" applyFont="1" applyBorder="1" applyAlignment="1">
      <alignment horizontal="center" vertical="center"/>
    </xf>
    <xf numFmtId="164" fontId="12" fillId="7" borderId="4" xfId="0" applyNumberFormat="1" applyFont="1" applyFill="1" applyBorder="1" applyAlignment="1">
      <alignment horizontal="center" vertical="center"/>
    </xf>
    <xf numFmtId="165" fontId="9" fillId="0" borderId="4" xfId="0" applyNumberFormat="1" applyFont="1" applyBorder="1" applyAlignment="1">
      <alignment horizontal="center" vertical="center"/>
    </xf>
    <xf numFmtId="0" fontId="9" fillId="0" borderId="19" xfId="0" applyFont="1" applyBorder="1" applyAlignment="1">
      <alignment vertical="center"/>
    </xf>
    <xf numFmtId="0" fontId="9" fillId="0" borderId="4" xfId="0" applyFont="1" applyBorder="1" applyAlignment="1">
      <alignment horizontal="center" vertical="center"/>
    </xf>
    <xf numFmtId="165" fontId="9" fillId="0" borderId="4" xfId="2" applyFont="1" applyBorder="1" applyAlignment="1" applyProtection="1">
      <alignment horizontal="center" vertical="center"/>
    </xf>
    <xf numFmtId="165" fontId="9" fillId="0" borderId="19" xfId="2" applyFont="1" applyBorder="1" applyAlignment="1" applyProtection="1">
      <alignment horizontal="center" vertical="center"/>
    </xf>
    <xf numFmtId="0" fontId="9" fillId="0" borderId="21" xfId="0" applyFont="1" applyBorder="1" applyAlignment="1">
      <alignment horizontal="center" vertical="center"/>
    </xf>
    <xf numFmtId="0" fontId="7" fillId="5" borderId="27" xfId="0" applyFont="1" applyFill="1" applyBorder="1" applyAlignment="1">
      <alignment horizontal="center" vertical="center" wrapText="1"/>
    </xf>
    <xf numFmtId="4" fontId="7" fillId="5" borderId="2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2" xfId="0" applyFont="1" applyFill="1" applyBorder="1" applyAlignment="1">
      <alignment vertical="center" wrapText="1"/>
    </xf>
    <xf numFmtId="0" fontId="9" fillId="0" borderId="0" xfId="0" applyFont="1" applyAlignment="1">
      <alignment vertical="center"/>
    </xf>
    <xf numFmtId="0" fontId="13"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left" vertical="center" wrapText="1"/>
    </xf>
    <xf numFmtId="0" fontId="7" fillId="5" borderId="4" xfId="0" applyFont="1" applyFill="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pplyProtection="1">
      <alignment horizontal="center" vertical="center"/>
      <protection locked="0"/>
    </xf>
    <xf numFmtId="2" fontId="9" fillId="0" borderId="4" xfId="0" applyNumberFormat="1" applyFont="1" applyBorder="1" applyAlignment="1" applyProtection="1">
      <alignment horizontal="center" vertical="center"/>
      <protection locked="0"/>
    </xf>
    <xf numFmtId="165" fontId="1" fillId="0" borderId="0" xfId="2" applyFont="1" applyBorder="1" applyAlignment="1" applyProtection="1">
      <alignment horizontal="left" vertical="center"/>
    </xf>
    <xf numFmtId="0" fontId="7" fillId="0" borderId="0" xfId="0" applyFont="1" applyAlignment="1">
      <alignment horizontal="center" vertical="center" wrapText="1"/>
    </xf>
    <xf numFmtId="0" fontId="9" fillId="0" borderId="0" xfId="0" applyFont="1"/>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0" borderId="12" xfId="0" applyFont="1" applyBorder="1" applyAlignment="1">
      <alignment horizontal="center" vertical="center" wrapText="1"/>
    </xf>
    <xf numFmtId="0" fontId="11" fillId="6" borderId="12" xfId="0" applyFont="1" applyFill="1" applyBorder="1" applyAlignment="1" applyProtection="1">
      <alignment horizontal="center" vertical="center"/>
      <protection locked="0"/>
    </xf>
    <xf numFmtId="0" fontId="9" fillId="0" borderId="14" xfId="0" applyFont="1" applyBorder="1" applyAlignment="1">
      <alignment vertical="center"/>
    </xf>
    <xf numFmtId="0" fontId="10" fillId="0" borderId="11" xfId="0" applyFont="1" applyBorder="1" applyAlignment="1">
      <alignment horizontal="center" vertical="center" wrapText="1"/>
    </xf>
    <xf numFmtId="166" fontId="9" fillId="0" borderId="1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1" fontId="2" fillId="0" borderId="17" xfId="0" applyNumberFormat="1" applyFont="1" applyBorder="1" applyAlignment="1">
      <alignment horizontal="center" vertical="center" wrapText="1"/>
    </xf>
    <xf numFmtId="0" fontId="9" fillId="0" borderId="4" xfId="0" applyFont="1" applyBorder="1" applyAlignment="1">
      <alignment horizontal="center" vertical="center" wrapText="1"/>
    </xf>
    <xf numFmtId="1" fontId="2" fillId="8" borderId="17" xfId="0" applyNumberFormat="1" applyFont="1" applyFill="1" applyBorder="1" applyAlignment="1">
      <alignment horizontal="center" vertical="center" wrapText="1"/>
    </xf>
    <xf numFmtId="0" fontId="9" fillId="0" borderId="25" xfId="0" applyFont="1" applyBorder="1" applyAlignment="1">
      <alignment horizontal="center" vertical="center"/>
    </xf>
    <xf numFmtId="165" fontId="7" fillId="5" borderId="14" xfId="2" applyFont="1" applyFill="1" applyBorder="1" applyAlignment="1" applyProtection="1">
      <alignment horizontal="center" vertical="center" wrapText="1"/>
    </xf>
    <xf numFmtId="10" fontId="7" fillId="5" borderId="21" xfId="0" applyNumberFormat="1" applyFont="1" applyFill="1" applyBorder="1" applyAlignment="1">
      <alignment horizontal="center" vertical="center" wrapText="1"/>
    </xf>
    <xf numFmtId="165" fontId="7" fillId="5" borderId="19" xfId="2" applyFont="1" applyFill="1" applyBorder="1" applyAlignment="1" applyProtection="1">
      <alignment horizontal="center" vertical="center" wrapText="1"/>
    </xf>
    <xf numFmtId="165" fontId="7" fillId="5" borderId="25" xfId="2" applyFont="1" applyFill="1" applyBorder="1" applyAlignment="1" applyProtection="1">
      <alignment horizontal="center" vertical="center" wrapText="1"/>
    </xf>
    <xf numFmtId="0" fontId="1" fillId="0" borderId="4" xfId="0" applyFont="1" applyBorder="1"/>
    <xf numFmtId="3" fontId="1" fillId="0" borderId="18" xfId="0" applyNumberFormat="1"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left"/>
    </xf>
    <xf numFmtId="0" fontId="9" fillId="0" borderId="0" xfId="0" applyFont="1" applyAlignment="1">
      <alignment horizontal="left"/>
    </xf>
    <xf numFmtId="0" fontId="16" fillId="0" borderId="1" xfId="0" applyFont="1" applyBorder="1"/>
    <xf numFmtId="0" fontId="2" fillId="0" borderId="2" xfId="0" applyFont="1" applyBorder="1" applyAlignment="1">
      <alignment vertical="center"/>
    </xf>
    <xf numFmtId="0" fontId="16" fillId="0" borderId="3" xfId="0" applyFont="1" applyBorder="1"/>
    <xf numFmtId="0" fontId="2"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horizontal="left"/>
    </xf>
    <xf numFmtId="0" fontId="9" fillId="2" borderId="9" xfId="0" applyFont="1" applyFill="1" applyBorder="1" applyAlignment="1">
      <alignment horizontal="left"/>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xf>
    <xf numFmtId="0" fontId="9" fillId="2" borderId="0" xfId="0" applyFont="1" applyFill="1"/>
    <xf numFmtId="0" fontId="7" fillId="0" borderId="0" xfId="0" applyFont="1"/>
    <xf numFmtId="0" fontId="9" fillId="9" borderId="0" xfId="0" applyFont="1" applyFill="1"/>
    <xf numFmtId="0" fontId="18" fillId="10" borderId="0" xfId="0" applyFont="1" applyFill="1"/>
    <xf numFmtId="0" fontId="9" fillId="9" borderId="0" xfId="0" applyFont="1" applyFill="1" applyAlignment="1">
      <alignment vertical="center"/>
    </xf>
    <xf numFmtId="0" fontId="9" fillId="8" borderId="0" xfId="0" applyFont="1" applyFill="1" applyAlignment="1">
      <alignment vertical="center"/>
    </xf>
    <xf numFmtId="0" fontId="2" fillId="0" borderId="0" xfId="0" applyFont="1"/>
    <xf numFmtId="0" fontId="9" fillId="0" borderId="0" xfId="0" applyFont="1" applyAlignment="1">
      <alignment horizontal="center"/>
    </xf>
    <xf numFmtId="0" fontId="19" fillId="0" borderId="0" xfId="0" applyFont="1" applyAlignment="1">
      <alignment horizontal="left" vertical="center"/>
    </xf>
    <xf numFmtId="0" fontId="1" fillId="0" borderId="0" xfId="0" applyFont="1" applyAlignment="1">
      <alignment vertical="center"/>
    </xf>
    <xf numFmtId="167" fontId="5" fillId="0" borderId="0" xfId="0" applyNumberFormat="1" applyFont="1" applyAlignment="1">
      <alignment horizontal="left" vertical="center"/>
    </xf>
    <xf numFmtId="0" fontId="5" fillId="0" borderId="0" xfId="0" applyFont="1" applyAlignment="1">
      <alignment vertical="center" wrapText="1"/>
    </xf>
    <xf numFmtId="0" fontId="9" fillId="11"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168" fontId="6" fillId="0" borderId="0" xfId="0" applyNumberFormat="1" applyFont="1" applyAlignment="1">
      <alignment vertical="center"/>
    </xf>
    <xf numFmtId="0" fontId="5" fillId="0" borderId="4" xfId="0" applyFont="1" applyBorder="1" applyAlignment="1">
      <alignment horizontal="center"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wrapText="1"/>
    </xf>
    <xf numFmtId="4" fontId="1" fillId="2" borderId="4" xfId="1" applyNumberFormat="1" applyFont="1" applyFill="1" applyBorder="1" applyAlignment="1" applyProtection="1">
      <alignment horizontal="center" vertical="center"/>
      <protection locked="0"/>
    </xf>
    <xf numFmtId="4" fontId="1" fillId="0" borderId="4" xfId="1" applyNumberFormat="1" applyFont="1" applyBorder="1" applyAlignment="1" applyProtection="1">
      <alignment horizontal="center" vertical="center"/>
    </xf>
    <xf numFmtId="10" fontId="1" fillId="0" borderId="4" xfId="3" applyNumberFormat="1" applyFont="1" applyBorder="1" applyAlignment="1" applyProtection="1">
      <alignment horizontal="center" vertical="center"/>
    </xf>
    <xf numFmtId="4" fontId="5" fillId="0" borderId="4" xfId="1" applyNumberFormat="1" applyFont="1" applyBorder="1" applyAlignment="1" applyProtection="1">
      <alignment horizontal="center" vertical="center"/>
    </xf>
    <xf numFmtId="3" fontId="1" fillId="0" borderId="4" xfId="0" applyNumberFormat="1" applyFont="1" applyBorder="1" applyAlignment="1">
      <alignment horizontal="center" vertical="center"/>
    </xf>
    <xf numFmtId="164" fontId="12" fillId="7" borderId="4" xfId="1" applyFont="1" applyFill="1" applyBorder="1" applyAlignment="1" applyProtection="1">
      <alignment horizontal="center" vertical="center"/>
    </xf>
    <xf numFmtId="10" fontId="1" fillId="2" borderId="4" xfId="3" applyNumberFormat="1" applyFont="1" applyFill="1" applyBorder="1" applyAlignment="1" applyProtection="1">
      <alignment horizontal="center" vertical="center"/>
      <protection locked="0"/>
    </xf>
    <xf numFmtId="2" fontId="1" fillId="0" borderId="4" xfId="3" applyNumberFormat="1" applyFont="1" applyBorder="1" applyAlignment="1" applyProtection="1">
      <alignment horizontal="center" vertical="center"/>
    </xf>
    <xf numFmtId="4" fontId="1" fillId="0" borderId="4" xfId="0" applyNumberFormat="1"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horizontal="center" vertical="center"/>
    </xf>
    <xf numFmtId="4" fontId="5" fillId="0" borderId="12" xfId="1" applyNumberFormat="1" applyFont="1" applyBorder="1" applyAlignment="1" applyProtection="1">
      <alignment horizontal="center" vertical="center"/>
    </xf>
    <xf numFmtId="0" fontId="5" fillId="11"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42" xfId="0" applyFont="1" applyBorder="1" applyAlignment="1">
      <alignment vertical="center"/>
    </xf>
    <xf numFmtId="10" fontId="5" fillId="0" borderId="4" xfId="3" applyNumberFormat="1" applyFont="1" applyBorder="1" applyAlignment="1" applyProtection="1">
      <alignment horizontal="center" vertical="center"/>
    </xf>
    <xf numFmtId="2" fontId="1" fillId="2" borderId="4" xfId="0" applyNumberFormat="1" applyFont="1" applyFill="1" applyBorder="1" applyAlignment="1" applyProtection="1">
      <alignment horizontal="center" vertical="center"/>
      <protection locked="0"/>
    </xf>
    <xf numFmtId="0" fontId="1" fillId="0" borderId="18" xfId="0" applyFont="1" applyBorder="1" applyAlignment="1">
      <alignment vertical="center"/>
    </xf>
    <xf numFmtId="0" fontId="1" fillId="0" borderId="43" xfId="0" applyFont="1" applyBorder="1" applyAlignment="1">
      <alignment vertical="center"/>
    </xf>
    <xf numFmtId="164" fontId="1" fillId="0" borderId="21" xfId="1" applyFont="1" applyBorder="1" applyAlignment="1" applyProtection="1">
      <alignment vertical="center"/>
    </xf>
    <xf numFmtId="0" fontId="1" fillId="0" borderId="42" xfId="0" applyFont="1" applyBorder="1" applyAlignment="1">
      <alignment horizontal="center" vertical="center"/>
    </xf>
    <xf numFmtId="2" fontId="1" fillId="2" borderId="4" xfId="0" applyNumberFormat="1" applyFont="1" applyFill="1" applyBorder="1" applyAlignment="1" applyProtection="1">
      <alignment horizontal="center" vertical="center" wrapText="1"/>
      <protection locked="0"/>
    </xf>
    <xf numFmtId="4" fontId="20" fillId="0" borderId="4" xfId="0" applyNumberFormat="1" applyFont="1" applyBorder="1" applyAlignment="1">
      <alignment horizontal="center" vertical="center"/>
    </xf>
    <xf numFmtId="10" fontId="1" fillId="2" borderId="4" xfId="0"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64" fontId="1" fillId="0" borderId="0" xfId="1" applyFont="1" applyBorder="1" applyProtection="1"/>
    <xf numFmtId="10"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2" fontId="1" fillId="0" borderId="4" xfId="0" applyNumberFormat="1" applyFont="1" applyBorder="1" applyAlignment="1">
      <alignment horizontal="center" vertical="center"/>
    </xf>
    <xf numFmtId="0" fontId="1" fillId="0" borderId="0" xfId="0" applyFont="1" applyAlignment="1">
      <alignment horizontal="left"/>
    </xf>
    <xf numFmtId="0" fontId="21" fillId="11" borderId="4" xfId="0" applyFont="1" applyFill="1" applyBorder="1" applyAlignment="1">
      <alignment horizontal="center" vertical="center" wrapText="1"/>
    </xf>
    <xf numFmtId="0" fontId="1" fillId="0" borderId="33" xfId="0" applyFont="1" applyBorder="1"/>
    <xf numFmtId="0" fontId="1" fillId="0" borderId="12" xfId="0" applyFont="1" applyBorder="1"/>
    <xf numFmtId="0" fontId="2" fillId="0" borderId="1" xfId="0" applyFont="1" applyBorder="1"/>
    <xf numFmtId="0" fontId="2" fillId="0" borderId="45" xfId="0" applyFont="1" applyBorder="1" applyAlignment="1">
      <alignment vertical="center"/>
    </xf>
    <xf numFmtId="0" fontId="2" fillId="0" borderId="3" xfId="0" applyFont="1" applyBorder="1"/>
    <xf numFmtId="0" fontId="2" fillId="0" borderId="46" xfId="0" applyFont="1" applyBorder="1" applyAlignment="1">
      <alignment vertical="center"/>
    </xf>
    <xf numFmtId="0" fontId="10" fillId="0" borderId="3" xfId="0" applyFont="1" applyBorder="1"/>
    <xf numFmtId="0" fontId="23" fillId="0" borderId="17" xfId="0" applyFont="1" applyBorder="1" applyAlignment="1">
      <alignment horizontal="center"/>
    </xf>
    <xf numFmtId="0" fontId="23" fillId="0" borderId="4" xfId="0" applyFont="1" applyBorder="1" applyAlignment="1">
      <alignment horizontal="center"/>
    </xf>
    <xf numFmtId="0" fontId="23" fillId="0" borderId="19" xfId="0" applyFont="1" applyBorder="1" applyAlignment="1">
      <alignment horizontal="center"/>
    </xf>
    <xf numFmtId="0" fontId="24" fillId="11"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vertical="center"/>
    </xf>
    <xf numFmtId="10" fontId="10" fillId="2" borderId="19" xfId="0" applyNumberFormat="1" applyFont="1" applyFill="1" applyBorder="1" applyAlignment="1" applyProtection="1">
      <alignment horizontal="center" vertical="center"/>
      <protection locked="0"/>
    </xf>
    <xf numFmtId="10" fontId="10" fillId="0" borderId="19" xfId="0" applyNumberFormat="1" applyFont="1" applyBorder="1" applyAlignment="1">
      <alignment horizontal="center" vertical="center"/>
    </xf>
    <xf numFmtId="2" fontId="0" fillId="0" borderId="0" xfId="0" applyNumberFormat="1"/>
    <xf numFmtId="10" fontId="24" fillId="11" borderId="19" xfId="0" applyNumberFormat="1" applyFont="1" applyFill="1" applyBorder="1" applyAlignment="1">
      <alignment horizontal="center" vertical="center"/>
    </xf>
    <xf numFmtId="0" fontId="10" fillId="0" borderId="18" xfId="0" applyFont="1" applyBorder="1" applyAlignment="1">
      <alignment vertical="center"/>
    </xf>
    <xf numFmtId="10" fontId="18" fillId="13" borderId="19" xfId="3" applyNumberFormat="1" applyFont="1" applyFill="1" applyBorder="1" applyAlignment="1" applyProtection="1">
      <alignment horizontal="center" vertical="center"/>
    </xf>
    <xf numFmtId="10" fontId="25" fillId="0" borderId="19" xfId="0" applyNumberFormat="1" applyFont="1" applyBorder="1" applyAlignment="1">
      <alignment horizontal="center" vertical="center"/>
    </xf>
    <xf numFmtId="10" fontId="26" fillId="0" borderId="14" xfId="0" applyNumberFormat="1" applyFont="1" applyBorder="1" applyAlignment="1">
      <alignment horizontal="center" vertical="center"/>
    </xf>
    <xf numFmtId="10" fontId="27" fillId="0" borderId="19" xfId="0" applyNumberFormat="1" applyFont="1" applyBorder="1" applyAlignment="1">
      <alignment horizontal="center" vertical="center"/>
    </xf>
    <xf numFmtId="0" fontId="25" fillId="0" borderId="17" xfId="0" applyFont="1" applyBorder="1" applyAlignment="1">
      <alignment horizontal="center" vertical="center"/>
    </xf>
    <xf numFmtId="0" fontId="25" fillId="0" borderId="4" xfId="0" applyFont="1" applyBorder="1" applyAlignment="1">
      <alignment horizontal="left" vertical="center"/>
    </xf>
    <xf numFmtId="0" fontId="9" fillId="14" borderId="17"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8" fillId="14" borderId="19" xfId="0" applyFont="1" applyFill="1" applyBorder="1" applyAlignment="1">
      <alignment horizontal="center" vertical="center" wrapText="1"/>
    </xf>
    <xf numFmtId="10" fontId="9" fillId="14" borderId="4" xfId="0" applyNumberFormat="1" applyFont="1" applyFill="1" applyBorder="1" applyAlignment="1">
      <alignment horizontal="center" vertical="center" wrapText="1"/>
    </xf>
    <xf numFmtId="10" fontId="11" fillId="14" borderId="19" xfId="0" applyNumberFormat="1" applyFont="1" applyFill="1" applyBorder="1" applyAlignment="1">
      <alignment horizontal="center" vertical="center" wrapText="1"/>
    </xf>
    <xf numFmtId="0" fontId="10" fillId="0" borderId="17" xfId="0"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0" borderId="19" xfId="0" applyNumberFormat="1" applyFont="1" applyBorder="1" applyAlignment="1">
      <alignment horizontal="center" vertical="center" wrapText="1"/>
    </xf>
    <xf numFmtId="0" fontId="25" fillId="14" borderId="17" xfId="0" applyFont="1" applyFill="1" applyBorder="1" applyAlignment="1">
      <alignment horizontal="center" vertical="center" wrapText="1"/>
    </xf>
    <xf numFmtId="10" fontId="25" fillId="14" borderId="4" xfId="0" applyNumberFormat="1" applyFont="1" applyFill="1" applyBorder="1" applyAlignment="1">
      <alignment horizontal="center" vertical="center" wrapText="1"/>
    </xf>
    <xf numFmtId="10" fontId="25" fillId="14" borderId="19" xfId="0" applyNumberFormat="1" applyFont="1" applyFill="1" applyBorder="1" applyAlignment="1">
      <alignment horizontal="center" vertical="center" wrapText="1"/>
    </xf>
    <xf numFmtId="10" fontId="10" fillId="0" borderId="48" xfId="0" applyNumberFormat="1" applyFont="1" applyBorder="1" applyAlignment="1">
      <alignment horizontal="center" vertical="center" wrapText="1"/>
    </xf>
    <xf numFmtId="0" fontId="25" fillId="0" borderId="17" xfId="0" applyFont="1" applyBorder="1" applyAlignment="1">
      <alignment horizontal="center" vertical="center" wrapText="1"/>
    </xf>
    <xf numFmtId="10" fontId="25" fillId="0" borderId="4" xfId="0" applyNumberFormat="1" applyFont="1" applyBorder="1" applyAlignment="1">
      <alignment horizontal="center" vertical="center" wrapText="1"/>
    </xf>
    <xf numFmtId="10" fontId="29" fillId="0" borderId="48" xfId="0" applyNumberFormat="1" applyFont="1" applyBorder="1" applyAlignment="1">
      <alignment horizontal="center" vertical="center" wrapText="1"/>
    </xf>
    <xf numFmtId="0" fontId="18" fillId="13" borderId="3" xfId="0" applyFont="1" applyFill="1" applyBorder="1" applyAlignment="1">
      <alignment horizontal="left" vertical="center"/>
    </xf>
    <xf numFmtId="0" fontId="18" fillId="13" borderId="0" xfId="0" applyFont="1" applyFill="1"/>
    <xf numFmtId="0" fontId="18" fillId="13" borderId="46" xfId="0" applyFont="1" applyFill="1" applyBorder="1"/>
    <xf numFmtId="0" fontId="25" fillId="14" borderId="22" xfId="0" applyFont="1" applyFill="1" applyBorder="1" applyAlignment="1">
      <alignment horizontal="center" vertical="center" wrapText="1"/>
    </xf>
    <xf numFmtId="10" fontId="25" fillId="14" borderId="23" xfId="0" applyNumberFormat="1" applyFont="1" applyFill="1" applyBorder="1" applyAlignment="1">
      <alignment horizontal="center" vertical="center" wrapText="1"/>
    </xf>
    <xf numFmtId="10" fontId="29" fillId="14" borderId="25" xfId="0" applyNumberFormat="1" applyFont="1" applyFill="1" applyBorder="1" applyAlignment="1">
      <alignment horizontal="center" vertical="center" wrapText="1"/>
    </xf>
    <xf numFmtId="0" fontId="9" fillId="0" borderId="1" xfId="0" applyFont="1" applyBorder="1"/>
    <xf numFmtId="0" fontId="9" fillId="0" borderId="2" xfId="0" applyFont="1" applyBorder="1"/>
    <xf numFmtId="0" fontId="9" fillId="0" borderId="3" xfId="0" applyFont="1" applyBorder="1"/>
    <xf numFmtId="0" fontId="19" fillId="0" borderId="0" xfId="0" applyFont="1" applyAlignment="1">
      <alignment horizontal="center" vertical="center"/>
    </xf>
    <xf numFmtId="0" fontId="5" fillId="0" borderId="0" xfId="0" applyFont="1" applyAlignment="1">
      <alignment horizontal="center" vertical="center"/>
    </xf>
    <xf numFmtId="0" fontId="7" fillId="11" borderId="4"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25" fillId="11" borderId="4"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2" fontId="9" fillId="2" borderId="4" xfId="0" applyNumberFormat="1"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9" fillId="0" borderId="23" xfId="0" applyFont="1" applyBorder="1" applyAlignment="1">
      <alignment horizontal="center" vertical="center"/>
    </xf>
    <xf numFmtId="0" fontId="11" fillId="0" borderId="0" xfId="0" applyFont="1" applyAlignment="1">
      <alignment horizontal="center" vertical="center"/>
    </xf>
    <xf numFmtId="0" fontId="9" fillId="0" borderId="3" xfId="0" applyFont="1" applyBorder="1" applyAlignment="1">
      <alignment horizontal="center" vertical="center"/>
    </xf>
    <xf numFmtId="0" fontId="6" fillId="0" borderId="2" xfId="0" applyFont="1" applyBorder="1" applyAlignment="1">
      <alignment horizontal="center"/>
    </xf>
    <xf numFmtId="0" fontId="6" fillId="0" borderId="2" xfId="0" applyFont="1" applyBorder="1"/>
    <xf numFmtId="0" fontId="6" fillId="0" borderId="45" xfId="0" applyFont="1" applyBorder="1"/>
    <xf numFmtId="0" fontId="6" fillId="0" borderId="0" xfId="0" applyFont="1" applyAlignment="1">
      <alignment horizontal="center"/>
    </xf>
    <xf numFmtId="0" fontId="6" fillId="0" borderId="0" xfId="0" applyFont="1"/>
    <xf numFmtId="0" fontId="6" fillId="0" borderId="46" xfId="0" applyFont="1" applyBorder="1"/>
    <xf numFmtId="0" fontId="17" fillId="0" borderId="3" xfId="0" applyFont="1" applyBorder="1" applyAlignment="1">
      <alignment horizontal="center" vertical="center"/>
    </xf>
    <xf numFmtId="0" fontId="17" fillId="0" borderId="0" xfId="0" applyFont="1" applyAlignment="1">
      <alignment horizontal="center" vertical="center"/>
    </xf>
    <xf numFmtId="9" fontId="31" fillId="0" borderId="46" xfId="0" applyNumberFormat="1" applyFont="1" applyBorder="1" applyAlignment="1">
      <alignment horizontal="center" vertical="center"/>
    </xf>
    <xf numFmtId="0" fontId="7" fillId="11" borderId="17" xfId="0" applyFont="1" applyFill="1" applyBorder="1" applyAlignment="1">
      <alignment horizontal="center" vertical="center" wrapText="1"/>
    </xf>
    <xf numFmtId="4" fontId="7" fillId="11" borderId="4" xfId="0" applyNumberFormat="1" applyFont="1" applyFill="1" applyBorder="1" applyAlignment="1">
      <alignment horizontal="center" vertical="center" wrapText="1"/>
    </xf>
    <xf numFmtId="4" fontId="7" fillId="11" borderId="19" xfId="0" applyNumberFormat="1" applyFont="1" applyFill="1" applyBorder="1" applyAlignment="1">
      <alignment horizontal="center" vertical="center" wrapText="1"/>
    </xf>
    <xf numFmtId="0" fontId="7" fillId="0" borderId="17" xfId="1" applyNumberFormat="1" applyFont="1" applyBorder="1" applyAlignment="1" applyProtection="1">
      <alignment horizontal="center" vertical="center"/>
    </xf>
    <xf numFmtId="0" fontId="9" fillId="0" borderId="4" xfId="1" applyNumberFormat="1" applyFont="1" applyBorder="1" applyAlignment="1" applyProtection="1">
      <alignment horizontal="center" vertical="center"/>
    </xf>
    <xf numFmtId="4" fontId="9" fillId="2" borderId="4" xfId="1" applyNumberFormat="1" applyFont="1" applyFill="1" applyBorder="1" applyAlignment="1" applyProtection="1">
      <alignment horizontal="center" vertical="center"/>
      <protection locked="0"/>
    </xf>
    <xf numFmtId="4" fontId="9" fillId="0" borderId="4" xfId="1" applyNumberFormat="1" applyFont="1" applyBorder="1" applyAlignment="1" applyProtection="1">
      <alignment horizontal="center" vertical="center"/>
    </xf>
    <xf numFmtId="4" fontId="9" fillId="0" borderId="19" xfId="1" applyNumberFormat="1" applyFont="1" applyBorder="1" applyAlignment="1" applyProtection="1">
      <alignment horizontal="center" vertical="center"/>
    </xf>
    <xf numFmtId="4" fontId="9" fillId="2" borderId="4" xfId="1" applyNumberFormat="1" applyFont="1" applyFill="1" applyBorder="1" applyAlignment="1" applyProtection="1">
      <alignment horizontal="center" vertical="center" wrapText="1"/>
      <protection locked="0"/>
    </xf>
    <xf numFmtId="4" fontId="27" fillId="11" borderId="25" xfId="1" applyNumberFormat="1" applyFont="1" applyFill="1" applyBorder="1" applyAlignment="1" applyProtection="1">
      <alignment horizontal="center" vertical="center"/>
    </xf>
    <xf numFmtId="1" fontId="1" fillId="0" borderId="0" xfId="0" applyNumberFormat="1" applyFont="1" applyAlignment="1">
      <alignment horizontal="center"/>
    </xf>
    <xf numFmtId="2" fontId="1" fillId="0" borderId="0" xfId="0" applyNumberFormat="1" applyFont="1" applyAlignment="1">
      <alignment horizontal="center"/>
    </xf>
    <xf numFmtId="4" fontId="1" fillId="0" borderId="0" xfId="0" applyNumberFormat="1" applyFont="1" applyAlignment="1">
      <alignment horizontal="center"/>
    </xf>
    <xf numFmtId="0" fontId="0" fillId="0" borderId="0" xfId="0" applyAlignment="1">
      <alignment horizontal="center"/>
    </xf>
    <xf numFmtId="0" fontId="16" fillId="0" borderId="51" xfId="0" applyFont="1" applyBorder="1" applyAlignment="1">
      <alignment horizontal="left" vertical="center"/>
    </xf>
    <xf numFmtId="0" fontId="16" fillId="0" borderId="31" xfId="0" applyFont="1" applyBorder="1" applyAlignment="1">
      <alignment horizontal="left"/>
    </xf>
    <xf numFmtId="1" fontId="16" fillId="0" borderId="31" xfId="0" applyNumberFormat="1" applyFont="1" applyBorder="1" applyAlignment="1">
      <alignment horizontal="center"/>
    </xf>
    <xf numFmtId="0" fontId="16" fillId="0" borderId="31" xfId="0" applyFont="1" applyBorder="1"/>
    <xf numFmtId="0" fontId="1" fillId="0" borderId="31" xfId="0" applyFont="1" applyBorder="1"/>
    <xf numFmtId="1" fontId="1" fillId="0" borderId="31" xfId="0" applyNumberFormat="1" applyFont="1" applyBorder="1" applyAlignment="1">
      <alignment horizontal="center"/>
    </xf>
    <xf numFmtId="2" fontId="1" fillId="0" borderId="31" xfId="0" applyNumberFormat="1" applyFont="1" applyBorder="1" applyAlignment="1">
      <alignment horizontal="center"/>
    </xf>
    <xf numFmtId="4" fontId="1" fillId="0" borderId="52" xfId="0" applyNumberFormat="1" applyFont="1" applyBorder="1" applyAlignment="1">
      <alignment horizontal="center"/>
    </xf>
    <xf numFmtId="0" fontId="16" fillId="0" borderId="3" xfId="0" applyFont="1" applyBorder="1" applyAlignment="1">
      <alignment horizontal="left" vertical="center"/>
    </xf>
    <xf numFmtId="0" fontId="16" fillId="0" borderId="0" xfId="0" applyFont="1" applyAlignment="1">
      <alignment horizontal="left"/>
    </xf>
    <xf numFmtId="1" fontId="16" fillId="0" borderId="0" xfId="0" applyNumberFormat="1" applyFont="1" applyAlignment="1">
      <alignment horizontal="center"/>
    </xf>
    <xf numFmtId="0" fontId="16" fillId="0" borderId="0" xfId="0" applyFont="1"/>
    <xf numFmtId="4" fontId="1" fillId="0" borderId="46" xfId="0" applyNumberFormat="1" applyFont="1" applyBorder="1" applyAlignment="1">
      <alignment horizontal="center"/>
    </xf>
    <xf numFmtId="0" fontId="16" fillId="0" borderId="0" xfId="0" applyFont="1" applyAlignment="1">
      <alignment horizontal="left" vertical="center"/>
    </xf>
    <xf numFmtId="1" fontId="16" fillId="0" borderId="0" xfId="0" applyNumberFormat="1" applyFont="1" applyAlignment="1">
      <alignment horizontal="center" vertical="center"/>
    </xf>
    <xf numFmtId="0" fontId="16" fillId="0" borderId="0" xfId="0" applyFont="1" applyAlignment="1">
      <alignment vertical="center"/>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4" fontId="1" fillId="0" borderId="46" xfId="0" applyNumberFormat="1" applyFont="1" applyBorder="1" applyAlignment="1">
      <alignment horizontal="center" vertical="center"/>
    </xf>
    <xf numFmtId="0" fontId="1" fillId="0" borderId="39" xfId="0" applyFont="1" applyBorder="1" applyAlignment="1">
      <alignment horizontal="center" vertical="center"/>
    </xf>
    <xf numFmtId="0" fontId="1" fillId="0" borderId="53" xfId="0" applyFont="1" applyBorder="1" applyAlignment="1">
      <alignment horizontal="left" vertical="center"/>
    </xf>
    <xf numFmtId="1" fontId="1" fillId="0" borderId="53" xfId="0" applyNumberFormat="1" applyFont="1" applyBorder="1" applyAlignment="1">
      <alignment horizontal="center" vertical="center"/>
    </xf>
    <xf numFmtId="2" fontId="1" fillId="0" borderId="53" xfId="0" applyNumberFormat="1" applyFont="1" applyBorder="1" applyAlignment="1">
      <alignment horizontal="center" vertical="center"/>
    </xf>
    <xf numFmtId="4" fontId="1" fillId="0" borderId="48" xfId="0" applyNumberFormat="1" applyFont="1" applyBorder="1" applyAlignment="1">
      <alignment horizontal="center" vertical="center"/>
    </xf>
    <xf numFmtId="0" fontId="7" fillId="0" borderId="17" xfId="0" applyFont="1" applyBorder="1" applyAlignment="1">
      <alignment horizontal="center" vertical="center"/>
    </xf>
    <xf numFmtId="0" fontId="30" fillId="0" borderId="4" xfId="0" applyFont="1" applyBorder="1" applyAlignment="1">
      <alignment horizontal="center" vertical="center"/>
    </xf>
    <xf numFmtId="1" fontId="30" fillId="0" borderId="4" xfId="0" applyNumberFormat="1" applyFont="1" applyBorder="1" applyAlignment="1">
      <alignment horizontal="center" vertical="center"/>
    </xf>
    <xf numFmtId="0" fontId="7" fillId="0" borderId="4" xfId="0" applyFont="1" applyBorder="1" applyAlignment="1">
      <alignment horizontal="center" vertical="center"/>
    </xf>
    <xf numFmtId="1" fontId="33" fillId="0" borderId="4" xfId="0" applyNumberFormat="1" applyFont="1" applyBorder="1" applyAlignment="1">
      <alignment horizontal="center" vertical="center" wrapText="1"/>
    </xf>
    <xf numFmtId="2" fontId="7" fillId="0" borderId="41" xfId="0" applyNumberFormat="1" applyFont="1" applyBorder="1" applyAlignment="1">
      <alignment horizontal="center" vertical="center" wrapText="1"/>
    </xf>
    <xf numFmtId="4" fontId="7" fillId="0" borderId="19" xfId="0" applyNumberFormat="1" applyFont="1" applyBorder="1" applyAlignment="1">
      <alignment horizontal="center" vertical="center"/>
    </xf>
    <xf numFmtId="1" fontId="9" fillId="0" borderId="4" xfId="1" applyNumberFormat="1" applyFont="1" applyBorder="1" applyAlignment="1" applyProtection="1">
      <alignment horizontal="center" vertical="center"/>
    </xf>
    <xf numFmtId="1" fontId="9" fillId="0" borderId="18" xfId="1" applyNumberFormat="1" applyFont="1" applyBorder="1" applyAlignment="1" applyProtection="1">
      <alignment horizontal="center" vertical="center"/>
    </xf>
    <xf numFmtId="4" fontId="9" fillId="0" borderId="48" xfId="1" applyNumberFormat="1" applyFont="1" applyBorder="1" applyAlignment="1" applyProtection="1">
      <alignment horizontal="center" vertical="center"/>
    </xf>
    <xf numFmtId="0" fontId="34" fillId="0" borderId="4" xfId="0" applyFont="1" applyBorder="1" applyAlignment="1">
      <alignment horizontal="center" vertical="center"/>
    </xf>
    <xf numFmtId="0" fontId="9" fillId="0" borderId="17" xfId="0" applyFont="1" applyBorder="1" applyAlignment="1">
      <alignment horizontal="center" vertical="center" wrapText="1"/>
    </xf>
    <xf numFmtId="4" fontId="7" fillId="0" borderId="19" xfId="1" applyNumberFormat="1" applyFont="1" applyBorder="1" applyAlignment="1" applyProtection="1">
      <alignment horizontal="center" vertical="center"/>
    </xf>
    <xf numFmtId="2" fontId="17" fillId="11" borderId="55" xfId="0" applyNumberFormat="1" applyFont="1" applyFill="1" applyBorder="1" applyAlignment="1">
      <alignment horizontal="center" vertical="center"/>
    </xf>
    <xf numFmtId="4" fontId="35" fillId="11" borderId="29" xfId="1" applyNumberFormat="1" applyFont="1" applyFill="1" applyBorder="1" applyAlignment="1" applyProtection="1">
      <alignment horizontal="center" vertical="center"/>
    </xf>
    <xf numFmtId="0" fontId="9" fillId="0" borderId="3" xfId="0" applyFont="1" applyBorder="1" applyAlignment="1">
      <alignment horizontal="center" vertical="center" wrapText="1"/>
    </xf>
    <xf numFmtId="1" fontId="9" fillId="0" borderId="0" xfId="1" applyNumberFormat="1" applyFont="1" applyBorder="1" applyAlignment="1" applyProtection="1">
      <alignment horizontal="center" vertical="center"/>
    </xf>
    <xf numFmtId="0" fontId="9" fillId="0" borderId="0" xfId="0" applyFont="1" applyAlignment="1">
      <alignment vertical="center" wrapText="1"/>
    </xf>
    <xf numFmtId="2" fontId="9" fillId="0" borderId="0" xfId="1" applyNumberFormat="1" applyFont="1" applyBorder="1" applyAlignment="1" applyProtection="1">
      <alignment horizontal="center" vertical="center"/>
    </xf>
    <xf numFmtId="4" fontId="9" fillId="0" borderId="46" xfId="1" applyNumberFormat="1" applyFont="1" applyBorder="1" applyAlignment="1" applyProtection="1">
      <alignment horizontal="center" vertical="center"/>
    </xf>
    <xf numFmtId="0" fontId="32" fillId="5" borderId="41" xfId="0" applyFont="1" applyFill="1" applyBorder="1" applyAlignment="1">
      <alignment horizontal="center" vertical="center" wrapText="1"/>
    </xf>
    <xf numFmtId="0" fontId="7" fillId="5" borderId="41" xfId="0" applyFont="1" applyFill="1" applyBorder="1" applyAlignment="1">
      <alignment horizontal="center" vertical="center" wrapText="1"/>
    </xf>
    <xf numFmtId="1" fontId="36" fillId="0" borderId="17" xfId="0" applyNumberFormat="1" applyFont="1" applyBorder="1" applyAlignment="1">
      <alignment horizontal="center" vertical="center"/>
    </xf>
    <xf numFmtId="4" fontId="7" fillId="0" borderId="25" xfId="1" applyNumberFormat="1" applyFont="1" applyBorder="1" applyAlignment="1" applyProtection="1">
      <alignment horizontal="center" vertical="center"/>
    </xf>
    <xf numFmtId="0" fontId="17" fillId="0" borderId="0" xfId="0" applyFont="1" applyAlignment="1">
      <alignment horizontal="left" vertical="center"/>
    </xf>
    <xf numFmtId="1" fontId="17" fillId="0" borderId="0" xfId="0" applyNumberFormat="1" applyFont="1" applyAlignment="1">
      <alignment horizontal="center" vertical="center"/>
    </xf>
    <xf numFmtId="2" fontId="17" fillId="0" borderId="0" xfId="0" applyNumberFormat="1" applyFont="1" applyAlignment="1">
      <alignment horizontal="center" vertical="center"/>
    </xf>
    <xf numFmtId="4" fontId="17" fillId="0" borderId="46" xfId="1" applyNumberFormat="1" applyFont="1" applyBorder="1" applyAlignment="1" applyProtection="1">
      <alignment horizontal="center" vertical="center"/>
    </xf>
    <xf numFmtId="2" fontId="7" fillId="0" borderId="4" xfId="0" applyNumberFormat="1" applyFont="1" applyBorder="1" applyAlignment="1">
      <alignment horizontal="center" vertical="center" wrapText="1"/>
    </xf>
    <xf numFmtId="4" fontId="7" fillId="0" borderId="29" xfId="1" applyNumberFormat="1" applyFont="1" applyBorder="1" applyAlignment="1" applyProtection="1">
      <alignment horizontal="center" vertical="center"/>
    </xf>
    <xf numFmtId="0" fontId="37" fillId="0" borderId="3" xfId="0" applyFont="1" applyBorder="1" applyAlignment="1">
      <alignment horizontal="center" vertical="center"/>
    </xf>
    <xf numFmtId="0" fontId="37" fillId="0" borderId="0" xfId="0" applyFont="1" applyAlignment="1">
      <alignment horizontal="left" vertical="center"/>
    </xf>
    <xf numFmtId="1" fontId="37" fillId="0" borderId="0" xfId="0" applyNumberFormat="1" applyFont="1" applyAlignment="1">
      <alignment horizontal="center" vertical="center"/>
    </xf>
    <xf numFmtId="2" fontId="37" fillId="0" borderId="0" xfId="0" applyNumberFormat="1" applyFont="1" applyAlignment="1">
      <alignment horizontal="center" vertical="center"/>
    </xf>
    <xf numFmtId="4" fontId="37" fillId="0" borderId="46" xfId="1" applyNumberFormat="1" applyFont="1" applyBorder="1" applyAlignment="1" applyProtection="1">
      <alignment horizontal="center" vertical="center"/>
    </xf>
    <xf numFmtId="4" fontId="0" fillId="0" borderId="19" xfId="0" applyNumberFormat="1" applyBorder="1" applyAlignment="1">
      <alignment horizontal="center"/>
    </xf>
    <xf numFmtId="4" fontId="9" fillId="0" borderId="0" xfId="0" applyNumberFormat="1" applyFont="1" applyAlignment="1">
      <alignment horizontal="center"/>
    </xf>
    <xf numFmtId="0" fontId="2" fillId="0" borderId="1" xfId="0" applyFont="1" applyBorder="1" applyAlignment="1">
      <alignment vertical="center"/>
    </xf>
    <xf numFmtId="0" fontId="9" fillId="0" borderId="2" xfId="0" applyFont="1" applyBorder="1" applyAlignment="1">
      <alignment vertical="center"/>
    </xf>
    <xf numFmtId="4" fontId="9" fillId="0" borderId="2" xfId="0" applyNumberFormat="1" applyFont="1" applyBorder="1" applyAlignment="1">
      <alignment horizontal="center" vertical="center"/>
    </xf>
    <xf numFmtId="4" fontId="9" fillId="0" borderId="2" xfId="0" applyNumberFormat="1" applyFont="1" applyBorder="1" applyAlignment="1">
      <alignment horizontal="center"/>
    </xf>
    <xf numFmtId="4" fontId="9" fillId="0" borderId="45" xfId="0" applyNumberFormat="1" applyFont="1" applyBorder="1" applyAlignment="1">
      <alignment horizontal="center"/>
    </xf>
    <xf numFmtId="0" fontId="2" fillId="0" borderId="3" xfId="0" applyFont="1" applyBorder="1" applyAlignment="1">
      <alignment vertical="center"/>
    </xf>
    <xf numFmtId="4" fontId="9" fillId="0" borderId="0" xfId="0" applyNumberFormat="1" applyFont="1" applyAlignment="1">
      <alignment horizontal="center" vertical="center"/>
    </xf>
    <xf numFmtId="4" fontId="9" fillId="0" borderId="46" xfId="0" applyNumberFormat="1" applyFont="1" applyBorder="1" applyAlignment="1">
      <alignment horizontal="center"/>
    </xf>
    <xf numFmtId="0" fontId="10" fillId="0" borderId="0" xfId="0" applyFont="1"/>
    <xf numFmtId="2" fontId="9" fillId="0" borderId="4" xfId="1" applyNumberFormat="1" applyFont="1" applyBorder="1" applyAlignment="1" applyProtection="1">
      <alignment horizontal="center" vertical="center"/>
    </xf>
    <xf numFmtId="10" fontId="9" fillId="0" borderId="4" xfId="3" applyNumberFormat="1" applyFont="1" applyBorder="1" applyAlignment="1" applyProtection="1">
      <alignment horizontal="center" vertical="center"/>
    </xf>
    <xf numFmtId="2" fontId="9" fillId="0" borderId="41" xfId="1" applyNumberFormat="1" applyFont="1" applyBorder="1" applyAlignment="1" applyProtection="1">
      <alignment horizontal="center" vertical="center"/>
    </xf>
    <xf numFmtId="164" fontId="9" fillId="0" borderId="0" xfId="0" applyNumberFormat="1" applyFont="1"/>
    <xf numFmtId="165" fontId="7" fillId="12" borderId="25" xfId="2" applyFont="1" applyFill="1" applyBorder="1" applyAlignment="1" applyProtection="1">
      <alignment horizontal="center" vertical="center"/>
    </xf>
    <xf numFmtId="0" fontId="2" fillId="0" borderId="2" xfId="0" applyFont="1" applyBorder="1"/>
    <xf numFmtId="0" fontId="1" fillId="0" borderId="2" xfId="0" applyFont="1" applyBorder="1"/>
    <xf numFmtId="0" fontId="1" fillId="0" borderId="45" xfId="0" applyFont="1" applyBorder="1"/>
    <xf numFmtId="0" fontId="1" fillId="0" borderId="3" xfId="0" applyFont="1" applyBorder="1"/>
    <xf numFmtId="0" fontId="1" fillId="0" borderId="46" xfId="0" applyFont="1" applyBorder="1"/>
    <xf numFmtId="0" fontId="39" fillId="0" borderId="0" xfId="0" applyFont="1" applyAlignment="1">
      <alignment vertical="center"/>
    </xf>
    <xf numFmtId="0" fontId="6" fillId="11" borderId="60" xfId="0" applyFont="1" applyFill="1" applyBorder="1" applyAlignment="1">
      <alignment vertical="center"/>
    </xf>
    <xf numFmtId="0" fontId="40" fillId="11" borderId="61" xfId="0" applyFont="1" applyFill="1" applyBorder="1" applyAlignment="1">
      <alignment vertical="center" wrapText="1"/>
    </xf>
    <xf numFmtId="0" fontId="19" fillId="11" borderId="61" xfId="0" applyFont="1" applyFill="1" applyBorder="1" applyAlignment="1">
      <alignment vertical="center"/>
    </xf>
    <xf numFmtId="0" fontId="17" fillId="11" borderId="61" xfId="0" applyFont="1" applyFill="1" applyBorder="1" applyAlignment="1">
      <alignment vertical="center"/>
    </xf>
    <xf numFmtId="0" fontId="6" fillId="11" borderId="61" xfId="0" applyFont="1" applyFill="1" applyBorder="1" applyAlignment="1">
      <alignment vertical="center"/>
    </xf>
    <xf numFmtId="0" fontId="5" fillId="11" borderId="2"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9" fillId="11" borderId="22" xfId="0" applyFont="1" applyFill="1" applyBorder="1" applyAlignment="1">
      <alignment horizontal="center" vertical="center"/>
    </xf>
    <xf numFmtId="0" fontId="9" fillId="11" borderId="23"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9" fillId="11" borderId="59" xfId="0" applyFont="1" applyFill="1" applyBorder="1" applyAlignment="1">
      <alignment horizontal="center" vertical="center" wrapText="1"/>
    </xf>
    <xf numFmtId="0" fontId="9" fillId="11" borderId="50" xfId="0" applyFont="1" applyFill="1" applyBorder="1" applyAlignment="1">
      <alignment horizontal="center" vertical="center" wrapText="1"/>
    </xf>
    <xf numFmtId="0" fontId="9" fillId="11" borderId="58"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1" fillId="0" borderId="12" xfId="0" applyFont="1" applyBorder="1" applyAlignment="1">
      <alignment vertical="center" wrapText="1"/>
    </xf>
    <xf numFmtId="1" fontId="1" fillId="0" borderId="12" xfId="0" applyNumberFormat="1" applyFont="1" applyBorder="1" applyAlignment="1">
      <alignment horizontal="center" vertical="center"/>
    </xf>
    <xf numFmtId="1" fontId="1" fillId="0" borderId="11"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1" fillId="0" borderId="32" xfId="0" applyNumberFormat="1" applyFont="1" applyBorder="1" applyAlignment="1">
      <alignment horizontal="center" vertical="center"/>
    </xf>
    <xf numFmtId="164" fontId="5" fillId="0" borderId="33" xfId="1" applyFont="1" applyBorder="1" applyAlignment="1" applyProtection="1">
      <alignment horizontal="center" vertical="center"/>
    </xf>
    <xf numFmtId="164" fontId="5" fillId="0" borderId="34" xfId="1" applyFont="1" applyBorder="1" applyAlignment="1" applyProtection="1">
      <alignment horizontal="center" vertical="center"/>
    </xf>
    <xf numFmtId="4" fontId="1" fillId="0" borderId="44" xfId="0" applyNumberFormat="1" applyFont="1" applyBorder="1" applyAlignment="1">
      <alignment horizontal="center" vertical="center"/>
    </xf>
    <xf numFmtId="4" fontId="1" fillId="0" borderId="16" xfId="0" applyNumberFormat="1" applyFont="1" applyBorder="1" applyAlignment="1">
      <alignment horizontal="center" vertical="center"/>
    </xf>
    <xf numFmtId="164" fontId="5" fillId="0" borderId="12" xfId="1" applyFont="1" applyBorder="1" applyAlignment="1" applyProtection="1">
      <alignment horizontal="center" vertical="center"/>
    </xf>
    <xf numFmtId="164" fontId="5" fillId="0" borderId="13" xfId="1" applyFont="1" applyBorder="1" applyAlignment="1" applyProtection="1">
      <alignment horizontal="center" vertical="center"/>
    </xf>
    <xf numFmtId="164" fontId="1" fillId="0" borderId="11" xfId="1" applyFont="1" applyBorder="1" applyAlignment="1" applyProtection="1">
      <alignment horizontal="center" vertical="center"/>
    </xf>
    <xf numFmtId="164" fontId="1" fillId="0" borderId="12" xfId="1" applyFont="1" applyBorder="1" applyAlignment="1" applyProtection="1">
      <alignment horizontal="center" vertical="center"/>
    </xf>
    <xf numFmtId="164" fontId="5" fillId="0" borderId="66" xfId="1" applyFont="1" applyBorder="1" applyAlignment="1" applyProtection="1">
      <alignment horizontal="center" vertical="center"/>
    </xf>
    <xf numFmtId="164" fontId="5" fillId="11" borderId="11" xfId="1" applyFont="1" applyFill="1" applyBorder="1" applyAlignment="1" applyProtection="1">
      <alignment horizontal="center" vertical="center"/>
    </xf>
    <xf numFmtId="164" fontId="5" fillId="11" borderId="12" xfId="1" applyFont="1" applyFill="1" applyBorder="1" applyAlignment="1" applyProtection="1">
      <alignment horizontal="center" vertical="center"/>
    </xf>
    <xf numFmtId="164" fontId="5" fillId="11" borderId="14" xfId="1" applyFont="1" applyFill="1" applyBorder="1" applyAlignment="1" applyProtection="1">
      <alignment horizontal="center" vertical="center"/>
    </xf>
    <xf numFmtId="165" fontId="1" fillId="0" borderId="67" xfId="2" applyFont="1" applyBorder="1" applyAlignment="1" applyProtection="1">
      <alignment horizontal="right" vertical="center"/>
    </xf>
    <xf numFmtId="4" fontId="1" fillId="0" borderId="17" xfId="0" applyNumberFormat="1" applyFont="1" applyBorder="1" applyAlignment="1">
      <alignment horizontal="center" vertical="center"/>
    </xf>
    <xf numFmtId="164" fontId="5" fillId="0" borderId="4" xfId="1" applyFont="1" applyBorder="1" applyAlignment="1" applyProtection="1">
      <alignment horizontal="center" vertical="center"/>
    </xf>
    <xf numFmtId="164" fontId="5" fillId="0" borderId="19" xfId="1" applyFont="1" applyBorder="1" applyAlignment="1" applyProtection="1">
      <alignment horizontal="center" vertical="center"/>
    </xf>
    <xf numFmtId="4" fontId="1" fillId="0" borderId="21" xfId="0" applyNumberFormat="1" applyFont="1" applyBorder="1" applyAlignment="1">
      <alignment horizontal="center" vertical="center"/>
    </xf>
    <xf numFmtId="164" fontId="5" fillId="0" borderId="18" xfId="1" applyFont="1" applyBorder="1" applyAlignment="1" applyProtection="1">
      <alignment horizontal="center" vertical="center"/>
    </xf>
    <xf numFmtId="164" fontId="1" fillId="0" borderId="17" xfId="1" applyFont="1" applyBorder="1" applyAlignment="1" applyProtection="1">
      <alignment horizontal="center" vertical="center"/>
    </xf>
    <xf numFmtId="164" fontId="1" fillId="0" borderId="4" xfId="1" applyFont="1" applyBorder="1" applyAlignment="1" applyProtection="1">
      <alignment horizontal="center" vertical="center"/>
    </xf>
    <xf numFmtId="164" fontId="5" fillId="0" borderId="39" xfId="1" applyFont="1" applyBorder="1" applyAlignment="1" applyProtection="1">
      <alignment horizontal="center" vertical="center"/>
    </xf>
    <xf numFmtId="164" fontId="1" fillId="0" borderId="19" xfId="1" applyFont="1" applyBorder="1" applyAlignment="1" applyProtection="1">
      <alignment horizontal="center" vertical="center"/>
    </xf>
    <xf numFmtId="164" fontId="5" fillId="11" borderId="17" xfId="1" applyFont="1" applyFill="1" applyBorder="1" applyAlignment="1" applyProtection="1">
      <alignment horizontal="center" vertical="center"/>
    </xf>
    <xf numFmtId="164" fontId="5" fillId="11" borderId="4" xfId="1" applyFont="1" applyFill="1" applyBorder="1" applyAlignment="1" applyProtection="1">
      <alignment horizontal="center" vertical="center"/>
    </xf>
    <xf numFmtId="164" fontId="5" fillId="11" borderId="19" xfId="1" applyFont="1" applyFill="1" applyBorder="1" applyAlignment="1" applyProtection="1">
      <alignment horizontal="center" vertical="center"/>
    </xf>
    <xf numFmtId="4" fontId="1" fillId="0" borderId="40" xfId="0" applyNumberFormat="1" applyFont="1" applyBorder="1" applyAlignment="1">
      <alignment horizontal="center" vertical="center"/>
    </xf>
    <xf numFmtId="4" fontId="1" fillId="0" borderId="50" xfId="0" applyNumberFormat="1" applyFont="1" applyBorder="1" applyAlignment="1">
      <alignment horizontal="center" vertical="center"/>
    </xf>
    <xf numFmtId="164" fontId="1" fillId="0" borderId="40" xfId="1" applyFont="1" applyBorder="1" applyAlignment="1" applyProtection="1">
      <alignment horizontal="center" vertical="center"/>
    </xf>
    <xf numFmtId="164" fontId="5" fillId="11" borderId="40" xfId="1" applyFont="1" applyFill="1" applyBorder="1" applyAlignment="1" applyProtection="1">
      <alignment horizontal="center" vertical="center"/>
    </xf>
    <xf numFmtId="164" fontId="5" fillId="11" borderId="41" xfId="1" applyFont="1" applyFill="1" applyBorder="1" applyAlignment="1" applyProtection="1">
      <alignment horizontal="center" vertical="center"/>
    </xf>
    <xf numFmtId="164" fontId="5" fillId="11" borderId="59" xfId="1" applyFont="1" applyFill="1" applyBorder="1" applyAlignment="1" applyProtection="1">
      <alignment horizontal="center" vertical="center"/>
    </xf>
    <xf numFmtId="1" fontId="17" fillId="11" borderId="5" xfId="0" applyNumberFormat="1" applyFont="1" applyFill="1" applyBorder="1" applyAlignment="1">
      <alignment horizontal="center" vertical="center"/>
    </xf>
    <xf numFmtId="4" fontId="17" fillId="11" borderId="7" xfId="0" applyNumberFormat="1" applyFont="1" applyFill="1" applyBorder="1" applyAlignment="1">
      <alignment horizontal="center" vertical="center"/>
    </xf>
    <xf numFmtId="4" fontId="17" fillId="11" borderId="6" xfId="0" applyNumberFormat="1" applyFont="1" applyFill="1" applyBorder="1" applyAlignment="1">
      <alignment horizontal="center" vertical="center"/>
    </xf>
    <xf numFmtId="4" fontId="17" fillId="11" borderId="5" xfId="0" applyNumberFormat="1" applyFont="1" applyFill="1" applyBorder="1" applyAlignment="1">
      <alignment horizontal="center" vertical="center"/>
    </xf>
    <xf numFmtId="4" fontId="17" fillId="11" borderId="8" xfId="0" applyNumberFormat="1" applyFont="1" applyFill="1" applyBorder="1" applyAlignment="1">
      <alignment horizontal="center" vertical="center"/>
    </xf>
    <xf numFmtId="164" fontId="17" fillId="11" borderId="10" xfId="1" applyFont="1" applyFill="1" applyBorder="1" applyAlignment="1" applyProtection="1">
      <alignment horizontal="center" vertical="center"/>
    </xf>
    <xf numFmtId="4" fontId="17" fillId="11" borderId="10" xfId="0" applyNumberFormat="1" applyFont="1" applyFill="1" applyBorder="1" applyAlignment="1">
      <alignment horizontal="center" vertical="center"/>
    </xf>
    <xf numFmtId="164" fontId="17" fillId="11" borderId="60" xfId="1" applyFont="1" applyFill="1" applyBorder="1" applyAlignment="1" applyProtection="1">
      <alignment horizontal="center" vertical="center"/>
    </xf>
    <xf numFmtId="164" fontId="17" fillId="11" borderId="5" xfId="1" applyFont="1" applyFill="1" applyBorder="1" applyAlignment="1" applyProtection="1">
      <alignment horizontal="center" vertical="center"/>
    </xf>
    <xf numFmtId="165" fontId="17" fillId="17" borderId="63" xfId="2" applyFont="1" applyFill="1" applyBorder="1" applyAlignment="1" applyProtection="1">
      <alignment horizontal="center" vertical="center"/>
    </xf>
    <xf numFmtId="0" fontId="7" fillId="0" borderId="3" xfId="0" applyFont="1" applyBorder="1" applyAlignment="1">
      <alignment vertical="center"/>
    </xf>
    <xf numFmtId="165" fontId="6" fillId="11" borderId="49" xfId="2" applyFont="1" applyFill="1" applyBorder="1" applyAlignment="1" applyProtection="1">
      <alignment vertical="center"/>
    </xf>
    <xf numFmtId="165" fontId="17" fillId="11" borderId="9" xfId="2" applyFont="1" applyFill="1" applyBorder="1" applyAlignment="1" applyProtection="1">
      <alignment vertical="center"/>
    </xf>
    <xf numFmtId="0" fontId="9" fillId="0" borderId="0" xfId="0" applyFont="1" applyAlignment="1">
      <alignment vertical="top"/>
    </xf>
    <xf numFmtId="0" fontId="41" fillId="0" borderId="0" xfId="0" applyFont="1" applyAlignment="1">
      <alignment vertical="center" wrapText="1"/>
    </xf>
    <xf numFmtId="0" fontId="25" fillId="0" borderId="0" xfId="0" applyFont="1" applyAlignment="1">
      <alignment vertical="center"/>
    </xf>
    <xf numFmtId="4" fontId="9" fillId="8" borderId="12" xfId="4" applyNumberFormat="1" applyFont="1" applyFill="1" applyBorder="1" applyAlignment="1" applyProtection="1">
      <alignment vertical="center"/>
    </xf>
    <xf numFmtId="4" fontId="9" fillId="8" borderId="4" xfId="4" applyNumberFormat="1" applyFont="1" applyFill="1" applyBorder="1" applyAlignment="1" applyProtection="1">
      <alignment vertical="center"/>
    </xf>
    <xf numFmtId="4" fontId="7" fillId="8" borderId="4" xfId="4" applyNumberFormat="1" applyFont="1" applyFill="1" applyBorder="1" applyAlignment="1" applyProtection="1">
      <alignment horizontal="right" vertical="center"/>
    </xf>
    <xf numFmtId="0" fontId="25" fillId="0" borderId="18" xfId="0" applyFont="1" applyBorder="1" applyAlignment="1">
      <alignment horizontal="right" vertical="center"/>
    </xf>
    <xf numFmtId="0" fontId="28" fillId="15" borderId="4" xfId="0" applyFont="1" applyFill="1" applyBorder="1" applyAlignment="1">
      <alignment horizontal="center" vertical="center"/>
    </xf>
    <xf numFmtId="0" fontId="5" fillId="15" borderId="4" xfId="0" applyFont="1" applyFill="1" applyBorder="1" applyAlignment="1">
      <alignment horizontal="center" vertical="center"/>
    </xf>
    <xf numFmtId="0" fontId="16" fillId="0" borderId="4" xfId="0" applyFont="1" applyBorder="1" applyAlignment="1">
      <alignment horizontal="center" vertical="center"/>
    </xf>
    <xf numFmtId="10"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4" fontId="1" fillId="0" borderId="4" xfId="0" applyNumberFormat="1" applyFont="1" applyBorder="1" applyAlignment="1">
      <alignment horizontal="center"/>
    </xf>
    <xf numFmtId="0" fontId="16" fillId="0" borderId="12" xfId="0" applyFont="1" applyBorder="1" applyAlignment="1">
      <alignment horizontal="center" vertical="center"/>
    </xf>
    <xf numFmtId="10" fontId="28" fillId="0" borderId="12" xfId="0" applyNumberFormat="1" applyFont="1" applyBorder="1" applyAlignment="1">
      <alignment horizontal="center" vertical="center"/>
    </xf>
    <xf numFmtId="0" fontId="28" fillId="0" borderId="12" xfId="0" applyFont="1" applyBorder="1" applyAlignment="1">
      <alignment horizontal="center" vertical="center"/>
    </xf>
    <xf numFmtId="10" fontId="44" fillId="8" borderId="4" xfId="0" applyNumberFormat="1" applyFont="1" applyFill="1" applyBorder="1" applyAlignment="1">
      <alignment horizontal="center" vertical="center"/>
    </xf>
    <xf numFmtId="167" fontId="1" fillId="0" borderId="4" xfId="0" applyNumberFormat="1" applyFont="1" applyBorder="1" applyAlignment="1">
      <alignment horizontal="center" vertical="center"/>
    </xf>
    <xf numFmtId="0" fontId="9" fillId="0" borderId="40" xfId="0" applyFont="1" applyBorder="1" applyAlignment="1">
      <alignment horizontal="center" vertical="center" wrapText="1"/>
    </xf>
    <xf numFmtId="0" fontId="26" fillId="0" borderId="4" xfId="0" applyFont="1" applyBorder="1" applyAlignment="1">
      <alignment wrapText="1"/>
    </xf>
    <xf numFmtId="0" fontId="26" fillId="0" borderId="4" xfId="0" applyFont="1" applyBorder="1" applyAlignment="1">
      <alignment vertical="center" wrapText="1"/>
    </xf>
    <xf numFmtId="1" fontId="3" fillId="0" borderId="39" xfId="0" applyNumberFormat="1" applyFont="1" applyBorder="1" applyAlignment="1">
      <alignment horizontal="center" vertical="center"/>
    </xf>
    <xf numFmtId="4" fontId="46" fillId="0" borderId="4" xfId="1" applyNumberFormat="1" applyFont="1" applyBorder="1" applyAlignment="1" applyProtection="1">
      <alignment horizontal="center" vertical="center"/>
    </xf>
    <xf numFmtId="0" fontId="47" fillId="0" borderId="4" xfId="0" applyFont="1" applyBorder="1" applyAlignment="1">
      <alignment vertical="center" wrapText="1"/>
    </xf>
    <xf numFmtId="170" fontId="9" fillId="0" borderId="4" xfId="0" applyNumberFormat="1" applyFont="1" applyBorder="1" applyAlignment="1">
      <alignment horizontal="center" vertical="center" wrapText="1"/>
    </xf>
    <xf numFmtId="0" fontId="49" fillId="19" borderId="4" xfId="0" applyFont="1" applyFill="1" applyBorder="1" applyAlignment="1">
      <alignment horizontal="center" vertical="center"/>
    </xf>
    <xf numFmtId="170" fontId="17" fillId="19" borderId="4" xfId="0" applyNumberFormat="1" applyFont="1" applyFill="1" applyBorder="1" applyAlignment="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26" fillId="0" borderId="0" xfId="0" applyFont="1" applyAlignment="1">
      <alignment vertical="center" wrapText="1"/>
    </xf>
    <xf numFmtId="0" fontId="9" fillId="0" borderId="53" xfId="0" applyFont="1" applyBorder="1" applyAlignment="1">
      <alignment horizontal="center" vertical="center" wrapText="1"/>
    </xf>
    <xf numFmtId="0" fontId="34" fillId="0" borderId="0" xfId="0" applyFont="1" applyAlignment="1">
      <alignment horizontal="center" vertical="center"/>
    </xf>
    <xf numFmtId="0" fontId="9" fillId="11" borderId="55" xfId="0" applyFont="1" applyFill="1" applyBorder="1" applyAlignment="1">
      <alignment vertical="center" wrapText="1"/>
    </xf>
    <xf numFmtId="0" fontId="10" fillId="0" borderId="4" xfId="0" applyFont="1" applyBorder="1" applyAlignment="1">
      <alignment horizontal="center" vertical="center" wrapText="1"/>
    </xf>
    <xf numFmtId="0" fontId="10" fillId="0" borderId="58" xfId="0" applyFont="1" applyBorder="1" applyAlignment="1">
      <alignment horizontal="center" vertical="center"/>
    </xf>
    <xf numFmtId="4" fontId="9" fillId="11" borderId="4" xfId="0" applyNumberFormat="1" applyFont="1" applyFill="1" applyBorder="1" applyAlignment="1">
      <alignment horizontal="center" vertical="center"/>
    </xf>
    <xf numFmtId="4" fontId="9" fillId="0" borderId="4" xfId="0" applyNumberFormat="1" applyFont="1" applyBorder="1" applyAlignment="1">
      <alignment horizontal="center" vertical="center"/>
    </xf>
    <xf numFmtId="4" fontId="9" fillId="0" borderId="19" xfId="0" applyNumberFormat="1" applyFont="1" applyBorder="1" applyAlignment="1">
      <alignment horizontal="center" vertical="center"/>
    </xf>
    <xf numFmtId="4" fontId="9" fillId="11" borderId="41" xfId="0" applyNumberFormat="1" applyFont="1" applyFill="1" applyBorder="1" applyAlignment="1">
      <alignment horizontal="center" vertical="center"/>
    </xf>
    <xf numFmtId="4" fontId="9" fillId="0" borderId="41" xfId="0" applyNumberFormat="1" applyFont="1" applyBorder="1" applyAlignment="1">
      <alignment horizontal="center" vertical="center"/>
    </xf>
    <xf numFmtId="4" fontId="9" fillId="0" borderId="59" xfId="0" applyNumberFormat="1" applyFont="1" applyBorder="1" applyAlignment="1">
      <alignment horizontal="center" vertical="center"/>
    </xf>
    <xf numFmtId="4" fontId="7" fillId="11" borderId="4" xfId="0" applyNumberFormat="1" applyFont="1" applyFill="1" applyBorder="1" applyAlignment="1">
      <alignment horizontal="center" vertical="center"/>
    </xf>
    <xf numFmtId="4" fontId="7" fillId="11" borderId="19" xfId="0" applyNumberFormat="1" applyFont="1" applyFill="1" applyBorder="1" applyAlignment="1">
      <alignment horizontal="center" vertical="center"/>
    </xf>
    <xf numFmtId="4" fontId="7" fillId="11" borderId="7" xfId="0" applyNumberFormat="1" applyFont="1" applyFill="1" applyBorder="1" applyAlignment="1">
      <alignment horizontal="center" vertical="center"/>
    </xf>
    <xf numFmtId="4" fontId="7" fillId="11" borderId="8" xfId="0" applyNumberFormat="1" applyFont="1" applyFill="1" applyBorder="1" applyAlignment="1">
      <alignment horizontal="center" vertical="center"/>
    </xf>
    <xf numFmtId="2" fontId="9" fillId="0" borderId="4" xfId="0" applyNumberFormat="1" applyFont="1" applyBorder="1" applyAlignment="1">
      <alignment horizontal="center" vertical="center"/>
    </xf>
    <xf numFmtId="0" fontId="9" fillId="0" borderId="17" xfId="0" applyFont="1" applyBorder="1" applyAlignment="1">
      <alignment horizontal="left" vertical="center"/>
    </xf>
    <xf numFmtId="0" fontId="9" fillId="0" borderId="4" xfId="0" applyFont="1" applyBorder="1" applyAlignment="1">
      <alignment horizontal="left" vertical="center"/>
    </xf>
    <xf numFmtId="2" fontId="9" fillId="0" borderId="41" xfId="0" applyNumberFormat="1" applyFont="1" applyBorder="1" applyAlignment="1">
      <alignment horizontal="center" vertical="center"/>
    </xf>
    <xf numFmtId="0" fontId="9" fillId="0" borderId="39" xfId="0" applyFont="1" applyBorder="1" applyAlignment="1">
      <alignment vertical="center"/>
    </xf>
    <xf numFmtId="0" fontId="9" fillId="0" borderId="53" xfId="0" applyFont="1" applyBorder="1" applyAlignment="1">
      <alignment vertical="center"/>
    </xf>
    <xf numFmtId="10" fontId="9" fillId="0" borderId="4" xfId="0" applyNumberFormat="1" applyFont="1" applyBorder="1" applyAlignment="1">
      <alignment horizontal="center" vertical="center"/>
    </xf>
    <xf numFmtId="4" fontId="9" fillId="0" borderId="53" xfId="0" applyNumberFormat="1" applyFont="1" applyBorder="1" applyAlignment="1">
      <alignment vertical="center"/>
    </xf>
    <xf numFmtId="0" fontId="9" fillId="0" borderId="51" xfId="0" applyFont="1" applyBorder="1" applyAlignment="1">
      <alignment vertical="center"/>
    </xf>
    <xf numFmtId="0" fontId="9" fillId="0" borderId="31" xfId="0" applyFont="1" applyBorder="1" applyAlignment="1">
      <alignment vertical="center"/>
    </xf>
    <xf numFmtId="10" fontId="9" fillId="0" borderId="41" xfId="0" applyNumberFormat="1" applyFont="1" applyBorder="1" applyAlignment="1">
      <alignment horizontal="center" vertical="center"/>
    </xf>
    <xf numFmtId="4" fontId="9" fillId="0" borderId="31" xfId="0" applyNumberFormat="1" applyFont="1" applyBorder="1" applyAlignment="1">
      <alignment vertical="center"/>
    </xf>
    <xf numFmtId="0" fontId="7" fillId="11" borderId="60" xfId="0" applyFont="1" applyFill="1" applyBorder="1" applyAlignment="1">
      <alignment vertical="center"/>
    </xf>
    <xf numFmtId="0" fontId="7" fillId="11" borderId="61" xfId="0" applyFont="1" applyFill="1" applyBorder="1" applyAlignment="1">
      <alignment vertical="center"/>
    </xf>
    <xf numFmtId="10" fontId="7" fillId="11" borderId="7" xfId="0" applyNumberFormat="1" applyFont="1" applyFill="1" applyBorder="1" applyAlignment="1">
      <alignment horizontal="center" vertical="center"/>
    </xf>
    <xf numFmtId="4" fontId="7" fillId="11" borderId="7" xfId="0" applyNumberFormat="1" applyFont="1" applyFill="1" applyBorder="1" applyAlignment="1">
      <alignment vertical="center"/>
    </xf>
    <xf numFmtId="4" fontId="7" fillId="11" borderId="38" xfId="0" applyNumberFormat="1" applyFont="1" applyFill="1" applyBorder="1" applyAlignment="1">
      <alignment horizontal="center" vertical="center"/>
    </xf>
    <xf numFmtId="4" fontId="7" fillId="11" borderId="29" xfId="0" applyNumberFormat="1" applyFont="1" applyFill="1" applyBorder="1" applyAlignment="1">
      <alignment horizontal="center" vertical="center"/>
    </xf>
    <xf numFmtId="10" fontId="7" fillId="11" borderId="41" xfId="0" applyNumberFormat="1" applyFont="1" applyFill="1" applyBorder="1" applyAlignment="1">
      <alignment horizontal="center" vertical="center"/>
    </xf>
    <xf numFmtId="4" fontId="7" fillId="11" borderId="41" xfId="0" applyNumberFormat="1" applyFont="1" applyFill="1" applyBorder="1" applyAlignment="1">
      <alignment horizontal="center" vertical="center"/>
    </xf>
    <xf numFmtId="4" fontId="7" fillId="11" borderId="37" xfId="0" applyNumberFormat="1" applyFont="1" applyFill="1" applyBorder="1" applyAlignment="1">
      <alignment horizontal="center" vertical="center"/>
    </xf>
    <xf numFmtId="4" fontId="7" fillId="11" borderId="62" xfId="0" applyNumberFormat="1" applyFont="1" applyFill="1" applyBorder="1" applyAlignment="1">
      <alignment horizontal="center" vertical="center"/>
    </xf>
    <xf numFmtId="4" fontId="17" fillId="11" borderId="4" xfId="0" applyNumberFormat="1" applyFont="1" applyFill="1" applyBorder="1" applyAlignment="1">
      <alignment horizontal="center" vertical="center"/>
    </xf>
    <xf numFmtId="4" fontId="17" fillId="11" borderId="19" xfId="0" applyNumberFormat="1" applyFont="1" applyFill="1" applyBorder="1" applyAlignment="1">
      <alignment horizontal="center" vertical="center"/>
    </xf>
    <xf numFmtId="2" fontId="17" fillId="11" borderId="23" xfId="0" applyNumberFormat="1" applyFont="1" applyFill="1" applyBorder="1" applyAlignment="1">
      <alignment horizontal="center" vertical="center"/>
    </xf>
    <xf numFmtId="0" fontId="9" fillId="0" borderId="41" xfId="0" applyFont="1" applyBorder="1" applyAlignment="1">
      <alignment vertical="center" wrapText="1"/>
    </xf>
    <xf numFmtId="10" fontId="9" fillId="0" borderId="41" xfId="0" applyNumberFormat="1" applyFont="1" applyBorder="1" applyAlignment="1">
      <alignment horizontal="center" vertical="center" wrapText="1"/>
    </xf>
    <xf numFmtId="10" fontId="9" fillId="0" borderId="12" xfId="0" applyNumberFormat="1" applyFont="1" applyBorder="1" applyAlignment="1">
      <alignment horizontal="center" vertical="center"/>
    </xf>
    <xf numFmtId="164" fontId="9" fillId="0" borderId="4" xfId="0" applyNumberFormat="1" applyFont="1" applyBorder="1" applyAlignment="1">
      <alignment horizontal="center" vertical="center"/>
    </xf>
    <xf numFmtId="49" fontId="42" fillId="8" borderId="10" xfId="0" applyNumberFormat="1" applyFont="1" applyFill="1" applyBorder="1" applyAlignment="1">
      <alignment horizontal="center" vertical="center" wrapText="1"/>
    </xf>
    <xf numFmtId="49" fontId="25" fillId="0" borderId="7" xfId="0" applyNumberFormat="1" applyFont="1" applyBorder="1" applyAlignment="1">
      <alignment horizontal="center" vertical="center" wrapText="1"/>
    </xf>
    <xf numFmtId="0" fontId="27" fillId="8" borderId="3" xfId="0" applyFont="1" applyFill="1" applyBorder="1" applyAlignment="1">
      <alignment horizontal="center" vertical="center"/>
    </xf>
    <xf numFmtId="0" fontId="43" fillId="18" borderId="5" xfId="0" applyFont="1" applyFill="1" applyBorder="1" applyAlignment="1">
      <alignment horizontal="center" vertical="center"/>
    </xf>
    <xf numFmtId="4" fontId="43" fillId="18" borderId="7" xfId="0" applyNumberFormat="1" applyFont="1" applyFill="1" applyBorder="1" applyAlignme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10" fontId="26" fillId="0" borderId="4" xfId="0" applyNumberFormat="1" applyFont="1" applyBorder="1" applyAlignment="1">
      <alignment horizontal="center" vertical="center"/>
    </xf>
    <xf numFmtId="10" fontId="27" fillId="0" borderId="4" xfId="0" applyNumberFormat="1" applyFont="1" applyBorder="1" applyAlignment="1">
      <alignment horizontal="center" vertical="center"/>
    </xf>
    <xf numFmtId="0" fontId="27" fillId="11" borderId="17" xfId="0" applyFont="1" applyFill="1" applyBorder="1" applyAlignment="1">
      <alignment horizontal="center" vertical="center"/>
    </xf>
    <xf numFmtId="0" fontId="27" fillId="11" borderId="4" xfId="0" applyFont="1" applyFill="1" applyBorder="1" applyAlignment="1">
      <alignment vertical="center"/>
    </xf>
    <xf numFmtId="0" fontId="9" fillId="0" borderId="4" xfId="0" applyFont="1" applyBorder="1" applyAlignment="1">
      <alignment vertical="center"/>
    </xf>
    <xf numFmtId="4" fontId="9" fillId="0" borderId="4" xfId="0" applyNumberFormat="1" applyFont="1" applyBorder="1" applyAlignment="1">
      <alignment vertical="center"/>
    </xf>
    <xf numFmtId="4" fontId="27" fillId="0" borderId="4" xfId="0" applyNumberFormat="1" applyFont="1" applyBorder="1" applyAlignment="1">
      <alignment vertical="center"/>
    </xf>
    <xf numFmtId="10" fontId="27" fillId="11" borderId="4" xfId="0" applyNumberFormat="1" applyFont="1" applyFill="1" applyBorder="1" applyAlignment="1">
      <alignment horizontal="center" vertical="center"/>
    </xf>
    <xf numFmtId="10" fontId="9" fillId="0" borderId="4" xfId="0" applyNumberFormat="1" applyFont="1" applyBorder="1" applyAlignment="1">
      <alignment vertical="center" wrapText="1"/>
    </xf>
    <xf numFmtId="4" fontId="9" fillId="8" borderId="4" xfId="0" applyNumberFormat="1" applyFont="1" applyFill="1" applyBorder="1" applyAlignment="1">
      <alignment horizontal="right" vertical="center"/>
    </xf>
    <xf numFmtId="0" fontId="27" fillId="0" borderId="17" xfId="0" applyFont="1" applyBorder="1" applyAlignment="1">
      <alignment horizontal="center" vertical="center"/>
    </xf>
    <xf numFmtId="10" fontId="27" fillId="0" borderId="4" xfId="0" applyNumberFormat="1" applyFont="1" applyBorder="1" applyAlignment="1">
      <alignment vertical="center" wrapText="1"/>
    </xf>
    <xf numFmtId="4" fontId="27" fillId="8" borderId="4" xfId="0" applyNumberFormat="1" applyFont="1" applyFill="1" applyBorder="1" applyAlignment="1">
      <alignment horizontal="right" vertical="center"/>
    </xf>
    <xf numFmtId="0" fontId="9" fillId="8" borderId="17" xfId="0" applyFont="1" applyFill="1" applyBorder="1" applyAlignment="1">
      <alignment horizontal="center" vertical="center"/>
    </xf>
    <xf numFmtId="0" fontId="27" fillId="0" borderId="40" xfId="0" applyFont="1" applyBorder="1" applyAlignment="1">
      <alignment vertical="center"/>
    </xf>
    <xf numFmtId="4" fontId="27" fillId="0" borderId="41" xfId="0" applyNumberFormat="1" applyFont="1" applyBorder="1" applyAlignment="1">
      <alignment horizontal="right" vertical="center"/>
    </xf>
    <xf numFmtId="0" fontId="27" fillId="11" borderId="11" xfId="0" applyFont="1" applyFill="1" applyBorder="1" applyAlignment="1">
      <alignment vertical="center"/>
    </xf>
    <xf numFmtId="0" fontId="27" fillId="11" borderId="12" xfId="0" applyFont="1" applyFill="1" applyBorder="1" applyAlignment="1">
      <alignment vertical="center"/>
    </xf>
    <xf numFmtId="4" fontId="26" fillId="8" borderId="4" xfId="0" applyNumberFormat="1" applyFont="1" applyFill="1" applyBorder="1" applyAlignment="1">
      <alignment vertical="center"/>
    </xf>
    <xf numFmtId="0" fontId="27" fillId="0" borderId="4" xfId="0" applyFont="1" applyBorder="1" applyAlignment="1">
      <alignment vertical="center"/>
    </xf>
    <xf numFmtId="4" fontId="27" fillId="8" borderId="4" xfId="0" applyNumberFormat="1" applyFont="1" applyFill="1" applyBorder="1" applyAlignment="1">
      <alignment vertical="center"/>
    </xf>
    <xf numFmtId="0" fontId="9" fillId="0" borderId="40" xfId="0" applyFont="1" applyBorder="1" applyAlignment="1">
      <alignment horizontal="center" vertical="center"/>
    </xf>
    <xf numFmtId="0" fontId="9" fillId="0" borderId="41" xfId="0" applyFont="1" applyBorder="1" applyAlignment="1">
      <alignment vertical="center"/>
    </xf>
    <xf numFmtId="4" fontId="26" fillId="8" borderId="41" xfId="0" applyNumberFormat="1" applyFont="1" applyFill="1" applyBorder="1" applyAlignment="1">
      <alignment vertical="center"/>
    </xf>
    <xf numFmtId="0" fontId="27" fillId="11" borderId="5" xfId="0" applyFont="1" applyFill="1" applyBorder="1" applyAlignment="1">
      <alignment vertical="center"/>
    </xf>
    <xf numFmtId="0" fontId="27" fillId="11" borderId="7" xfId="0" applyFont="1" applyFill="1" applyBorder="1" applyAlignment="1">
      <alignment vertical="center"/>
    </xf>
    <xf numFmtId="4" fontId="27" fillId="11" borderId="7" xfId="0" applyNumberFormat="1" applyFont="1" applyFill="1" applyBorder="1" applyAlignment="1">
      <alignment vertical="center"/>
    </xf>
    <xf numFmtId="4" fontId="9" fillId="0" borderId="18" xfId="0" applyNumberFormat="1" applyFont="1" applyBorder="1" applyAlignment="1">
      <alignment vertical="center"/>
    </xf>
    <xf numFmtId="0" fontId="25" fillId="0" borderId="6" xfId="0" applyFont="1" applyBorder="1" applyAlignment="1">
      <alignment horizontal="center" vertical="center" wrapText="1"/>
    </xf>
    <xf numFmtId="0" fontId="5" fillId="0" borderId="41" xfId="0" applyFont="1" applyBorder="1" applyAlignment="1">
      <alignment horizontal="center" vertical="center"/>
    </xf>
    <xf numFmtId="0" fontId="5" fillId="0" borderId="4" xfId="0" applyFont="1" applyBorder="1" applyAlignment="1">
      <alignment horizontal="center" vertical="center"/>
    </xf>
    <xf numFmtId="165" fontId="7" fillId="5" borderId="23" xfId="0" applyNumberFormat="1" applyFont="1" applyFill="1" applyBorder="1" applyAlignment="1">
      <alignment horizontal="center" vertical="center" wrapText="1"/>
    </xf>
    <xf numFmtId="10" fontId="1" fillId="20" borderId="4" xfId="3" applyNumberFormat="1" applyFont="1" applyFill="1" applyBorder="1" applyAlignment="1" applyProtection="1">
      <alignment horizontal="center" vertical="center"/>
      <protection locked="0"/>
    </xf>
    <xf numFmtId="4" fontId="1" fillId="20" borderId="4" xfId="1" applyNumberFormat="1" applyFont="1" applyFill="1" applyBorder="1" applyAlignment="1" applyProtection="1">
      <alignment horizontal="center" vertical="center"/>
      <protection locked="0"/>
    </xf>
    <xf numFmtId="2" fontId="1" fillId="21" borderId="4" xfId="3" applyNumberFormat="1" applyFont="1" applyFill="1" applyBorder="1" applyAlignment="1" applyProtection="1">
      <alignment horizontal="center" vertical="center"/>
    </xf>
    <xf numFmtId="3" fontId="50" fillId="0" borderId="4" xfId="0" applyNumberFormat="1" applyFont="1" applyBorder="1" applyAlignment="1">
      <alignment horizontal="center" vertical="center"/>
    </xf>
    <xf numFmtId="0" fontId="48" fillId="0" borderId="0" xfId="0" applyFont="1" applyAlignment="1">
      <alignment vertical="center" wrapText="1"/>
    </xf>
    <xf numFmtId="2" fontId="9" fillId="2" borderId="50" xfId="0" applyNumberFormat="1" applyFont="1" applyFill="1" applyBorder="1" applyAlignment="1" applyProtection="1">
      <alignment horizontal="center" vertical="center"/>
      <protection locked="0"/>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51" fillId="19" borderId="17" xfId="0" applyFont="1" applyFill="1" applyBorder="1" applyAlignment="1">
      <alignment horizontal="center" vertical="center" wrapText="1"/>
    </xf>
    <xf numFmtId="0" fontId="51" fillId="19" borderId="4" xfId="0" applyFont="1" applyFill="1" applyBorder="1" applyAlignment="1">
      <alignment horizontal="center" vertical="center" wrapText="1"/>
    </xf>
    <xf numFmtId="0" fontId="51" fillId="19" borderId="40" xfId="0" applyFont="1" applyFill="1" applyBorder="1" applyAlignment="1">
      <alignment horizontal="center" vertical="center" wrapText="1"/>
    </xf>
    <xf numFmtId="1"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0" fontId="52" fillId="0" borderId="4" xfId="0" applyFont="1" applyBorder="1" applyAlignment="1">
      <alignment horizontal="center" vertical="center"/>
    </xf>
    <xf numFmtId="1" fontId="52" fillId="0" borderId="4" xfId="1" applyNumberFormat="1" applyFont="1" applyBorder="1" applyAlignment="1" applyProtection="1">
      <alignment horizontal="center" vertical="center"/>
    </xf>
    <xf numFmtId="0" fontId="53" fillId="0" borderId="4" xfId="0" applyFont="1" applyBorder="1" applyAlignment="1">
      <alignment vertical="top" wrapText="1"/>
    </xf>
    <xf numFmtId="0" fontId="52" fillId="0" borderId="4" xfId="0" applyFont="1" applyBorder="1" applyAlignment="1">
      <alignment horizontal="center" vertical="center" wrapText="1"/>
    </xf>
    <xf numFmtId="1" fontId="52" fillId="0" borderId="18" xfId="1" applyNumberFormat="1" applyFont="1" applyBorder="1" applyAlignment="1" applyProtection="1">
      <alignment horizontal="center" vertical="center"/>
    </xf>
    <xf numFmtId="4" fontId="52" fillId="2" borderId="4" xfId="1" applyNumberFormat="1" applyFont="1" applyFill="1" applyBorder="1" applyAlignment="1" applyProtection="1">
      <alignment horizontal="center" vertical="center"/>
      <protection locked="0"/>
    </xf>
    <xf numFmtId="4" fontId="52" fillId="0" borderId="48" xfId="1" applyNumberFormat="1" applyFont="1" applyBorder="1" applyAlignment="1" applyProtection="1">
      <alignment horizontal="center" vertical="center"/>
    </xf>
    <xf numFmtId="0" fontId="52" fillId="0" borderId="0" xfId="0" applyFont="1" applyAlignment="1">
      <alignment vertical="center"/>
    </xf>
    <xf numFmtId="0" fontId="54" fillId="0" borderId="4" xfId="0" applyFont="1" applyBorder="1" applyAlignment="1">
      <alignment horizontal="center" vertical="center"/>
    </xf>
    <xf numFmtId="0" fontId="26" fillId="0" borderId="0" xfId="0" applyFont="1"/>
    <xf numFmtId="0" fontId="1" fillId="0" borderId="4" xfId="0" applyFont="1" applyBorder="1" applyAlignment="1">
      <alignment horizontal="center"/>
    </xf>
    <xf numFmtId="0" fontId="7" fillId="5" borderId="39" xfId="0" applyFont="1" applyFill="1" applyBorder="1" applyAlignment="1">
      <alignment horizontal="right" vertical="center" wrapText="1"/>
    </xf>
    <xf numFmtId="0" fontId="7" fillId="5" borderId="22" xfId="0" applyFont="1" applyFill="1" applyBorder="1" applyAlignment="1">
      <alignment horizontal="right" vertical="center" wrapText="1"/>
    </xf>
    <xf numFmtId="0" fontId="9" fillId="0" borderId="4" xfId="0" applyFont="1" applyBorder="1" applyAlignment="1">
      <alignment horizontal="left" vertical="center" wrapText="1"/>
    </xf>
    <xf numFmtId="0" fontId="7" fillId="0" borderId="20" xfId="0" applyFont="1" applyBorder="1" applyAlignment="1">
      <alignment horizontal="center" vertical="center" wrapText="1"/>
    </xf>
    <xf numFmtId="0" fontId="7" fillId="5" borderId="1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0" borderId="31" xfId="0" applyFont="1" applyBorder="1" applyAlignment="1">
      <alignment horizontal="left"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3" fillId="0" borderId="0" xfId="0" applyFont="1" applyAlignment="1">
      <alignment horizontal="center" vertical="top"/>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7" fillId="0" borderId="0" xfId="0" applyFont="1" applyAlignment="1">
      <alignment horizontal="center" vertical="center"/>
    </xf>
    <xf numFmtId="0" fontId="5" fillId="0" borderId="12" xfId="0" applyFont="1" applyBorder="1" applyAlignment="1">
      <alignment horizontal="left" vertical="center"/>
    </xf>
    <xf numFmtId="0" fontId="1" fillId="0" borderId="44" xfId="0" applyFont="1" applyBorder="1" applyAlignment="1">
      <alignment horizontal="center"/>
    </xf>
    <xf numFmtId="0" fontId="1" fillId="0" borderId="23" xfId="0" applyFont="1" applyBorder="1" applyAlignment="1">
      <alignment horizontal="left" vertical="center"/>
    </xf>
    <xf numFmtId="0" fontId="5" fillId="0" borderId="33" xfId="0" applyFont="1" applyBorder="1" applyAlignment="1">
      <alignment horizontal="left" vertical="center"/>
    </xf>
    <xf numFmtId="0" fontId="1" fillId="0" borderId="41" xfId="0" applyFont="1" applyBorder="1" applyAlignment="1">
      <alignment horizontal="lef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2" fontId="1" fillId="9" borderId="4" xfId="0" applyNumberFormat="1" applyFont="1" applyFill="1" applyBorder="1" applyAlignment="1">
      <alignment horizontal="center" vertical="center"/>
    </xf>
    <xf numFmtId="167" fontId="1" fillId="0" borderId="4" xfId="0" applyNumberFormat="1" applyFont="1" applyBorder="1" applyAlignment="1">
      <alignment horizontal="center" vertical="center"/>
    </xf>
    <xf numFmtId="0" fontId="5" fillId="11" borderId="4"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1" fillId="2" borderId="4" xfId="0" applyFont="1" applyFill="1" applyBorder="1" applyAlignment="1" applyProtection="1">
      <alignment horizontal="left" vertical="center"/>
      <protection locked="0"/>
    </xf>
    <xf numFmtId="0" fontId="5" fillId="11" borderId="4"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1" fillId="0" borderId="18" xfId="0" applyFont="1" applyBorder="1" applyAlignment="1">
      <alignment horizontal="left" vertical="center"/>
    </xf>
    <xf numFmtId="0" fontId="1" fillId="0" borderId="4" xfId="0" applyFont="1" applyBorder="1" applyAlignment="1">
      <alignment horizontal="left" vertical="center" wrapText="1"/>
    </xf>
    <xf numFmtId="0" fontId="9" fillId="11" borderId="4" xfId="0" applyFont="1" applyFill="1" applyBorder="1" applyAlignment="1">
      <alignment horizontal="center" vertical="center" wrapText="1"/>
    </xf>
    <xf numFmtId="0" fontId="5" fillId="0" borderId="41" xfId="0" applyFont="1" applyBorder="1" applyAlignment="1">
      <alignment horizontal="center" vertical="center" textRotation="90"/>
    </xf>
    <xf numFmtId="0" fontId="5" fillId="0" borderId="37" xfId="0" applyFont="1" applyBorder="1" applyAlignment="1">
      <alignment horizontal="center" vertical="center" textRotation="90"/>
    </xf>
    <xf numFmtId="0" fontId="5" fillId="0" borderId="12" xfId="0" applyFont="1" applyBorder="1" applyAlignment="1">
      <alignment horizontal="center" vertical="center" textRotation="90"/>
    </xf>
    <xf numFmtId="0" fontId="10" fillId="0" borderId="17" xfId="0" applyFont="1" applyBorder="1" applyAlignment="1">
      <alignment horizontal="left" vertical="center"/>
    </xf>
    <xf numFmtId="0" fontId="24" fillId="11" borderId="40" xfId="0" applyFont="1" applyFill="1" applyBorder="1" applyAlignment="1">
      <alignment horizontal="left" vertical="center"/>
    </xf>
    <xf numFmtId="0" fontId="18" fillId="13" borderId="49" xfId="0" applyFont="1" applyFill="1" applyBorder="1" applyAlignment="1">
      <alignment horizontal="justify" wrapText="1"/>
    </xf>
    <xf numFmtId="0" fontId="25" fillId="0" borderId="17" xfId="0" applyFont="1" applyBorder="1" applyAlignment="1">
      <alignment horizontal="left" vertical="center"/>
    </xf>
    <xf numFmtId="0" fontId="24" fillId="11" borderId="20" xfId="0" applyFont="1" applyFill="1" applyBorder="1" applyAlignment="1">
      <alignment horizontal="center" vertical="center"/>
    </xf>
    <xf numFmtId="0" fontId="28" fillId="14" borderId="35"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24" fillId="11" borderId="19" xfId="0" applyFont="1" applyFill="1" applyBorder="1" applyAlignment="1">
      <alignment horizontal="left" vertical="center"/>
    </xf>
    <xf numFmtId="0" fontId="24" fillId="0" borderId="17" xfId="0" applyFont="1" applyBorder="1" applyAlignment="1">
      <alignment horizontal="left" vertical="center"/>
    </xf>
    <xf numFmtId="0" fontId="10" fillId="0" borderId="17" xfId="0" applyFont="1" applyBorder="1" applyAlignment="1">
      <alignment horizontal="left" vertical="center" wrapText="1"/>
    </xf>
    <xf numFmtId="0" fontId="24" fillId="11" borderId="17" xfId="0" applyFont="1" applyFill="1" applyBorder="1" applyAlignment="1">
      <alignment horizontal="left" vertical="center"/>
    </xf>
    <xf numFmtId="0" fontId="24" fillId="11" borderId="20" xfId="0" applyFont="1" applyFill="1" applyBorder="1" applyAlignment="1">
      <alignment horizontal="left" vertical="center"/>
    </xf>
    <xf numFmtId="0" fontId="22" fillId="11" borderId="47" xfId="0" applyFont="1" applyFill="1" applyBorder="1" applyAlignment="1">
      <alignment horizontal="center" vertical="center"/>
    </xf>
    <xf numFmtId="0" fontId="7" fillId="12" borderId="15" xfId="0" applyFont="1" applyFill="1" applyBorder="1" applyAlignment="1">
      <alignment horizontal="center" wrapText="1"/>
    </xf>
    <xf numFmtId="0" fontId="7" fillId="11" borderId="20" xfId="0" applyFont="1" applyFill="1" applyBorder="1" applyAlignment="1">
      <alignment horizontal="center" vertical="center"/>
    </xf>
    <xf numFmtId="0" fontId="17" fillId="0" borderId="47" xfId="0" applyFont="1" applyBorder="1" applyAlignment="1">
      <alignment horizontal="center" vertical="center"/>
    </xf>
    <xf numFmtId="0" fontId="7" fillId="12" borderId="20" xfId="0" applyFont="1" applyFill="1" applyBorder="1" applyAlignment="1">
      <alignment horizontal="center" vertical="center" wrapText="1"/>
    </xf>
    <xf numFmtId="0" fontId="7" fillId="0" borderId="20" xfId="0" applyFont="1" applyBorder="1" applyAlignment="1">
      <alignment horizontal="center" vertical="center"/>
    </xf>
    <xf numFmtId="49" fontId="5" fillId="11" borderId="22" xfId="0" applyNumberFormat="1" applyFont="1" applyFill="1" applyBorder="1" applyAlignment="1">
      <alignment horizontal="left" vertical="center" wrapText="1"/>
    </xf>
    <xf numFmtId="0" fontId="17" fillId="0" borderId="22" xfId="0" applyFont="1" applyBorder="1" applyAlignment="1">
      <alignment horizontal="center" vertical="center"/>
    </xf>
    <xf numFmtId="0" fontId="19" fillId="11" borderId="47" xfId="0" applyFont="1" applyFill="1" applyBorder="1" applyAlignment="1">
      <alignment horizontal="center" vertical="center"/>
    </xf>
    <xf numFmtId="0" fontId="5" fillId="12" borderId="15" xfId="0" applyFont="1" applyFill="1" applyBorder="1" applyAlignment="1">
      <alignment horizontal="center" vertical="center" wrapText="1"/>
    </xf>
    <xf numFmtId="0" fontId="30" fillId="11" borderId="17"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25" fillId="11" borderId="41" xfId="0" applyFont="1" applyFill="1" applyBorder="1" applyAlignment="1">
      <alignment horizontal="center" vertical="center" wrapText="1"/>
    </xf>
    <xf numFmtId="0" fontId="25" fillId="11" borderId="37"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7" fillId="11" borderId="41" xfId="0" applyFont="1" applyFill="1" applyBorder="1" applyAlignment="1">
      <alignment horizontal="center" vertical="center" wrapText="1"/>
    </xf>
    <xf numFmtId="0" fontId="7" fillId="11" borderId="37"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17" fillId="11" borderId="54" xfId="0" applyFont="1" applyFill="1" applyBorder="1" applyAlignment="1">
      <alignment horizontal="left" vertical="center"/>
    </xf>
    <xf numFmtId="4" fontId="7" fillId="0" borderId="22" xfId="0" applyNumberFormat="1" applyFont="1" applyBorder="1" applyAlignment="1">
      <alignment horizontal="center" vertical="center"/>
    </xf>
    <xf numFmtId="4" fontId="7" fillId="0" borderId="39" xfId="0" applyNumberFormat="1" applyFont="1" applyBorder="1" applyAlignment="1">
      <alignment horizontal="center" vertical="center"/>
    </xf>
    <xf numFmtId="4" fontId="7" fillId="0" borderId="53" xfId="0" applyNumberFormat="1" applyFont="1" applyBorder="1" applyAlignment="1">
      <alignment horizontal="center" vertical="center"/>
    </xf>
    <xf numFmtId="4" fontId="7" fillId="0" borderId="21" xfId="0" applyNumberFormat="1" applyFont="1" applyBorder="1" applyAlignment="1">
      <alignment horizontal="center" vertical="center"/>
    </xf>
    <xf numFmtId="0" fontId="5" fillId="0" borderId="17" xfId="0" applyFont="1" applyBorder="1" applyAlignment="1">
      <alignment horizontal="center" vertical="center"/>
    </xf>
    <xf numFmtId="0" fontId="7" fillId="12" borderId="4" xfId="0" applyFont="1" applyFill="1" applyBorder="1" applyAlignment="1">
      <alignment horizontal="center" vertical="center" wrapText="1"/>
    </xf>
    <xf numFmtId="0" fontId="17" fillId="11" borderId="9" xfId="0" applyFont="1" applyFill="1" applyBorder="1" applyAlignment="1">
      <alignment horizontal="center" vertical="center"/>
    </xf>
    <xf numFmtId="0" fontId="7" fillId="12" borderId="1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1" fillId="0" borderId="20" xfId="0" applyFont="1" applyBorder="1" applyAlignment="1">
      <alignment horizontal="left" vertical="center"/>
    </xf>
    <xf numFmtId="0" fontId="9" fillId="0" borderId="40" xfId="0" applyFont="1" applyBorder="1" applyAlignment="1">
      <alignment horizontal="center" vertical="center" wrapText="1"/>
    </xf>
    <xf numFmtId="0" fontId="9" fillId="0" borderId="11" xfId="0" applyFont="1" applyBorder="1" applyAlignment="1">
      <alignment horizontal="center" vertical="center" wrapText="1"/>
    </xf>
    <xf numFmtId="4" fontId="7" fillId="0" borderId="4" xfId="0" applyNumberFormat="1" applyFont="1" applyBorder="1" applyAlignment="1">
      <alignment horizontal="center" vertical="center"/>
    </xf>
    <xf numFmtId="4" fontId="7" fillId="12" borderId="23" xfId="0" applyNumberFormat="1" applyFont="1" applyFill="1" applyBorder="1" applyAlignment="1">
      <alignment horizontal="center" vertical="center" wrapText="1"/>
    </xf>
    <xf numFmtId="0" fontId="9" fillId="0" borderId="17" xfId="0" applyFont="1" applyBorder="1" applyAlignment="1">
      <alignment horizontal="left" vertical="center"/>
    </xf>
    <xf numFmtId="0" fontId="7" fillId="11" borderId="40" xfId="0" applyFont="1" applyFill="1" applyBorder="1" applyAlignment="1">
      <alignment horizontal="center" vertical="center"/>
    </xf>
    <xf numFmtId="0" fontId="7" fillId="11" borderId="17" xfId="0" applyFont="1" applyFill="1" applyBorder="1" applyAlignment="1">
      <alignment vertical="center"/>
    </xf>
    <xf numFmtId="0" fontId="7" fillId="11" borderId="17" xfId="0" applyFont="1" applyFill="1" applyBorder="1" applyAlignment="1">
      <alignment vertical="center" wrapText="1"/>
    </xf>
    <xf numFmtId="0" fontId="7" fillId="11" borderId="22" xfId="0" applyFont="1" applyFill="1" applyBorder="1" applyAlignment="1">
      <alignment vertical="center"/>
    </xf>
    <xf numFmtId="0" fontId="7" fillId="11" borderId="54" xfId="0" applyFont="1" applyFill="1" applyBorder="1" applyAlignment="1">
      <alignment horizontal="left" vertical="center"/>
    </xf>
    <xf numFmtId="0" fontId="7" fillId="11" borderId="36" xfId="0" applyFont="1" applyFill="1" applyBorder="1" applyAlignment="1">
      <alignment horizontal="center" vertical="center"/>
    </xf>
    <xf numFmtId="0" fontId="7" fillId="11" borderId="5" xfId="0" applyFont="1" applyFill="1" applyBorder="1" applyAlignment="1">
      <alignment horizontal="left" vertical="center"/>
    </xf>
    <xf numFmtId="0" fontId="7" fillId="11" borderId="35" xfId="0" applyFont="1" applyFill="1" applyBorder="1" applyAlignment="1">
      <alignment horizontal="center" vertical="center"/>
    </xf>
    <xf numFmtId="0" fontId="9" fillId="0" borderId="17" xfId="0" applyFont="1" applyBorder="1" applyAlignment="1">
      <alignment horizontal="center" vertical="center"/>
    </xf>
    <xf numFmtId="4" fontId="9" fillId="0" borderId="48" xfId="0" applyNumberFormat="1" applyFont="1" applyBorder="1" applyAlignment="1">
      <alignment horizontal="center" vertical="center" wrapText="1"/>
    </xf>
    <xf numFmtId="0" fontId="9" fillId="0" borderId="17" xfId="0" applyFont="1" applyBorder="1" applyAlignment="1">
      <alignment vertical="center"/>
    </xf>
    <xf numFmtId="0" fontId="9" fillId="0" borderId="40" xfId="0" applyFont="1" applyBorder="1" applyAlignment="1">
      <alignment horizontal="left" vertical="center"/>
    </xf>
    <xf numFmtId="0" fontId="9" fillId="0" borderId="17" xfId="0" applyFont="1" applyBorder="1" applyAlignment="1">
      <alignment horizontal="left" vertical="center" wrapText="1"/>
    </xf>
    <xf numFmtId="0" fontId="7" fillId="11" borderId="60" xfId="0" applyFont="1" applyFill="1" applyBorder="1" applyAlignment="1">
      <alignment horizontal="left" vertical="center"/>
    </xf>
    <xf numFmtId="0" fontId="7" fillId="11" borderId="15" xfId="0" applyFont="1" applyFill="1" applyBorder="1" applyAlignment="1">
      <alignment horizontal="center" vertical="center"/>
    </xf>
    <xf numFmtId="0" fontId="9" fillId="0" borderId="4" xfId="0" applyFont="1" applyBorder="1" applyAlignment="1">
      <alignment horizontal="center" vertical="center"/>
    </xf>
    <xf numFmtId="4" fontId="9" fillId="0" borderId="19" xfId="0" applyNumberFormat="1" applyFont="1" applyBorder="1" applyAlignment="1">
      <alignment horizontal="center" vertical="center"/>
    </xf>
    <xf numFmtId="0" fontId="10" fillId="0" borderId="4" xfId="0" applyFont="1" applyBorder="1" applyAlignment="1">
      <alignment horizontal="center" vertical="center"/>
    </xf>
    <xf numFmtId="4" fontId="10" fillId="0" borderId="19" xfId="0" applyNumberFormat="1" applyFont="1" applyBorder="1" applyAlignment="1">
      <alignment horizontal="center" vertical="center" wrapText="1"/>
    </xf>
    <xf numFmtId="0" fontId="9" fillId="0" borderId="40" xfId="0" applyFont="1" applyBorder="1" applyAlignment="1">
      <alignment horizontal="center" vertical="center"/>
    </xf>
    <xf numFmtId="0" fontId="7" fillId="11" borderId="4" xfId="0" applyFont="1" applyFill="1" applyBorder="1" applyAlignment="1">
      <alignment horizontal="left" vertical="center"/>
    </xf>
    <xf numFmtId="0" fontId="9" fillId="0" borderId="37" xfId="0" applyFont="1" applyBorder="1" applyAlignment="1">
      <alignment horizontal="left" vertical="center"/>
    </xf>
    <xf numFmtId="0" fontId="17" fillId="11" borderId="9" xfId="0" applyFont="1" applyFill="1" applyBorder="1" applyAlignment="1">
      <alignment horizontal="center" vertical="center" wrapText="1"/>
    </xf>
    <xf numFmtId="0" fontId="17" fillId="11" borderId="47" xfId="0" applyFont="1" applyFill="1" applyBorder="1" applyAlignment="1">
      <alignment horizontal="center" vertical="center"/>
    </xf>
    <xf numFmtId="0" fontId="2" fillId="0" borderId="49" xfId="0" applyFont="1" applyBorder="1" applyAlignment="1">
      <alignment horizontal="left" vertical="center" wrapText="1"/>
    </xf>
    <xf numFmtId="0" fontId="7" fillId="0" borderId="35" xfId="0" applyFont="1" applyBorder="1" applyAlignment="1">
      <alignment horizontal="left" vertical="center" wrapText="1"/>
    </xf>
    <xf numFmtId="4" fontId="25" fillId="11" borderId="9" xfId="0" applyNumberFormat="1" applyFont="1" applyFill="1" applyBorder="1" applyAlignment="1">
      <alignment horizontal="center" vertical="center" wrapText="1"/>
    </xf>
    <xf numFmtId="0" fontId="7" fillId="11" borderId="57" xfId="0" applyFont="1" applyFill="1" applyBorder="1" applyAlignment="1">
      <alignment horizontal="left" vertical="center" wrapText="1"/>
    </xf>
    <xf numFmtId="0" fontId="27" fillId="0" borderId="17" xfId="0" applyFont="1" applyBorder="1" applyAlignment="1">
      <alignment horizontal="left" vertical="center"/>
    </xf>
    <xf numFmtId="0" fontId="27" fillId="11" borderId="9" xfId="0" applyFont="1" applyFill="1" applyBorder="1" applyAlignment="1">
      <alignment horizontal="center" vertical="center"/>
    </xf>
    <xf numFmtId="0" fontId="27" fillId="8" borderId="9" xfId="0" applyFont="1" applyFill="1" applyBorder="1" applyAlignment="1">
      <alignment horizontal="center" vertical="center"/>
    </xf>
    <xf numFmtId="0" fontId="27" fillId="11" borderId="14" xfId="0" applyFont="1" applyFill="1" applyBorder="1" applyAlignment="1">
      <alignment horizontal="center" vertical="center"/>
    </xf>
    <xf numFmtId="0" fontId="7" fillId="0" borderId="4" xfId="0" applyFont="1" applyBorder="1" applyAlignment="1">
      <alignment horizontal="left" vertical="center" wrapText="1"/>
    </xf>
    <xf numFmtId="0" fontId="27" fillId="11" borderId="19" xfId="0" applyFont="1" applyFill="1" applyBorder="1" applyAlignment="1">
      <alignment horizontal="center" vertical="center"/>
    </xf>
    <xf numFmtId="0" fontId="9" fillId="0" borderId="4" xfId="0" applyFont="1" applyBorder="1" applyAlignment="1">
      <alignment horizontal="left" vertical="center"/>
    </xf>
    <xf numFmtId="0" fontId="27" fillId="11" borderId="4" xfId="0" applyFont="1" applyFill="1" applyBorder="1" applyAlignment="1">
      <alignment horizontal="left" vertical="center" wrapText="1"/>
    </xf>
    <xf numFmtId="0" fontId="43" fillId="18" borderId="7" xfId="0" applyFont="1" applyFill="1" applyBorder="1" applyAlignment="1">
      <alignment horizontal="left" vertical="center"/>
    </xf>
    <xf numFmtId="0" fontId="9" fillId="0" borderId="12" xfId="0" applyFont="1" applyBorder="1" applyAlignment="1">
      <alignment horizontal="left" vertical="center"/>
    </xf>
    <xf numFmtId="0" fontId="27" fillId="0" borderId="17" xfId="0" applyFont="1" applyBorder="1" applyAlignment="1">
      <alignment horizontal="left" vertical="center" wrapText="1"/>
    </xf>
    <xf numFmtId="0" fontId="41" fillId="11" borderId="49" xfId="0" applyFont="1" applyFill="1" applyBorder="1" applyAlignment="1">
      <alignment horizontal="center" vertical="center" wrapText="1"/>
    </xf>
    <xf numFmtId="0" fontId="25" fillId="8" borderId="9" xfId="0" applyFont="1" applyFill="1" applyBorder="1" applyAlignment="1">
      <alignment horizontal="center" vertical="center"/>
    </xf>
    <xf numFmtId="10" fontId="27" fillId="8" borderId="36" xfId="0" applyNumberFormat="1" applyFont="1" applyFill="1" applyBorder="1" applyAlignment="1">
      <alignment horizontal="center" vertical="center"/>
    </xf>
    <xf numFmtId="0" fontId="27" fillId="8" borderId="36" xfId="0" applyFont="1" applyFill="1" applyBorder="1" applyAlignment="1">
      <alignment horizontal="left" vertical="center" wrapText="1"/>
    </xf>
    <xf numFmtId="0" fontId="42" fillId="8" borderId="36" xfId="0" applyFont="1" applyFill="1" applyBorder="1" applyAlignment="1">
      <alignment horizontal="center" vertical="center"/>
    </xf>
    <xf numFmtId="0" fontId="1" fillId="0" borderId="3" xfId="0" applyFont="1" applyBorder="1" applyAlignment="1">
      <alignment horizontal="left" vertical="center" wrapText="1"/>
    </xf>
    <xf numFmtId="0" fontId="17" fillId="11" borderId="49" xfId="0" applyFont="1" applyFill="1" applyBorder="1" applyAlignment="1">
      <alignment horizontal="center" vertical="center" wrapText="1"/>
    </xf>
    <xf numFmtId="0" fontId="17" fillId="11" borderId="9" xfId="0" applyFont="1" applyFill="1" applyBorder="1" applyAlignment="1">
      <alignment horizontal="left" vertical="center"/>
    </xf>
    <xf numFmtId="0" fontId="13" fillId="0" borderId="47" xfId="0" applyFont="1" applyBorder="1" applyAlignment="1">
      <alignment horizontal="left"/>
    </xf>
    <xf numFmtId="0" fontId="9" fillId="0" borderId="47" xfId="0" applyFont="1" applyBorder="1" applyAlignment="1">
      <alignment horizontal="left" vertical="center" wrapText="1"/>
    </xf>
    <xf numFmtId="0" fontId="9" fillId="0" borderId="49" xfId="0" applyFont="1" applyBorder="1" applyAlignment="1">
      <alignment horizontal="left" vertical="top" wrapText="1"/>
    </xf>
    <xf numFmtId="0" fontId="16" fillId="11" borderId="65" xfId="0" applyFont="1" applyFill="1" applyBorder="1" applyAlignment="1">
      <alignment horizontal="center" vertical="center" wrapText="1"/>
    </xf>
    <xf numFmtId="0" fontId="5" fillId="0" borderId="4" xfId="0" applyFont="1" applyBorder="1" applyAlignment="1">
      <alignment horizontal="center" vertical="center"/>
    </xf>
    <xf numFmtId="0" fontId="9" fillId="11" borderId="43" xfId="0" applyFont="1" applyFill="1" applyBorder="1" applyAlignment="1">
      <alignment horizontal="center" vertical="center" wrapText="1"/>
    </xf>
    <xf numFmtId="0" fontId="9" fillId="11" borderId="64" xfId="0" applyFont="1" applyFill="1" applyBorder="1" applyAlignment="1">
      <alignment horizontal="center" vertical="center" wrapText="1"/>
    </xf>
    <xf numFmtId="0" fontId="9" fillId="11" borderId="35" xfId="0" applyFont="1" applyFill="1" applyBorder="1" applyAlignment="1">
      <alignment horizontal="center" vertical="center" wrapText="1"/>
    </xf>
    <xf numFmtId="0" fontId="9" fillId="11" borderId="34" xfId="0" applyFont="1" applyFill="1" applyBorder="1" applyAlignment="1">
      <alignment horizontal="center" vertical="center" wrapText="1"/>
    </xf>
    <xf numFmtId="0" fontId="19" fillId="16"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9" fillId="8" borderId="56" xfId="0" applyFont="1" applyFill="1" applyBorder="1" applyAlignment="1">
      <alignment horizontal="center" vertical="center"/>
    </xf>
    <xf numFmtId="0" fontId="17" fillId="11" borderId="63" xfId="0" applyFont="1" applyFill="1" applyBorder="1" applyAlignment="1">
      <alignment horizontal="center" vertical="center" wrapText="1"/>
    </xf>
    <xf numFmtId="0" fontId="7" fillId="11" borderId="49" xfId="0" applyFont="1" applyFill="1" applyBorder="1" applyAlignment="1">
      <alignment horizontal="center" vertical="center" textRotation="90"/>
    </xf>
    <xf numFmtId="0" fontId="7" fillId="11" borderId="47" xfId="0" applyFont="1" applyFill="1" applyBorder="1" applyAlignment="1">
      <alignment horizontal="center" vertical="center" textRotation="90"/>
    </xf>
    <xf numFmtId="0" fontId="5" fillId="11" borderId="47" xfId="0" applyFont="1" applyFill="1" applyBorder="1" applyAlignment="1">
      <alignment horizontal="center" vertical="center" wrapText="1"/>
    </xf>
    <xf numFmtId="0" fontId="17" fillId="11" borderId="54" xfId="0" applyFont="1" applyFill="1" applyBorder="1" applyAlignment="1">
      <alignment horizontal="center" vertical="center"/>
    </xf>
    <xf numFmtId="0" fontId="5" fillId="11" borderId="64"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36"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9" fillId="11" borderId="39" xfId="0" applyFont="1" applyFill="1" applyBorder="1" applyAlignment="1">
      <alignment horizontal="center" vertical="center" wrapText="1"/>
    </xf>
    <xf numFmtId="0" fontId="9" fillId="11" borderId="60" xfId="0" applyFont="1" applyFill="1" applyBorder="1" applyAlignment="1">
      <alignment horizontal="center" vertical="center" wrapText="1"/>
    </xf>
    <xf numFmtId="0" fontId="28" fillId="15" borderId="4" xfId="0" applyFont="1" applyFill="1" applyBorder="1" applyAlignment="1">
      <alignment horizontal="center" vertical="center"/>
    </xf>
    <xf numFmtId="0" fontId="25" fillId="0" borderId="21" xfId="0" applyFont="1" applyBorder="1" applyAlignment="1">
      <alignment horizontal="left" vertical="center"/>
    </xf>
    <xf numFmtId="0" fontId="17" fillId="15" borderId="4" xfId="0" applyFont="1" applyFill="1" applyBorder="1" applyAlignment="1">
      <alignment horizontal="center" vertical="center" wrapText="1"/>
    </xf>
  </cellXfs>
  <cellStyles count="5">
    <cellStyle name="Excel Built-in Explanatory Text" xfId="4"/>
    <cellStyle name="Moeda" xfId="2" builtinId="4"/>
    <cellStyle name="Normal" xfId="0" builtinId="0"/>
    <cellStyle name="Porcentagem" xfId="3" builtinId="5"/>
    <cellStyle name="Separador de milhares" xfId="1" builtinId="3"/>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indexedColors>
      <rgbColor rgb="FF000000"/>
      <rgbColor rgb="FFFFFFFF"/>
      <rgbColor rgb="FFFF0000"/>
      <rgbColor rgb="FF00FF00"/>
      <rgbColor rgb="FF0000FF"/>
      <rgbColor rgb="FFFFF2CC"/>
      <rgbColor rgb="FFFF00FF"/>
      <rgbColor rgb="FF00FFFF"/>
      <rgbColor rgb="FF9C0006"/>
      <rgbColor rgb="FF006100"/>
      <rgbColor rgb="FF000080"/>
      <rgbColor rgb="FF808000"/>
      <rgbColor rgb="FF800080"/>
      <rgbColor rgb="FF008080"/>
      <rgbColor rgb="FFC0C0C0"/>
      <rgbColor rgb="FF808080"/>
      <rgbColor rgb="FFD9D9D9"/>
      <rgbColor rgb="FF993366"/>
      <rgbColor rgb="FFFFFFCC"/>
      <rgbColor rgb="FFDEEBF7"/>
      <rgbColor rgb="FF660066"/>
      <rgbColor rgb="FFF2DCDB"/>
      <rgbColor rgb="FF0066CC"/>
      <rgbColor rgb="FFBDD7EE"/>
      <rgbColor rgb="FF000080"/>
      <rgbColor rgb="FFFF00FF"/>
      <rgbColor rgb="FFF2F2F2"/>
      <rgbColor rgb="FF00FFFF"/>
      <rgbColor rgb="FF800080"/>
      <rgbColor rgb="FFC00000"/>
      <rgbColor rgb="FF008080"/>
      <rgbColor rgb="FF0000FF"/>
      <rgbColor rgb="FF00B0F0"/>
      <rgbColor rgb="FFC6EFCE"/>
      <rgbColor rgb="FFCCFFCC"/>
      <rgbColor rgb="FFFFFF99"/>
      <rgbColor rgb="FFADB9CA"/>
      <rgbColor rgb="FFFFC7CE"/>
      <rgbColor rgb="FFBFBFBF"/>
      <rgbColor rgb="FFF8CBAD"/>
      <rgbColor rgb="FF3366CC"/>
      <rgbColor rgb="FF33CCCC"/>
      <rgbColor rgb="FF99CC00"/>
      <rgbColor rgb="FFFFD966"/>
      <rgbColor rgb="FFFF9900"/>
      <rgbColor rgb="FFFF6600"/>
      <rgbColor rgb="FF606060"/>
      <rgbColor rgb="FFDCE6F2"/>
      <rgbColor rgb="FF10243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38160</xdr:colOff>
      <xdr:row>0</xdr:row>
      <xdr:rowOff>76320</xdr:rowOff>
    </xdr:from>
    <xdr:to>
      <xdr:col>1</xdr:col>
      <xdr:colOff>1440</xdr:colOff>
      <xdr:row>2</xdr:row>
      <xdr:rowOff>83160</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xdr:blipFill>
      <xdr:spPr>
        <a:xfrm>
          <a:off x="38160" y="76320"/>
          <a:ext cx="406440" cy="4734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8" name="Picture 1">
          <a:extLst>
            <a:ext uri="{FF2B5EF4-FFF2-40B4-BE49-F238E27FC236}">
              <a16:creationId xmlns:a16="http://schemas.microsoft.com/office/drawing/2014/main" xmlns="" id="{00000000-0008-0000-0A00-000012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9" name="Picture 1">
          <a:extLst>
            <a:ext uri="{FF2B5EF4-FFF2-40B4-BE49-F238E27FC236}">
              <a16:creationId xmlns:a16="http://schemas.microsoft.com/office/drawing/2014/main" xmlns="" id="{00000000-0008-0000-0B00-000013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2" name="Picture 1">
          <a:extLst>
            <a:ext uri="{FF2B5EF4-FFF2-40B4-BE49-F238E27FC236}">
              <a16:creationId xmlns:a16="http://schemas.microsoft.com/office/drawing/2014/main" xmlns="" id="{00000000-0008-0000-0C00-000014000000}"/>
            </a:ext>
          </a:extLst>
        </xdr:cNvPr>
        <xdr:cNvPicPr/>
      </xdr:nvPicPr>
      <xdr:blipFill>
        <a:blip xmlns:r="http://schemas.openxmlformats.org/officeDocument/2006/relationships" r:embed="rId1" cstate="print"/>
        <a:stretch/>
      </xdr:blipFill>
      <xdr:spPr>
        <a:xfrm>
          <a:off x="171360" y="38160"/>
          <a:ext cx="407160" cy="47388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397800</xdr:colOff>
      <xdr:row>2</xdr:row>
      <xdr:rowOff>18660</xdr:rowOff>
    </xdr:to>
    <xdr:pic>
      <xdr:nvPicPr>
        <xdr:cNvPr id="22" name="Picture 1">
          <a:extLst>
            <a:ext uri="{FF2B5EF4-FFF2-40B4-BE49-F238E27FC236}">
              <a16:creationId xmlns:a16="http://schemas.microsoft.com/office/drawing/2014/main" xmlns="" id="{00000000-0008-0000-0E00-000016000000}"/>
            </a:ext>
          </a:extLst>
        </xdr:cNvPr>
        <xdr:cNvPicPr/>
      </xdr:nvPicPr>
      <xdr:blipFill>
        <a:blip xmlns:r="http://schemas.openxmlformats.org/officeDocument/2006/relationships" r:embed="rId1" cstate="print"/>
        <a:stretch/>
      </xdr:blipFill>
      <xdr:spPr>
        <a:xfrm>
          <a:off x="95400" y="57240"/>
          <a:ext cx="302400" cy="34992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257040</xdr:colOff>
      <xdr:row>0</xdr:row>
      <xdr:rowOff>66600</xdr:rowOff>
    </xdr:from>
    <xdr:to>
      <xdr:col>0</xdr:col>
      <xdr:colOff>664200</xdr:colOff>
      <xdr:row>2</xdr:row>
      <xdr:rowOff>102240</xdr:rowOff>
    </xdr:to>
    <xdr:pic>
      <xdr:nvPicPr>
        <xdr:cNvPr id="21" name="Picture 1">
          <a:extLst>
            <a:ext uri="{FF2B5EF4-FFF2-40B4-BE49-F238E27FC236}">
              <a16:creationId xmlns:a16="http://schemas.microsoft.com/office/drawing/2014/main" xmlns="" id="{00000000-0008-0000-0D00-000015000000}"/>
            </a:ext>
          </a:extLst>
        </xdr:cNvPr>
        <xdr:cNvPicPr/>
      </xdr:nvPicPr>
      <xdr:blipFill>
        <a:blip xmlns:r="http://schemas.openxmlformats.org/officeDocument/2006/relationships" r:embed="rId1" cstate="print"/>
        <a:stretch/>
      </xdr:blipFill>
      <xdr:spPr>
        <a:xfrm>
          <a:off x="257040" y="66600"/>
          <a:ext cx="407160" cy="41652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142920</xdr:colOff>
      <xdr:row>0</xdr:row>
      <xdr:rowOff>38160</xdr:rowOff>
    </xdr:from>
    <xdr:to>
      <xdr:col>0</xdr:col>
      <xdr:colOff>454680</xdr:colOff>
      <xdr:row>2</xdr:row>
      <xdr:rowOff>131040</xdr:rowOff>
    </xdr:to>
    <xdr:pic>
      <xdr:nvPicPr>
        <xdr:cNvPr id="23" name="Picture 1">
          <a:extLst>
            <a:ext uri="{FF2B5EF4-FFF2-40B4-BE49-F238E27FC236}">
              <a16:creationId xmlns:a16="http://schemas.microsoft.com/office/drawing/2014/main" xmlns="" id="{00000000-0008-0000-0F00-000017000000}"/>
            </a:ext>
          </a:extLst>
        </xdr:cNvPr>
        <xdr:cNvPicPr/>
      </xdr:nvPicPr>
      <xdr:blipFill>
        <a:blip xmlns:r="http://schemas.openxmlformats.org/officeDocument/2006/relationships" r:embed="rId1" cstate="print"/>
        <a:stretch/>
      </xdr:blipFill>
      <xdr:spPr>
        <a:xfrm>
          <a:off x="142920" y="38160"/>
          <a:ext cx="311760" cy="473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400680</xdr:colOff>
      <xdr:row>2</xdr:row>
      <xdr:rowOff>26280</xdr:rowOff>
    </xdr:to>
    <xdr:pic>
      <xdr:nvPicPr>
        <xdr:cNvPr id="2" name="Picture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tretch/>
      </xdr:blipFill>
      <xdr:spPr>
        <a:xfrm>
          <a:off x="95400" y="57240"/>
          <a:ext cx="305280" cy="3499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112680</xdr:colOff>
      <xdr:row>0</xdr:row>
      <xdr:rowOff>56160</xdr:rowOff>
    </xdr:from>
    <xdr:to>
      <xdr:col>0</xdr:col>
      <xdr:colOff>569160</xdr:colOff>
      <xdr:row>2</xdr:row>
      <xdr:rowOff>202320</xdr:rowOff>
    </xdr:to>
    <xdr:pic>
      <xdr:nvPicPr>
        <xdr:cNvPr id="2" name="Picture 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stretch/>
      </xdr:blipFill>
      <xdr:spPr>
        <a:xfrm>
          <a:off x="112680" y="56160"/>
          <a:ext cx="456480" cy="52704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47520</xdr:colOff>
      <xdr:row>0</xdr:row>
      <xdr:rowOff>0</xdr:rowOff>
    </xdr:from>
    <xdr:to>
      <xdr:col>0</xdr:col>
      <xdr:colOff>454680</xdr:colOff>
      <xdr:row>2</xdr:row>
      <xdr:rowOff>92880</xdr:rowOff>
    </xdr:to>
    <xdr:pic>
      <xdr:nvPicPr>
        <xdr:cNvPr id="3" name="Picture 1">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cstate="print"/>
        <a:stretch/>
      </xdr:blipFill>
      <xdr:spPr>
        <a:xfrm>
          <a:off x="47520" y="0"/>
          <a:ext cx="407160" cy="47376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38160</xdr:colOff>
      <xdr:row>0</xdr:row>
      <xdr:rowOff>85680</xdr:rowOff>
    </xdr:from>
    <xdr:to>
      <xdr:col>0</xdr:col>
      <xdr:colOff>359640</xdr:colOff>
      <xdr:row>2</xdr:row>
      <xdr:rowOff>102240</xdr:rowOff>
    </xdr:to>
    <xdr:pic>
      <xdr:nvPicPr>
        <xdr:cNvPr id="2" name="Picture 1">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stretch/>
      </xdr:blipFill>
      <xdr:spPr>
        <a:xfrm>
          <a:off x="38160" y="85680"/>
          <a:ext cx="321480" cy="30231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67320</xdr:colOff>
      <xdr:row>0</xdr:row>
      <xdr:rowOff>111960</xdr:rowOff>
    </xdr:from>
    <xdr:to>
      <xdr:col>1</xdr:col>
      <xdr:colOff>22320</xdr:colOff>
      <xdr:row>2</xdr:row>
      <xdr:rowOff>42120</xdr:rowOff>
    </xdr:to>
    <xdr:pic>
      <xdr:nvPicPr>
        <xdr:cNvPr id="4" name="Picture 1">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1" cstate="print"/>
        <a:stretch/>
      </xdr:blipFill>
      <xdr:spPr>
        <a:xfrm>
          <a:off x="67320" y="111960"/>
          <a:ext cx="307440" cy="33984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264600</xdr:colOff>
      <xdr:row>0</xdr:row>
      <xdr:rowOff>52200</xdr:rowOff>
    </xdr:from>
    <xdr:to>
      <xdr:col>0</xdr:col>
      <xdr:colOff>636480</xdr:colOff>
      <xdr:row>2</xdr:row>
      <xdr:rowOff>80280</xdr:rowOff>
    </xdr:to>
    <xdr:pic>
      <xdr:nvPicPr>
        <xdr:cNvPr id="6" name="Picture 1">
          <a:extLst>
            <a:ext uri="{FF2B5EF4-FFF2-40B4-BE49-F238E27FC236}">
              <a16:creationId xmlns:a16="http://schemas.microsoft.com/office/drawing/2014/main" xmlns="" id="{00000000-0008-0000-0700-000006000000}"/>
            </a:ext>
          </a:extLst>
        </xdr:cNvPr>
        <xdr:cNvPicPr/>
      </xdr:nvPicPr>
      <xdr:blipFill>
        <a:blip xmlns:r="http://schemas.openxmlformats.org/officeDocument/2006/relationships" r:embed="rId1" cstate="print"/>
        <a:stretch/>
      </xdr:blipFill>
      <xdr:spPr>
        <a:xfrm>
          <a:off x="264600" y="52200"/>
          <a:ext cx="371880" cy="35208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6" name="Picture 1">
          <a:extLst>
            <a:ext uri="{FF2B5EF4-FFF2-40B4-BE49-F238E27FC236}">
              <a16:creationId xmlns:a16="http://schemas.microsoft.com/office/drawing/2014/main" xmlns="" id="{00000000-0008-0000-0800-000010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7" name="Picture 1">
          <a:extLst>
            <a:ext uri="{FF2B5EF4-FFF2-40B4-BE49-F238E27FC236}">
              <a16:creationId xmlns:a16="http://schemas.microsoft.com/office/drawing/2014/main" xmlns="" id="{00000000-0008-0000-0900-000011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MK94"/>
  <sheetViews>
    <sheetView showGridLines="0" view="pageBreakPreview" zoomScaleNormal="115" zoomScaleSheetLayoutView="100" zoomScalePageLayoutView="140" workbookViewId="0">
      <selection activeCell="A4" sqref="A4:XFD94"/>
    </sheetView>
  </sheetViews>
  <sheetFormatPr defaultColWidth="8.6640625" defaultRowHeight="14.4"/>
  <cols>
    <col min="1" max="1" width="6.33203125" style="1" customWidth="1"/>
    <col min="2" max="2" width="41.44140625" style="1" customWidth="1"/>
    <col min="3" max="3" width="7.88671875" style="1" customWidth="1"/>
    <col min="4" max="4" width="16.33203125" style="1" customWidth="1"/>
    <col min="5" max="5" width="12.88671875" style="1" customWidth="1"/>
    <col min="6" max="6" width="16.33203125" style="1" customWidth="1"/>
    <col min="7" max="7" width="17.6640625" style="1" customWidth="1"/>
    <col min="8" max="8" width="20" style="1" customWidth="1"/>
    <col min="9" max="10" width="16.33203125" style="1" customWidth="1"/>
    <col min="11" max="12" width="13.88671875" style="2" customWidth="1"/>
    <col min="13" max="13" width="14.33203125" style="2" customWidth="1"/>
    <col min="14" max="14" width="15.44140625" style="1" customWidth="1"/>
    <col min="15" max="15" width="12.88671875" style="1" customWidth="1"/>
    <col min="16" max="16" width="16.44140625" style="1" customWidth="1"/>
    <col min="17" max="17" width="13.33203125" style="1" customWidth="1"/>
    <col min="18" max="18" width="16.44140625" style="3" customWidth="1"/>
    <col min="19" max="19" width="10.109375" style="3" customWidth="1"/>
    <col min="20" max="20" width="13.33203125" style="3" customWidth="1"/>
    <col min="21" max="21" width="13.88671875" style="3" customWidth="1"/>
    <col min="22" max="22" width="13.6640625" style="3" customWidth="1"/>
    <col min="23" max="23" width="12.33203125" style="3" customWidth="1"/>
    <col min="24" max="256" width="9.109375" style="1" customWidth="1"/>
    <col min="257" max="257" width="6.33203125" style="1" customWidth="1"/>
    <col min="258" max="258" width="41.44140625" style="1" customWidth="1"/>
    <col min="259" max="259" width="7.88671875" style="1" customWidth="1"/>
    <col min="260" max="260" width="16.33203125" style="1" customWidth="1"/>
    <col min="261" max="261" width="12.88671875" style="1" customWidth="1"/>
    <col min="262" max="263" width="16.33203125" style="1" customWidth="1"/>
    <col min="264" max="264" width="13.33203125" style="1" customWidth="1"/>
    <col min="265" max="266" width="16.33203125" style="1" customWidth="1"/>
    <col min="267" max="268" width="13.88671875" style="1" customWidth="1"/>
    <col min="269" max="269" width="13" style="1" customWidth="1"/>
    <col min="270" max="270" width="13.5546875" style="1" customWidth="1"/>
    <col min="271" max="271" width="12.88671875" style="1" customWidth="1"/>
    <col min="272" max="272" width="14.109375" style="1" customWidth="1"/>
    <col min="273" max="273" width="12" style="1" customWidth="1"/>
    <col min="274" max="274" width="13" style="1" customWidth="1"/>
    <col min="275" max="275" width="11.88671875" style="1" customWidth="1"/>
    <col min="276" max="276" width="13.33203125" style="1" customWidth="1"/>
    <col min="277" max="277" width="12.33203125" style="1" customWidth="1"/>
    <col min="278" max="278" width="12.44140625" style="1" customWidth="1"/>
    <col min="279" max="279" width="10.5546875" style="1" customWidth="1"/>
    <col min="280" max="512" width="9.109375" style="1" customWidth="1"/>
    <col min="513" max="513" width="6.33203125" style="1" customWidth="1"/>
    <col min="514" max="514" width="41.44140625" style="1" customWidth="1"/>
    <col min="515" max="515" width="7.88671875" style="1" customWidth="1"/>
    <col min="516" max="516" width="16.33203125" style="1" customWidth="1"/>
    <col min="517" max="517" width="12.88671875" style="1" customWidth="1"/>
    <col min="518" max="519" width="16.33203125" style="1" customWidth="1"/>
    <col min="520" max="520" width="13.33203125" style="1" customWidth="1"/>
    <col min="521" max="522" width="16.33203125" style="1" customWidth="1"/>
    <col min="523" max="524" width="13.88671875" style="1" customWidth="1"/>
    <col min="525" max="525" width="13" style="1" customWidth="1"/>
    <col min="526" max="526" width="13.5546875" style="1" customWidth="1"/>
    <col min="527" max="527" width="12.88671875" style="1" customWidth="1"/>
    <col min="528" max="528" width="14.109375" style="1" customWidth="1"/>
    <col min="529" max="529" width="12" style="1" customWidth="1"/>
    <col min="530" max="530" width="13" style="1" customWidth="1"/>
    <col min="531" max="531" width="11.88671875" style="1" customWidth="1"/>
    <col min="532" max="532" width="13.33203125" style="1" customWidth="1"/>
    <col min="533" max="533" width="12.33203125" style="1" customWidth="1"/>
    <col min="534" max="534" width="12.44140625" style="1" customWidth="1"/>
    <col min="535" max="535" width="10.5546875" style="1" customWidth="1"/>
    <col min="536" max="768" width="9.109375" style="1" customWidth="1"/>
    <col min="769" max="769" width="6.33203125" style="1" customWidth="1"/>
    <col min="770" max="770" width="41.44140625" style="1" customWidth="1"/>
    <col min="771" max="771" width="7.88671875" style="1" customWidth="1"/>
    <col min="772" max="772" width="16.33203125" style="1" customWidth="1"/>
    <col min="773" max="773" width="12.88671875" style="1" customWidth="1"/>
    <col min="774" max="775" width="16.33203125" style="1" customWidth="1"/>
    <col min="776" max="776" width="13.33203125" style="1" customWidth="1"/>
    <col min="777" max="778" width="16.33203125" style="1" customWidth="1"/>
    <col min="779" max="780" width="13.88671875" style="1" customWidth="1"/>
    <col min="781" max="781" width="13" style="1" customWidth="1"/>
    <col min="782" max="782" width="13.5546875" style="1" customWidth="1"/>
    <col min="783" max="783" width="12.88671875" style="1" customWidth="1"/>
    <col min="784" max="784" width="14.109375" style="1" customWidth="1"/>
    <col min="785" max="785" width="12" style="1" customWidth="1"/>
    <col min="786" max="786" width="13" style="1" customWidth="1"/>
    <col min="787" max="787" width="11.88671875" style="1" customWidth="1"/>
    <col min="788" max="788" width="13.33203125" style="1" customWidth="1"/>
    <col min="789" max="789" width="12.33203125" style="1" customWidth="1"/>
    <col min="790" max="790" width="12.44140625" style="1" customWidth="1"/>
    <col min="791" max="791" width="10.5546875" style="1" customWidth="1"/>
    <col min="792" max="1025" width="9.109375" style="1" customWidth="1"/>
  </cols>
  <sheetData>
    <row r="1" spans="1:23" ht="17.25" customHeight="1">
      <c r="A1" s="4"/>
      <c r="B1" s="5" t="str">
        <f>INSTRUÇÕES!B1</f>
        <v>Tribunal Regional Federal da 6ª Região</v>
      </c>
      <c r="T1" s="6"/>
      <c r="U1" s="6"/>
      <c r="V1" s="6"/>
    </row>
    <row r="2" spans="1:23" s="11" customFormat="1" ht="19.5" customHeight="1">
      <c r="A2" s="7"/>
      <c r="B2" s="8" t="str">
        <f>INSTRUÇÕES!B2</f>
        <v>Seção Judiciária de Minas Gerais</v>
      </c>
      <c r="C2" s="531" t="s">
        <v>0</v>
      </c>
      <c r="D2" s="531"/>
      <c r="E2" s="531"/>
      <c r="F2" s="531"/>
      <c r="G2" s="531"/>
      <c r="H2" s="531"/>
      <c r="I2" s="531"/>
      <c r="J2" s="531"/>
      <c r="K2" s="531"/>
      <c r="L2" s="531"/>
      <c r="M2" s="531"/>
      <c r="N2" s="531"/>
      <c r="O2" s="531"/>
      <c r="P2" s="531"/>
      <c r="Q2" s="531"/>
      <c r="R2" s="531"/>
      <c r="S2" s="531"/>
      <c r="T2" s="9"/>
      <c r="U2" s="9"/>
      <c r="V2" s="9"/>
      <c r="W2" s="10"/>
    </row>
    <row r="3" spans="1:23" s="11" customFormat="1" ht="23.4">
      <c r="A3" s="7"/>
      <c r="B3" s="12" t="str">
        <f>INSTRUÇÕES!B3</f>
        <v>Subseção Judiciária de Varginha</v>
      </c>
      <c r="C3" s="531" t="s">
        <v>1</v>
      </c>
      <c r="D3" s="531"/>
      <c r="E3" s="531"/>
      <c r="F3" s="531"/>
      <c r="G3" s="531"/>
      <c r="H3" s="531"/>
      <c r="I3" s="531"/>
      <c r="J3" s="531"/>
      <c r="K3" s="531"/>
      <c r="L3" s="531"/>
      <c r="M3" s="531"/>
      <c r="N3" s="531"/>
      <c r="O3" s="531"/>
      <c r="P3" s="531"/>
      <c r="Q3" s="531"/>
      <c r="R3" s="531"/>
      <c r="S3" s="531"/>
      <c r="W3" s="10"/>
    </row>
    <row r="4" spans="1:23" s="17" customFormat="1" ht="30.75" hidden="1" customHeight="1">
      <c r="A4" s="532" t="s">
        <v>2</v>
      </c>
      <c r="B4" s="532"/>
      <c r="C4" s="532"/>
      <c r="D4" s="533" t="s">
        <v>3</v>
      </c>
      <c r="E4" s="533"/>
      <c r="F4" s="14"/>
      <c r="G4" s="14"/>
      <c r="H4" s="14"/>
      <c r="I4" s="14"/>
      <c r="J4" s="15"/>
      <c r="K4" s="15"/>
      <c r="L4" s="15"/>
      <c r="M4" s="15"/>
      <c r="N4" s="15"/>
      <c r="O4" s="16"/>
      <c r="R4" s="18"/>
      <c r="S4" s="18"/>
      <c r="T4" s="18"/>
      <c r="U4" s="18"/>
      <c r="V4" s="18"/>
      <c r="W4" s="18"/>
    </row>
    <row r="5" spans="1:23" s="17" customFormat="1" ht="23.25" hidden="1" customHeight="1">
      <c r="A5" s="532" t="s">
        <v>4</v>
      </c>
      <c r="B5" s="532"/>
      <c r="C5" s="532"/>
      <c r="D5" s="13" t="s">
        <v>5</v>
      </c>
      <c r="E5" s="19">
        <f>VLOOKUP(D5,B77:C80,2,FALSE())</f>
        <v>30</v>
      </c>
      <c r="F5" s="14" t="str">
        <f>VLOOKUP(D5,B78:D80,3,FALSE())</f>
        <v>Obs: Desconto atualmente aplicado (30 dias corridos).</v>
      </c>
      <c r="G5" s="14"/>
      <c r="H5" s="14"/>
      <c r="I5" s="14"/>
      <c r="J5" s="15"/>
      <c r="K5" s="15"/>
      <c r="L5" s="15"/>
      <c r="M5" s="15"/>
      <c r="N5" s="15"/>
      <c r="O5" s="16"/>
      <c r="R5" s="18"/>
      <c r="S5" s="18"/>
      <c r="T5" s="18"/>
      <c r="U5" s="18"/>
      <c r="V5" s="18"/>
      <c r="W5" s="18"/>
    </row>
    <row r="6" spans="1:23" s="17" customFormat="1" ht="12" hidden="1" customHeight="1" thickBot="1">
      <c r="A6" s="15"/>
      <c r="B6" s="15"/>
      <c r="C6" s="15"/>
      <c r="D6" s="15"/>
      <c r="E6" s="15"/>
      <c r="F6" s="15"/>
      <c r="G6" s="15"/>
      <c r="H6" s="15"/>
      <c r="I6" s="15"/>
      <c r="J6" s="15"/>
      <c r="K6" s="15"/>
      <c r="L6" s="15"/>
      <c r="M6" s="15"/>
      <c r="N6" s="15"/>
      <c r="O6" s="16"/>
      <c r="R6" s="18"/>
      <c r="S6" s="18"/>
      <c r="T6" s="18"/>
      <c r="U6" s="18"/>
      <c r="V6" s="18"/>
      <c r="W6" s="18"/>
    </row>
    <row r="7" spans="1:23" s="17" customFormat="1" ht="31.5" hidden="1" customHeight="1" thickBot="1">
      <c r="A7" s="534" t="s">
        <v>6</v>
      </c>
      <c r="B7" s="534"/>
      <c r="C7" s="534"/>
      <c r="D7" s="535" t="s">
        <v>7</v>
      </c>
      <c r="E7" s="536" t="s">
        <v>8</v>
      </c>
      <c r="F7" s="537" t="s">
        <v>9</v>
      </c>
      <c r="G7" s="537" t="s">
        <v>10</v>
      </c>
      <c r="H7" s="535" t="s">
        <v>11</v>
      </c>
      <c r="I7" s="536" t="s">
        <v>12</v>
      </c>
      <c r="J7" s="537" t="s">
        <v>13</v>
      </c>
      <c r="K7" s="538" t="s">
        <v>14</v>
      </c>
      <c r="L7" s="539" t="s">
        <v>15</v>
      </c>
      <c r="M7" s="539" t="s">
        <v>16</v>
      </c>
      <c r="N7" s="540" t="s">
        <v>17</v>
      </c>
      <c r="O7" s="541" t="s">
        <v>18</v>
      </c>
      <c r="P7" s="537" t="s">
        <v>19</v>
      </c>
      <c r="Q7" s="537" t="s">
        <v>20</v>
      </c>
      <c r="R7" s="538" t="s">
        <v>21</v>
      </c>
      <c r="S7" s="536" t="s">
        <v>22</v>
      </c>
      <c r="T7" s="521" t="s">
        <v>23</v>
      </c>
      <c r="U7" s="521"/>
      <c r="V7" s="521"/>
      <c r="W7" s="521"/>
    </row>
    <row r="8" spans="1:23" s="17" customFormat="1" ht="31.5" hidden="1" customHeight="1" thickBot="1">
      <c r="A8" s="534"/>
      <c r="B8" s="534"/>
      <c r="C8" s="534"/>
      <c r="D8" s="535"/>
      <c r="E8" s="536"/>
      <c r="F8" s="537"/>
      <c r="G8" s="537"/>
      <c r="H8" s="535"/>
      <c r="I8" s="536"/>
      <c r="J8" s="537"/>
      <c r="K8" s="538"/>
      <c r="L8" s="539"/>
      <c r="M8" s="539"/>
      <c r="N8" s="540"/>
      <c r="O8" s="541"/>
      <c r="P8" s="537"/>
      <c r="Q8" s="537"/>
      <c r="R8" s="538"/>
      <c r="S8" s="536"/>
      <c r="T8" s="521"/>
      <c r="U8" s="521"/>
      <c r="V8" s="521"/>
      <c r="W8" s="521"/>
    </row>
    <row r="9" spans="1:23" s="17" customFormat="1" ht="31.5" hidden="1" customHeight="1" thickBot="1">
      <c r="A9" s="534"/>
      <c r="B9" s="534"/>
      <c r="C9" s="534"/>
      <c r="D9" s="535"/>
      <c r="E9" s="536"/>
      <c r="F9" s="537"/>
      <c r="G9" s="537"/>
      <c r="H9" s="535"/>
      <c r="I9" s="536"/>
      <c r="J9" s="537"/>
      <c r="K9" s="538"/>
      <c r="L9" s="539"/>
      <c r="M9" s="539"/>
      <c r="N9" s="540"/>
      <c r="O9" s="541"/>
      <c r="P9" s="537"/>
      <c r="Q9" s="537"/>
      <c r="R9" s="538"/>
      <c r="S9" s="536"/>
      <c r="T9" s="521"/>
      <c r="U9" s="521"/>
      <c r="V9" s="521"/>
      <c r="W9" s="521"/>
    </row>
    <row r="10" spans="1:23" s="17" customFormat="1" ht="69" hidden="1">
      <c r="A10" s="20" t="s">
        <v>24</v>
      </c>
      <c r="B10" s="21" t="s">
        <v>25</v>
      </c>
      <c r="C10" s="21" t="s">
        <v>26</v>
      </c>
      <c r="D10" s="22" t="s">
        <v>27</v>
      </c>
      <c r="E10" s="20" t="s">
        <v>28</v>
      </c>
      <c r="F10" s="21" t="s">
        <v>29</v>
      </c>
      <c r="G10" s="21" t="s">
        <v>30</v>
      </c>
      <c r="H10" s="22" t="s">
        <v>31</v>
      </c>
      <c r="I10" s="20" t="s">
        <v>32</v>
      </c>
      <c r="J10" s="21" t="s">
        <v>33</v>
      </c>
      <c r="K10" s="23" t="s">
        <v>33</v>
      </c>
      <c r="L10" s="24" t="s">
        <v>34</v>
      </c>
      <c r="M10" s="24" t="s">
        <v>35</v>
      </c>
      <c r="N10" s="24" t="s">
        <v>36</v>
      </c>
      <c r="O10" s="25" t="s">
        <v>37</v>
      </c>
      <c r="P10" s="21" t="s">
        <v>38</v>
      </c>
      <c r="Q10" s="21" t="s">
        <v>39</v>
      </c>
      <c r="R10" s="23" t="s">
        <v>40</v>
      </c>
      <c r="S10" s="20" t="s">
        <v>41</v>
      </c>
      <c r="T10" s="21" t="s">
        <v>42</v>
      </c>
      <c r="U10" s="21" t="s">
        <v>43</v>
      </c>
      <c r="V10" s="21" t="s">
        <v>44</v>
      </c>
      <c r="W10" s="23" t="s">
        <v>45</v>
      </c>
    </row>
    <row r="11" spans="1:23" s="17" customFormat="1" ht="15.6" hidden="1">
      <c r="A11" s="26">
        <f>Dados!B7</f>
        <v>1</v>
      </c>
      <c r="B11" s="27" t="str">
        <f>Dados!C7</f>
        <v>Servente de Limpeza 40% Insalubridade</v>
      </c>
      <c r="C11" s="28">
        <f>Dados!D7</f>
        <v>200</v>
      </c>
      <c r="D11" s="29">
        <v>0</v>
      </c>
      <c r="E11" s="26" t="s">
        <v>46</v>
      </c>
      <c r="F11" s="28">
        <f>IF(E11="NÃO",0,D11*Dados!$G$35)</f>
        <v>0</v>
      </c>
      <c r="G11" s="30">
        <v>0</v>
      </c>
      <c r="H11" s="29">
        <v>0</v>
      </c>
      <c r="I11" s="31">
        <v>0</v>
      </c>
      <c r="J11" s="30">
        <v>0</v>
      </c>
      <c r="K11" s="32">
        <f t="shared" ref="K11:K15" si="0">I11+J11</f>
        <v>0</v>
      </c>
      <c r="L11" s="33">
        <v>0</v>
      </c>
      <c r="M11" s="33">
        <v>0</v>
      </c>
      <c r="N11" s="34"/>
      <c r="O11" s="35">
        <f>Resumo!S12</f>
        <v>0</v>
      </c>
      <c r="P11" s="36">
        <f>Resumo!V12</f>
        <v>0</v>
      </c>
      <c r="Q11" s="37">
        <f>Resumo!W12</f>
        <v>5871.55</v>
      </c>
      <c r="R11" s="38">
        <f>Dados!O7+Dados!P7+Dados!Q7</f>
        <v>588.05999999999995</v>
      </c>
      <c r="S11" s="26">
        <v>2</v>
      </c>
      <c r="T11" s="39">
        <f>ROUND((Dados!M7*Encargos!$H$59*A11),2)</f>
        <v>636.63</v>
      </c>
      <c r="U11" s="39" t="s">
        <v>47</v>
      </c>
      <c r="V11" s="40">
        <f>SUMIF($S$11:$S$15,1,$Q$11:$Q$15)</f>
        <v>5914.14</v>
      </c>
      <c r="W11" s="41">
        <f>SUMIF($S$11:$S$15,1,$T$11:$T$15)</f>
        <v>793.01</v>
      </c>
    </row>
    <row r="12" spans="1:23" s="17" customFormat="1" ht="15.6" hidden="1">
      <c r="A12" s="26">
        <f>Dados!B8</f>
        <v>3</v>
      </c>
      <c r="B12" s="27" t="str">
        <f>Dados!C8</f>
        <v xml:space="preserve">Servente de Limpeza  </v>
      </c>
      <c r="C12" s="28">
        <f>Dados!D8</f>
        <v>200</v>
      </c>
      <c r="D12" s="29">
        <v>0</v>
      </c>
      <c r="E12" s="26" t="s">
        <v>46</v>
      </c>
      <c r="F12" s="28">
        <f>IF(E12="NÃO",0,D12*Dados!$G$35)</f>
        <v>0</v>
      </c>
      <c r="G12" s="30">
        <v>0</v>
      </c>
      <c r="H12" s="29">
        <v>0</v>
      </c>
      <c r="I12" s="31">
        <v>0</v>
      </c>
      <c r="J12" s="30">
        <v>0</v>
      </c>
      <c r="K12" s="32">
        <f t="shared" si="0"/>
        <v>0</v>
      </c>
      <c r="L12" s="33">
        <v>0</v>
      </c>
      <c r="M12" s="33">
        <v>0</v>
      </c>
      <c r="N12" s="33">
        <v>0</v>
      </c>
      <c r="O12" s="35">
        <f>Resumo!S13</f>
        <v>0</v>
      </c>
      <c r="P12" s="39">
        <f>Resumo!V13</f>
        <v>0</v>
      </c>
      <c r="Q12" s="37">
        <f>Resumo!W13</f>
        <v>13868.1</v>
      </c>
      <c r="R12" s="38">
        <f>Dados!O8+Dados!P8+Dados!Q8</f>
        <v>588.05999999999995</v>
      </c>
      <c r="S12" s="26">
        <v>2</v>
      </c>
      <c r="T12" s="39">
        <f>ROUND((Dados!M8*Encargos!$H$59*A12),2)</f>
        <v>1348.35</v>
      </c>
      <c r="U12" s="39" t="s">
        <v>47</v>
      </c>
      <c r="V12" s="40">
        <f>SUMIF($S$11:$S$15,2,$Q$11:$Q$15)</f>
        <v>29982.050000000003</v>
      </c>
      <c r="W12" s="41">
        <f>SUMIF($S$11:$S$15,2,$T$11:$T$15)</f>
        <v>3149.65</v>
      </c>
    </row>
    <row r="13" spans="1:23" s="17" customFormat="1" ht="15.6" hidden="1">
      <c r="A13" s="26">
        <f>Dados!B9</f>
        <v>1</v>
      </c>
      <c r="B13" s="27" t="str">
        <f>Dados!C9</f>
        <v>Serventede Limpeza acúmulo função Copeira</v>
      </c>
      <c r="C13" s="28">
        <f>Dados!D9</f>
        <v>200</v>
      </c>
      <c r="D13" s="29">
        <v>0</v>
      </c>
      <c r="E13" s="26" t="s">
        <v>46</v>
      </c>
      <c r="F13" s="28">
        <f>IF(E13="NÃO",0,D13*Dados!$G$35)</f>
        <v>0</v>
      </c>
      <c r="G13" s="30">
        <v>0</v>
      </c>
      <c r="H13" s="29">
        <v>0</v>
      </c>
      <c r="I13" s="31">
        <v>0</v>
      </c>
      <c r="J13" s="30">
        <v>0</v>
      </c>
      <c r="K13" s="32">
        <f>I13+J13</f>
        <v>0</v>
      </c>
      <c r="L13" s="33">
        <v>0</v>
      </c>
      <c r="M13" s="33">
        <v>0</v>
      </c>
      <c r="N13" s="34"/>
      <c r="O13" s="42">
        <f>Resumo!S14</f>
        <v>0</v>
      </c>
      <c r="P13" s="36">
        <f>Resumo!V14</f>
        <v>0</v>
      </c>
      <c r="Q13" s="37">
        <f>Resumo!W14</f>
        <v>4722.2299999999996</v>
      </c>
      <c r="R13" s="38">
        <f>Dados!O9+Dados!P9+Dados!Q9</f>
        <v>588.05999999999995</v>
      </c>
      <c r="S13" s="26">
        <v>2</v>
      </c>
      <c r="T13" s="39">
        <f>ROUND((Dados!M9*Encargos!$H$59*A13),2)</f>
        <v>462.94</v>
      </c>
      <c r="U13" s="39" t="s">
        <v>47</v>
      </c>
      <c r="V13" s="40">
        <f>SUMIF($S$11:$S$15,3,$Q$11:$Q$15)</f>
        <v>0</v>
      </c>
      <c r="W13" s="41">
        <f>SUMIF($S$11:$S$15,3,$T$11:$T$15)</f>
        <v>0</v>
      </c>
    </row>
    <row r="14" spans="1:23" s="17" customFormat="1" ht="15.6" hidden="1">
      <c r="A14" s="26">
        <f>Dados!B10</f>
        <v>1</v>
      </c>
      <c r="B14" s="27" t="str">
        <f>Dados!C10</f>
        <v>Zelador</v>
      </c>
      <c r="C14" s="28">
        <f>Dados!D10</f>
        <v>220</v>
      </c>
      <c r="D14" s="29">
        <v>0</v>
      </c>
      <c r="E14" s="26" t="s">
        <v>46</v>
      </c>
      <c r="F14" s="28">
        <f>IF(E14="NÃO",0,D14*Dados!$G$35)</f>
        <v>0</v>
      </c>
      <c r="G14" s="30">
        <v>0</v>
      </c>
      <c r="H14" s="29">
        <v>0</v>
      </c>
      <c r="I14" s="31">
        <v>0</v>
      </c>
      <c r="J14" s="30">
        <v>0</v>
      </c>
      <c r="K14" s="32">
        <f t="shared" si="0"/>
        <v>0</v>
      </c>
      <c r="L14" s="33">
        <v>0</v>
      </c>
      <c r="M14" s="33">
        <v>0</v>
      </c>
      <c r="N14" s="34"/>
      <c r="O14" s="42">
        <f>Resumo!S15</f>
        <v>0</v>
      </c>
      <c r="P14" s="36">
        <f>Resumo!V15</f>
        <v>0</v>
      </c>
      <c r="Q14" s="37">
        <f>Resumo!W15</f>
        <v>5520.17</v>
      </c>
      <c r="R14" s="38">
        <f>Dados!O10+Dados!P10+Dados!Q10</f>
        <v>0</v>
      </c>
      <c r="S14" s="26">
        <f>Dados!T10</f>
        <v>2</v>
      </c>
      <c r="T14" s="39">
        <f>ROUND((Dados!M10*Encargos!$H$59*A14),2)</f>
        <v>701.73</v>
      </c>
      <c r="U14" s="39" t="s">
        <v>47</v>
      </c>
      <c r="V14" s="40">
        <f>SUMIF($S$11:$S$15,4,$Q$11:$Q$15)</f>
        <v>0</v>
      </c>
      <c r="W14" s="41">
        <f>SUMIF($S$11:$S$15,4,$T$11:$T$15)</f>
        <v>0</v>
      </c>
    </row>
    <row r="15" spans="1:23" s="17" customFormat="1" ht="16.2" hidden="1" thickBot="1">
      <c r="A15" s="26">
        <f>Dados!B11</f>
        <v>2</v>
      </c>
      <c r="B15" s="27" t="str">
        <f>Dados!C11</f>
        <v>Assistente Administrativo</v>
      </c>
      <c r="C15" s="28">
        <f>Dados!D11</f>
        <v>150</v>
      </c>
      <c r="D15" s="29">
        <v>0</v>
      </c>
      <c r="E15" s="26" t="s">
        <v>46</v>
      </c>
      <c r="F15" s="28">
        <f>IF(E15="NÃO",0,D15*Dados!$G$35)</f>
        <v>0</v>
      </c>
      <c r="G15" s="30">
        <v>0</v>
      </c>
      <c r="H15" s="29">
        <v>0</v>
      </c>
      <c r="I15" s="31">
        <v>0</v>
      </c>
      <c r="J15" s="30">
        <v>0</v>
      </c>
      <c r="K15" s="32">
        <f t="shared" si="0"/>
        <v>0</v>
      </c>
      <c r="L15" s="33">
        <v>0</v>
      </c>
      <c r="M15" s="33">
        <v>0</v>
      </c>
      <c r="N15" s="34"/>
      <c r="O15" s="42">
        <f>Resumo!S16</f>
        <v>0</v>
      </c>
      <c r="P15" s="36"/>
      <c r="Q15" s="37">
        <f>Resumo!W16</f>
        <v>5914.14</v>
      </c>
      <c r="R15" s="38">
        <f>Dados!O11+Dados!P11+Dados!Q11</f>
        <v>0</v>
      </c>
      <c r="S15" s="26">
        <v>1</v>
      </c>
      <c r="T15" s="39">
        <f>ROUND((Dados!M11*Encargos!$H$59*A15),2)</f>
        <v>793.01</v>
      </c>
      <c r="U15" s="39" t="s">
        <v>48</v>
      </c>
      <c r="V15" s="40">
        <f>SUMIF($S$11:$S$15,4,$Q$11:$Q$15)</f>
        <v>0</v>
      </c>
      <c r="W15" s="41">
        <f>SUMIF($S$11:$S$15,4,$T$11:$T$15)</f>
        <v>0</v>
      </c>
    </row>
    <row r="16" spans="1:23" s="51" customFormat="1" ht="13.5" hidden="1" customHeight="1" thickBot="1">
      <c r="A16" s="522" t="s">
        <v>49</v>
      </c>
      <c r="B16" s="522"/>
      <c r="C16" s="522"/>
      <c r="D16" s="522"/>
      <c r="E16" s="522"/>
      <c r="F16" s="522"/>
      <c r="G16" s="522"/>
      <c r="H16" s="43">
        <f>Resumo!I17</f>
        <v>0</v>
      </c>
      <c r="I16" s="523"/>
      <c r="J16" s="523"/>
      <c r="K16" s="44">
        <f>Resumo!L17</f>
        <v>0</v>
      </c>
      <c r="L16" s="45">
        <f>Resumo!O17</f>
        <v>0</v>
      </c>
      <c r="M16" s="45">
        <f>Resumo!R17</f>
        <v>0</v>
      </c>
      <c r="N16" s="46">
        <f>Resumo!V17</f>
        <v>0</v>
      </c>
      <c r="O16" s="47">
        <f>(H16+K16+L16+M16)</f>
        <v>0</v>
      </c>
      <c r="P16" s="48">
        <f>Resumo!V17</f>
        <v>0</v>
      </c>
      <c r="Q16" s="491">
        <f>SUM(Q11:Q15)</f>
        <v>35896.19</v>
      </c>
      <c r="R16" s="49">
        <f>SUM(R11:R15)</f>
        <v>1764.1799999999998</v>
      </c>
      <c r="S16" s="50"/>
      <c r="T16" s="48">
        <f>SUM(T11:T15)</f>
        <v>3942.66</v>
      </c>
      <c r="U16" s="48"/>
      <c r="V16" s="48">
        <f>SUM(V11:V15)</f>
        <v>35896.19</v>
      </c>
      <c r="W16" s="49">
        <f>SUM(W11:W15)</f>
        <v>3942.66</v>
      </c>
    </row>
    <row r="17" spans="1:23" hidden="1">
      <c r="A17" s="52" t="s">
        <v>50</v>
      </c>
      <c r="B17" s="53"/>
      <c r="C17" s="53"/>
      <c r="D17" s="53"/>
      <c r="E17" s="53"/>
      <c r="F17" s="53"/>
      <c r="G17" s="53"/>
      <c r="H17" s="53"/>
      <c r="I17" s="53"/>
      <c r="J17" s="53"/>
    </row>
    <row r="18" spans="1:23" hidden="1">
      <c r="A18" s="54" t="s">
        <v>51</v>
      </c>
      <c r="B18" s="55"/>
      <c r="C18" s="55"/>
      <c r="D18" s="55"/>
      <c r="E18" s="55"/>
      <c r="F18" s="55"/>
      <c r="G18" s="55"/>
      <c r="H18" s="55"/>
      <c r="I18" s="55"/>
      <c r="J18" s="55"/>
    </row>
    <row r="19" spans="1:23" s="51" customFormat="1" ht="25.5" hidden="1" customHeight="1">
      <c r="A19" s="524" t="s">
        <v>52</v>
      </c>
      <c r="B19" s="524"/>
      <c r="C19" s="56" t="s">
        <v>53</v>
      </c>
      <c r="D19" s="56" t="s">
        <v>54</v>
      </c>
      <c r="E19" s="56" t="s">
        <v>55</v>
      </c>
      <c r="F19" s="56" t="s">
        <v>56</v>
      </c>
      <c r="H19" s="54"/>
      <c r="I19" s="57"/>
      <c r="J19" s="54"/>
      <c r="K19" s="57"/>
      <c r="L19" s="57"/>
      <c r="M19" s="57"/>
      <c r="R19" s="57"/>
      <c r="S19" s="57"/>
      <c r="T19" s="57"/>
      <c r="U19" s="57"/>
      <c r="V19" s="57"/>
      <c r="W19" s="57"/>
    </row>
    <row r="20" spans="1:23" s="51" customFormat="1" ht="13.8" hidden="1">
      <c r="A20" s="524"/>
      <c r="B20" s="524"/>
      <c r="C20" s="58">
        <v>220</v>
      </c>
      <c r="D20" s="58">
        <v>10</v>
      </c>
      <c r="E20" s="58">
        <v>25</v>
      </c>
      <c r="F20" s="59">
        <f>ROUND((D20/VLOOKUP(C20,$B$83:$C$89,2,FALSE())+E20/60/VLOOKUP(C20,$B$83:$C$89,2,FALSE())),2)</f>
        <v>1.18</v>
      </c>
      <c r="H20" s="54"/>
      <c r="I20" s="57"/>
      <c r="J20" s="54"/>
      <c r="K20" s="57"/>
      <c r="L20" s="57"/>
      <c r="M20" s="57"/>
      <c r="R20" s="57"/>
      <c r="S20" s="57"/>
      <c r="T20" s="57"/>
      <c r="U20" s="57"/>
      <c r="V20" s="57"/>
      <c r="W20" s="57"/>
    </row>
    <row r="21" spans="1:23" s="51" customFormat="1" ht="15" hidden="1" customHeight="1">
      <c r="A21" s="525" t="s">
        <v>57</v>
      </c>
      <c r="B21" s="525"/>
      <c r="C21" s="525"/>
      <c r="D21" s="525"/>
      <c r="E21" s="525"/>
      <c r="F21" s="525"/>
      <c r="G21" s="14"/>
      <c r="H21" s="14"/>
      <c r="I21" s="14"/>
      <c r="J21" s="54"/>
      <c r="K21" s="57"/>
      <c r="L21" s="57"/>
      <c r="M21" s="57"/>
      <c r="R21" s="57"/>
      <c r="S21" s="57"/>
      <c r="T21" s="57"/>
      <c r="U21" s="57"/>
      <c r="V21" s="57"/>
      <c r="W21" s="57"/>
    </row>
    <row r="22" spans="1:23" s="51" customFormat="1" hidden="1">
      <c r="A22" s="525"/>
      <c r="B22" s="525"/>
      <c r="C22" s="525"/>
      <c r="D22" s="525"/>
      <c r="E22" s="525"/>
      <c r="F22" s="525"/>
      <c r="G22" s="14"/>
      <c r="H22" s="60"/>
      <c r="I22" s="14"/>
      <c r="J22" s="54"/>
      <c r="K22" s="57"/>
      <c r="L22" s="57"/>
      <c r="M22" s="57"/>
      <c r="R22" s="57"/>
      <c r="S22" s="57"/>
      <c r="T22" s="57"/>
      <c r="U22" s="57"/>
      <c r="V22" s="57"/>
      <c r="W22" s="57"/>
    </row>
    <row r="23" spans="1:23" hidden="1">
      <c r="A23" s="54" t="s">
        <v>58</v>
      </c>
      <c r="B23" s="53"/>
      <c r="C23" s="53"/>
      <c r="D23" s="53"/>
      <c r="E23" s="53"/>
      <c r="F23" s="53"/>
      <c r="G23" s="53"/>
      <c r="H23" s="53"/>
      <c r="I23" s="53"/>
      <c r="J23" s="53"/>
    </row>
    <row r="24" spans="1:23" ht="15" hidden="1" thickBot="1">
      <c r="A24" s="53"/>
      <c r="B24" s="53"/>
      <c r="C24" s="53"/>
      <c r="D24" s="53"/>
      <c r="E24" s="53"/>
      <c r="F24" s="53"/>
      <c r="G24" s="53"/>
      <c r="H24" s="53"/>
      <c r="I24" s="53"/>
      <c r="J24" s="53"/>
      <c r="N24" s="61"/>
      <c r="O24" s="62"/>
      <c r="P24" s="62"/>
    </row>
    <row r="25" spans="1:23" ht="15.75" hidden="1" customHeight="1" thickBot="1">
      <c r="A25" s="526" t="s">
        <v>59</v>
      </c>
      <c r="B25" s="527" t="s">
        <v>60</v>
      </c>
      <c r="C25" s="527"/>
      <c r="D25" s="527"/>
      <c r="E25" s="527"/>
      <c r="F25" s="528" t="s">
        <v>61</v>
      </c>
      <c r="G25" s="528"/>
      <c r="H25" s="528"/>
      <c r="I25" s="529" t="s">
        <v>62</v>
      </c>
      <c r="J25" s="529"/>
      <c r="K25" s="529"/>
      <c r="L25" s="530" t="s">
        <v>63</v>
      </c>
      <c r="M25" s="530"/>
      <c r="N25" s="530"/>
      <c r="O25" s="530"/>
      <c r="V25" s="1"/>
      <c r="W25" s="1"/>
    </row>
    <row r="26" spans="1:23" ht="38.25" hidden="1" customHeight="1">
      <c r="A26" s="526"/>
      <c r="B26" s="524" t="s">
        <v>64</v>
      </c>
      <c r="C26" s="524"/>
      <c r="D26" s="524"/>
      <c r="E26" s="56" t="s">
        <v>65</v>
      </c>
      <c r="F26" s="56" t="s">
        <v>66</v>
      </c>
      <c r="G26" s="56" t="s">
        <v>67</v>
      </c>
      <c r="H26" s="66" t="s">
        <v>68</v>
      </c>
      <c r="I26" s="529"/>
      <c r="J26" s="529"/>
      <c r="K26" s="529"/>
      <c r="L26" s="63" t="s">
        <v>69</v>
      </c>
      <c r="M26" s="64" t="s">
        <v>70</v>
      </c>
      <c r="N26" s="64" t="s">
        <v>71</v>
      </c>
      <c r="O26" s="65" t="s">
        <v>72</v>
      </c>
      <c r="V26" s="14"/>
      <c r="W26" s="1"/>
    </row>
    <row r="27" spans="1:23" ht="38.25" hidden="1" customHeight="1">
      <c r="A27" s="67">
        <v>1</v>
      </c>
      <c r="B27" s="518" t="str">
        <f>Materiais!B9</f>
        <v>Álcool gel 70% - 5 litros galão - gel à base de álcool a 70% com ação antisséptica. Ideal para ser usado como complemento na higienização de mãos em hospitais, laboratórios, dentistas, clinicas, consultórios e indústria em geral. Composição: álcool etílico, polímero carboxílico, neutralizante, umectante, conservante, quelante e água deionizada. Prazo de validade: 24 meses a partir da data de fabricação.</v>
      </c>
      <c r="C27" s="518"/>
      <c r="D27" s="518"/>
      <c r="E27" s="68" t="str">
        <f>Materiais!C9</f>
        <v>Galão</v>
      </c>
      <c r="F27" s="68" t="str">
        <f>Materiais!D9</f>
        <v>Asseptgel</v>
      </c>
      <c r="G27" s="69">
        <f t="shared" ref="G27:G68" si="1">IF($D$4="PLANILHA PARA LICITAÇÃO (PRECIFICAÇÃO)",L27,0)</f>
        <v>1</v>
      </c>
      <c r="H27" s="70">
        <f>G27*Materiais!G9</f>
        <v>51.61</v>
      </c>
      <c r="I27" s="519" t="str">
        <f t="shared" ref="I27:I63" si="2">IF(G27&lt;L27,"Fornecimento inferior ao estimado mensalmente",IF(G27=L27,"Fornecimento igual ao estimado mensalmente",IF(G27&gt;L27,"Fornecimento superior ao estimado mensalmente",)))</f>
        <v>Fornecimento igual ao estimado mensalmente</v>
      </c>
      <c r="J27" s="519"/>
      <c r="K27" s="519"/>
      <c r="L27" s="71">
        <f t="shared" ref="L27:L68" si="3">M27/O27</f>
        <v>1</v>
      </c>
      <c r="M27" s="72">
        <f>Materiais!E9</f>
        <v>1</v>
      </c>
      <c r="N27" s="73" t="str">
        <f>Materiais!F9</f>
        <v>Mensal</v>
      </c>
      <c r="O27" s="74">
        <f t="shared" ref="O27:O68" si="4">IF(N27="MENSAL",1,IF(N27="BIMESTRAL",2,IF(N27="TRIMESTRAL",3,IF(N27="QUADRIMESTRAL",4,IF(N27="SEMESTRAL",6,IF(N27="ANUAL",12,IF(N27="BIENAL",24,"")))))))</f>
        <v>1</v>
      </c>
      <c r="W27" s="1"/>
    </row>
    <row r="28" spans="1:23" ht="33" hidden="1" customHeight="1">
      <c r="A28" s="75">
        <v>2</v>
      </c>
      <c r="B28" s="518" t="str">
        <f>Materiais!B10</f>
        <v>Álcool Líquido 1 Litro: Etilico Hidratado, para limpeza em geral, teor alcoolico 70 inpm. Aprovação Anvisa; Produto devera estar de acordo com legislacao vigente</v>
      </c>
      <c r="C28" s="518"/>
      <c r="D28" s="518"/>
      <c r="E28" s="68" t="str">
        <f>Materiais!C10</f>
        <v>Unid.</v>
      </c>
      <c r="F28" s="68" t="str">
        <f>Materiais!D10</f>
        <v>Facilita</v>
      </c>
      <c r="G28" s="69">
        <f t="shared" si="1"/>
        <v>2</v>
      </c>
      <c r="H28" s="70">
        <f>G28*Materiais!G10</f>
        <v>12.08</v>
      </c>
      <c r="I28" s="519" t="str">
        <f t="shared" si="2"/>
        <v>Fornecimento igual ao estimado mensalmente</v>
      </c>
      <c r="J28" s="519"/>
      <c r="K28" s="519"/>
      <c r="L28" s="71">
        <f t="shared" si="3"/>
        <v>2</v>
      </c>
      <c r="M28" s="72">
        <f>Materiais!E10</f>
        <v>2</v>
      </c>
      <c r="N28" s="73" t="str">
        <f>Materiais!F10</f>
        <v>Mensal</v>
      </c>
      <c r="O28" s="74">
        <f t="shared" si="4"/>
        <v>1</v>
      </c>
      <c r="W28" s="1"/>
    </row>
    <row r="29" spans="1:23" ht="42" hidden="1" customHeight="1">
      <c r="A29" s="75">
        <v>3</v>
      </c>
      <c r="B29" s="518" t="str">
        <f>Materiais!B11</f>
        <v>Balde plástico em polietileno de alta densidade, alta resistência a impacto, com paredes e fundo reforçados, com reforço no encaixe da alça de aço zincado constando no corpo a marcado fabricante, capacidade de 20 litros</v>
      </c>
      <c r="C29" s="518"/>
      <c r="D29" s="518"/>
      <c r="E29" s="68" t="str">
        <f>Materiais!C11</f>
        <v>Unid.</v>
      </c>
      <c r="F29" s="68" t="str">
        <f>Materiais!D11</f>
        <v>Arqplast</v>
      </c>
      <c r="G29" s="69">
        <f t="shared" si="1"/>
        <v>0.33333333333333331</v>
      </c>
      <c r="H29" s="70">
        <f>G29*Materiais!G11</f>
        <v>7.76</v>
      </c>
      <c r="I29" s="519" t="str">
        <f t="shared" si="2"/>
        <v>Fornecimento igual ao estimado mensalmente</v>
      </c>
      <c r="J29" s="519"/>
      <c r="K29" s="519"/>
      <c r="L29" s="71">
        <f t="shared" si="3"/>
        <v>0.33333333333333331</v>
      </c>
      <c r="M29" s="72">
        <f>Materiais!E11</f>
        <v>1</v>
      </c>
      <c r="N29" s="73" t="str">
        <f>Materiais!F11</f>
        <v>Trimestral</v>
      </c>
      <c r="O29" s="74">
        <f t="shared" si="4"/>
        <v>3</v>
      </c>
      <c r="W29" s="1"/>
    </row>
    <row r="30" spans="1:23" ht="28.5" hidden="1" customHeight="1">
      <c r="A30" s="75">
        <v>4</v>
      </c>
      <c r="B30" s="518" t="str">
        <f>Materiais!B12</f>
        <v>Balde Material: Plástico , Material Alça: Arame Galvanizado, Capacidade: 10 L, Cor: Preta, Características Adicionais: Reforço Fundo E Borda</v>
      </c>
      <c r="C30" s="518"/>
      <c r="D30" s="518"/>
      <c r="E30" s="68" t="str">
        <f>Materiais!C12</f>
        <v>Unid.</v>
      </c>
      <c r="F30" s="68" t="str">
        <f>Materiais!D12</f>
        <v>Sanremo</v>
      </c>
      <c r="G30" s="69">
        <f t="shared" si="1"/>
        <v>0.33333333333333331</v>
      </c>
      <c r="H30" s="70">
        <f>G30*Materiais!G12</f>
        <v>4.8933333333333326</v>
      </c>
      <c r="I30" s="519" t="str">
        <f t="shared" si="2"/>
        <v>Fornecimento igual ao estimado mensalmente</v>
      </c>
      <c r="J30" s="519"/>
      <c r="K30" s="519"/>
      <c r="L30" s="71">
        <f t="shared" si="3"/>
        <v>0.33333333333333331</v>
      </c>
      <c r="M30" s="72">
        <f>Materiais!E12</f>
        <v>1</v>
      </c>
      <c r="N30" s="73" t="str">
        <f>Materiais!F12</f>
        <v>Trimestral</v>
      </c>
      <c r="O30" s="74">
        <f t="shared" si="4"/>
        <v>3</v>
      </c>
      <c r="W30" s="1"/>
    </row>
    <row r="31" spans="1:23" ht="48" hidden="1" customHeight="1">
      <c r="A31" s="75">
        <v>5</v>
      </c>
      <c r="B31" s="518" t="str">
        <f>Materiais!B13</f>
        <v>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v>
      </c>
      <c r="C31" s="518"/>
      <c r="D31" s="518"/>
      <c r="E31" s="68" t="str">
        <f>Materiais!C13</f>
        <v>Unid.</v>
      </c>
      <c r="F31" s="68" t="str">
        <f>Materiais!D13</f>
        <v>Azulim</v>
      </c>
      <c r="G31" s="69">
        <f t="shared" si="1"/>
        <v>1</v>
      </c>
      <c r="H31" s="70">
        <f>G31*Materiais!G13</f>
        <v>4.91</v>
      </c>
      <c r="I31" s="519" t="str">
        <f t="shared" si="2"/>
        <v>Fornecimento igual ao estimado mensalmente</v>
      </c>
      <c r="J31" s="519"/>
      <c r="K31" s="519"/>
      <c r="L31" s="71">
        <f t="shared" si="3"/>
        <v>1</v>
      </c>
      <c r="M31" s="72">
        <f>Materiais!E13</f>
        <v>1</v>
      </c>
      <c r="N31" s="73" t="str">
        <f>Materiais!F13</f>
        <v>Mensal</v>
      </c>
      <c r="O31" s="74">
        <f t="shared" si="4"/>
        <v>1</v>
      </c>
      <c r="W31" s="1"/>
    </row>
    <row r="32" spans="1:23" ht="33.75" hidden="1" customHeight="1">
      <c r="A32" s="75">
        <v>6</v>
      </c>
      <c r="B32" s="518" t="str">
        <f>Materiais!B14</f>
        <v>Cesto plástico para lixo com tampa e pedal - 20 lt. cesto para lixo, com tampa e pedal em polipropileno, formato cilíndrico, capacidade aproximada de 20 litros</v>
      </c>
      <c r="C32" s="518"/>
      <c r="D32" s="518"/>
      <c r="E32" s="68" t="str">
        <f>Materiais!C14</f>
        <v>Unid.</v>
      </c>
      <c r="F32" s="68">
        <f>Materiais!D14</f>
        <v>0</v>
      </c>
      <c r="G32" s="69">
        <f t="shared" si="1"/>
        <v>0.5</v>
      </c>
      <c r="H32" s="70">
        <f>G32*Materiais!G14</f>
        <v>13.705</v>
      </c>
      <c r="I32" s="519" t="str">
        <f t="shared" si="2"/>
        <v>Fornecimento igual ao estimado mensalmente</v>
      </c>
      <c r="J32" s="519"/>
      <c r="K32" s="519"/>
      <c r="L32" s="71">
        <f t="shared" si="3"/>
        <v>0.5</v>
      </c>
      <c r="M32" s="72">
        <f>Materiais!E14</f>
        <v>3</v>
      </c>
      <c r="N32" s="73" t="str">
        <f>Materiais!F14</f>
        <v>Semestral</v>
      </c>
      <c r="O32" s="74">
        <f t="shared" si="4"/>
        <v>6</v>
      </c>
      <c r="W32" s="1"/>
    </row>
    <row r="33" spans="1:23" ht="33.75" hidden="1" customHeight="1">
      <c r="A33" s="75">
        <v>7</v>
      </c>
      <c r="B33" s="518" t="str">
        <f>Materiais!B15</f>
        <v>Cloro liquido concentrado com teor ativo de no minimo 10 a 12% para limpeza pesada embalagem com 5 litros</v>
      </c>
      <c r="C33" s="518"/>
      <c r="D33" s="518"/>
      <c r="E33" s="68" t="str">
        <f>Materiais!C15</f>
        <v>Galão</v>
      </c>
      <c r="F33" s="68" t="str">
        <f>Materiais!D15</f>
        <v>Audax, Butterfly</v>
      </c>
      <c r="G33" s="69">
        <f t="shared" si="1"/>
        <v>5</v>
      </c>
      <c r="H33" s="70">
        <f>G33*Materiais!G15</f>
        <v>108.35000000000001</v>
      </c>
      <c r="I33" s="519" t="str">
        <f t="shared" si="2"/>
        <v>Fornecimento igual ao estimado mensalmente</v>
      </c>
      <c r="J33" s="519"/>
      <c r="K33" s="519"/>
      <c r="L33" s="71">
        <f t="shared" si="3"/>
        <v>5</v>
      </c>
      <c r="M33" s="72">
        <f>Materiais!E15</f>
        <v>5</v>
      </c>
      <c r="N33" s="73" t="str">
        <f>Materiais!F15</f>
        <v>Mensal</v>
      </c>
      <c r="O33" s="74">
        <f t="shared" si="4"/>
        <v>1</v>
      </c>
      <c r="W33" s="1"/>
    </row>
    <row r="34" spans="1:23" ht="40.5" hidden="1" customHeight="1">
      <c r="A34" s="75">
        <v>8</v>
      </c>
      <c r="B34" s="518" t="str">
        <f>Materiais!B16</f>
        <v>Desentupidor Pia: Tipo: Sanfonado, Com Alto Poder De Sucção. Material: Borracha Flexível, Composto Por Polipropileno E Borracha Termoplástica. Plástico Resistente, Cabo Longo, mínimo 20 CM.</v>
      </c>
      <c r="C34" s="518"/>
      <c r="D34" s="518"/>
      <c r="E34" s="68" t="str">
        <f>Materiais!C16</f>
        <v>Unid.</v>
      </c>
      <c r="F34" s="68" t="str">
        <f>Materiais!D16</f>
        <v>Oliveira e Azevedo</v>
      </c>
      <c r="G34" s="69">
        <f t="shared" si="1"/>
        <v>0.33333333333333331</v>
      </c>
      <c r="H34" s="70">
        <f>G34*Materiais!G16</f>
        <v>3.24</v>
      </c>
      <c r="I34" s="519" t="str">
        <f t="shared" si="2"/>
        <v>Fornecimento igual ao estimado mensalmente</v>
      </c>
      <c r="J34" s="519"/>
      <c r="K34" s="519"/>
      <c r="L34" s="71">
        <f t="shared" si="3"/>
        <v>0.33333333333333331</v>
      </c>
      <c r="M34" s="72">
        <f>Materiais!E16</f>
        <v>1</v>
      </c>
      <c r="N34" s="73" t="str">
        <f>Materiais!F16</f>
        <v>Trimestral</v>
      </c>
      <c r="O34" s="74">
        <f t="shared" si="4"/>
        <v>3</v>
      </c>
      <c r="W34" s="1"/>
    </row>
    <row r="35" spans="1:23" ht="33" hidden="1" customHeight="1">
      <c r="A35" s="75">
        <v>9</v>
      </c>
      <c r="B35" s="518" t="str">
        <f>Materiais!B17</f>
        <v>Desentupidor Vaso Sanitário Material: Borracha Flexível, Comprimento Cabo: 50 CM, Altura: 10 CM, Cor: Preta , Diâmetro: 16 CM, MaterialCabo: Madeira</v>
      </c>
      <c r="C35" s="518"/>
      <c r="D35" s="518"/>
      <c r="E35" s="68" t="str">
        <f>Materiais!C17</f>
        <v>Unid.</v>
      </c>
      <c r="F35" s="68" t="str">
        <f>Materiais!D17</f>
        <v>Canada</v>
      </c>
      <c r="G35" s="69">
        <f t="shared" si="1"/>
        <v>0.16666666666666666</v>
      </c>
      <c r="H35" s="70">
        <f>G35*Materiais!G17</f>
        <v>2.4449999999999998</v>
      </c>
      <c r="I35" s="519" t="str">
        <f t="shared" si="2"/>
        <v>Fornecimento igual ao estimado mensalmente</v>
      </c>
      <c r="J35" s="519"/>
      <c r="K35" s="519"/>
      <c r="L35" s="71">
        <f t="shared" si="3"/>
        <v>0.16666666666666666</v>
      </c>
      <c r="M35" s="72">
        <f>Materiais!E17</f>
        <v>1</v>
      </c>
      <c r="N35" s="73" t="str">
        <f>Materiais!F17</f>
        <v>Semestral</v>
      </c>
      <c r="O35" s="74">
        <f t="shared" si="4"/>
        <v>6</v>
      </c>
      <c r="W35" s="1"/>
    </row>
    <row r="36" spans="1:23" ht="15" hidden="1" customHeight="1">
      <c r="A36" s="77">
        <v>10</v>
      </c>
      <c r="B36" s="518" t="str">
        <f>Materiais!B18</f>
        <v>Desodorizador de ambiente com 360ml bom ar</v>
      </c>
      <c r="C36" s="518"/>
      <c r="D36" s="518"/>
      <c r="E36" s="68" t="str">
        <f>Materiais!C18</f>
        <v>Unid.</v>
      </c>
      <c r="F36" s="68" t="str">
        <f>Materiais!D18</f>
        <v>Glade</v>
      </c>
      <c r="G36" s="69">
        <f t="shared" si="1"/>
        <v>3.3333333333333335</v>
      </c>
      <c r="H36" s="70">
        <f>G36*Materiais!G18</f>
        <v>55.533333333333339</v>
      </c>
      <c r="I36" s="519" t="str">
        <f t="shared" si="2"/>
        <v>Fornecimento igual ao estimado mensalmente</v>
      </c>
      <c r="J36" s="519"/>
      <c r="K36" s="519"/>
      <c r="L36" s="71">
        <f t="shared" si="3"/>
        <v>3.3333333333333335</v>
      </c>
      <c r="M36" s="72">
        <f>Materiais!E18</f>
        <v>10</v>
      </c>
      <c r="N36" s="73" t="str">
        <f>Materiais!F18</f>
        <v>Trimestral</v>
      </c>
      <c r="O36" s="74">
        <f t="shared" si="4"/>
        <v>3</v>
      </c>
      <c r="W36" s="1"/>
    </row>
    <row r="37" spans="1:23" ht="15" hidden="1" customHeight="1">
      <c r="A37" s="75">
        <v>11</v>
      </c>
      <c r="B37" s="518" t="str">
        <f>Materiais!B19</f>
        <v>Desinfetante concentrado líquido. Aroma floral. Embalagem com 5 litros.</v>
      </c>
      <c r="C37" s="518"/>
      <c r="D37" s="518"/>
      <c r="E37" s="68" t="str">
        <f>Materiais!C19</f>
        <v>Galão</v>
      </c>
      <c r="F37" s="68" t="str">
        <f>Materiais!D19</f>
        <v>Mirax Floral Bouquet</v>
      </c>
      <c r="G37" s="69">
        <f t="shared" si="1"/>
        <v>8</v>
      </c>
      <c r="H37" s="70">
        <f>G37*Materiais!G19</f>
        <v>282.16000000000003</v>
      </c>
      <c r="I37" s="519" t="str">
        <f t="shared" si="2"/>
        <v>Fornecimento igual ao estimado mensalmente</v>
      </c>
      <c r="J37" s="519"/>
      <c r="K37" s="519"/>
      <c r="L37" s="71">
        <f t="shared" si="3"/>
        <v>8</v>
      </c>
      <c r="M37" s="72">
        <f>Materiais!E19</f>
        <v>8</v>
      </c>
      <c r="N37" s="73" t="str">
        <f>Materiais!F19</f>
        <v>Mensal</v>
      </c>
      <c r="O37" s="74">
        <f t="shared" si="4"/>
        <v>1</v>
      </c>
      <c r="W37" s="1"/>
    </row>
    <row r="38" spans="1:23" ht="51" hidden="1" customHeight="1">
      <c r="A38" s="75">
        <v>12</v>
      </c>
      <c r="B38" s="518" t="str">
        <f>Materiais!B20</f>
        <v>Limpeza Pesada - Detergente clorado desenvolvido para desinfecção, limpeza e clareamento das superfícies em ambientes de fluxo alto, médio e baixo. Com excelente ação bactericida. Aprovação Anvisa. CHEFF Clorado diluído (1 x 10) (p/ vasos sanitários) galão com 5 litros</v>
      </c>
      <c r="C38" s="518"/>
      <c r="D38" s="518"/>
      <c r="E38" s="68" t="str">
        <f>Materiais!C20</f>
        <v>Galão</v>
      </c>
      <c r="F38" s="68" t="str">
        <f>Materiais!D20</f>
        <v>Cheff, Audax Gold, Renko</v>
      </c>
      <c r="G38" s="69">
        <f t="shared" si="1"/>
        <v>5</v>
      </c>
      <c r="H38" s="70">
        <f>G38*Materiais!G20</f>
        <v>208.6</v>
      </c>
      <c r="I38" s="519" t="str">
        <f t="shared" si="2"/>
        <v>Fornecimento igual ao estimado mensalmente</v>
      </c>
      <c r="J38" s="519"/>
      <c r="K38" s="519"/>
      <c r="L38" s="71">
        <f t="shared" si="3"/>
        <v>5</v>
      </c>
      <c r="M38" s="72">
        <f>Materiais!E20</f>
        <v>5</v>
      </c>
      <c r="N38" s="73" t="str">
        <f>Materiais!F20</f>
        <v>Mensal</v>
      </c>
      <c r="O38" s="74">
        <f t="shared" si="4"/>
        <v>1</v>
      </c>
      <c r="W38" s="1"/>
    </row>
    <row r="39" spans="1:23" ht="51" hidden="1" customHeight="1">
      <c r="A39" s="77">
        <v>13</v>
      </c>
      <c r="B39" s="518" t="str">
        <f>Materiais!B21</f>
        <v>Detergente líquido para louça, neutro, embalagem de 500ml, com tampa Push Pool. Deverá conter glicerina e ser testado e aprovado por dermatologistas. Com fórmula biodegradável. Deve possuir registro na Anvisa/Ministério da Saúde, o qual deverá estar impresso no rótulo.</v>
      </c>
      <c r="C39" s="518"/>
      <c r="D39" s="518"/>
      <c r="E39" s="68" t="str">
        <f>Materiais!C21</f>
        <v>Unid.</v>
      </c>
      <c r="F39" s="68" t="str">
        <f>Materiais!D21</f>
        <v>Limpol</v>
      </c>
      <c r="G39" s="69">
        <f t="shared" si="1"/>
        <v>10</v>
      </c>
      <c r="H39" s="70">
        <f>G39*Materiais!G21</f>
        <v>46.2</v>
      </c>
      <c r="I39" s="519" t="str">
        <f t="shared" si="2"/>
        <v>Fornecimento igual ao estimado mensalmente</v>
      </c>
      <c r="J39" s="519"/>
      <c r="K39" s="519"/>
      <c r="L39" s="71">
        <f t="shared" si="3"/>
        <v>10</v>
      </c>
      <c r="M39" s="72">
        <f>Materiais!E21</f>
        <v>10</v>
      </c>
      <c r="N39" s="73" t="str">
        <f>Materiais!F21</f>
        <v>Mensal</v>
      </c>
      <c r="O39" s="74">
        <f t="shared" si="4"/>
        <v>1</v>
      </c>
      <c r="W39" s="1"/>
    </row>
    <row r="40" spans="1:23" ht="29.25" hidden="1" customHeight="1">
      <c r="A40" s="75">
        <v>14</v>
      </c>
      <c r="B40" s="518" t="str">
        <f>Materiais!B22</f>
        <v>Escova para lavar multiuso, oval, base plástica e cerdas de escova para lavar multiuso, oval, base plástica e cerdas de nylon.</v>
      </c>
      <c r="C40" s="518"/>
      <c r="D40" s="518"/>
      <c r="E40" s="68" t="str">
        <f>Materiais!C22</f>
        <v>Unid.</v>
      </c>
      <c r="F40" s="68" t="str">
        <f>Materiais!D22</f>
        <v>Condor</v>
      </c>
      <c r="G40" s="69">
        <f t="shared" si="1"/>
        <v>0.5</v>
      </c>
      <c r="H40" s="70">
        <f>G40*Materiais!G22</f>
        <v>1.56</v>
      </c>
      <c r="I40" s="519" t="str">
        <f t="shared" si="2"/>
        <v>Fornecimento igual ao estimado mensalmente</v>
      </c>
      <c r="J40" s="519"/>
      <c r="K40" s="519"/>
      <c r="L40" s="71">
        <f t="shared" si="3"/>
        <v>0.5</v>
      </c>
      <c r="M40" s="72">
        <f>Materiais!E22</f>
        <v>1</v>
      </c>
      <c r="N40" s="73" t="str">
        <f>Materiais!F22</f>
        <v>Bimestral</v>
      </c>
      <c r="O40" s="74">
        <f t="shared" si="4"/>
        <v>2</v>
      </c>
      <c r="W40" s="1"/>
    </row>
    <row r="41" spans="1:23" ht="33" hidden="1" customHeight="1">
      <c r="A41" s="75">
        <v>15</v>
      </c>
      <c r="B41" s="518" t="str">
        <f>Materiais!B23</f>
        <v>Escova Sanitária Redonda em plástico Branco contendo 01 escova para vaso sanitário e 01 suporte redondo: Branco Tamanho: 14 x 42 cm</v>
      </c>
      <c r="C41" s="518"/>
      <c r="D41" s="518"/>
      <c r="E41" s="68" t="str">
        <f>Materiais!C23</f>
        <v>Unid.</v>
      </c>
      <c r="F41" s="68" t="str">
        <f>Materiais!D23</f>
        <v>Limpamania</v>
      </c>
      <c r="G41" s="69">
        <f t="shared" si="1"/>
        <v>1</v>
      </c>
      <c r="H41" s="70">
        <f>G41*Materiais!G23</f>
        <v>11.75</v>
      </c>
      <c r="I41" s="519" t="str">
        <f t="shared" si="2"/>
        <v>Fornecimento igual ao estimado mensalmente</v>
      </c>
      <c r="J41" s="519"/>
      <c r="K41" s="519"/>
      <c r="L41" s="71">
        <f t="shared" si="3"/>
        <v>1</v>
      </c>
      <c r="M41" s="72">
        <f>Materiais!E23</f>
        <v>3</v>
      </c>
      <c r="N41" s="73" t="str">
        <f>Materiais!F23</f>
        <v>Trimestral</v>
      </c>
      <c r="O41" s="74">
        <f t="shared" si="4"/>
        <v>3</v>
      </c>
      <c r="W41" s="1"/>
    </row>
    <row r="42" spans="1:23" ht="50.25" hidden="1" customHeight="1">
      <c r="A42" s="75">
        <v>16</v>
      </c>
      <c r="B42" s="518" t="str">
        <f>Materiais!B24</f>
        <v>Esponja Para Lavagem De Louças E Limpeza Em Geral, Dupla Face Sintética, Um Lado Em Espuma Poliuretano E Outro Em Fibra Sintética Abrasiva, Antibacteriana, Formato Retangular, Medindo Aproximadamente 110mm X 75mm X 20mm De Espessura. Pacote com 4 unidades.</v>
      </c>
      <c r="C42" s="518"/>
      <c r="D42" s="518"/>
      <c r="E42" s="68" t="str">
        <f>Materiais!C24</f>
        <v>pacote</v>
      </c>
      <c r="F42" s="68" t="str">
        <f>Materiais!D24</f>
        <v>Scotch-Brite</v>
      </c>
      <c r="G42" s="69">
        <f t="shared" si="1"/>
        <v>10</v>
      </c>
      <c r="H42" s="70">
        <f>G42*Materiais!G24</f>
        <v>46.4</v>
      </c>
      <c r="I42" s="519" t="str">
        <f t="shared" si="2"/>
        <v>Fornecimento igual ao estimado mensalmente</v>
      </c>
      <c r="J42" s="519"/>
      <c r="K42" s="519"/>
      <c r="L42" s="71">
        <f t="shared" si="3"/>
        <v>10</v>
      </c>
      <c r="M42" s="72">
        <f>Materiais!E24</f>
        <v>10</v>
      </c>
      <c r="N42" s="73" t="str">
        <f>Materiais!F24</f>
        <v>Mensal</v>
      </c>
      <c r="O42" s="74">
        <f t="shared" si="4"/>
        <v>1</v>
      </c>
      <c r="W42" s="1"/>
    </row>
    <row r="43" spans="1:23" ht="42" hidden="1" customHeight="1">
      <c r="A43" s="75">
        <v>17</v>
      </c>
      <c r="B43" s="518" t="str">
        <f>Materiais!B25</f>
        <v>Esponja de LÃ DE AÇO, composição básica: aço carbono abrasivo, p/ limpeza em geral, acondicionada em embalagem plástica original do fabricante, peso líquido aproximado de 60g, pacote c/ 08 unidades</v>
      </c>
      <c r="C43" s="518"/>
      <c r="D43" s="518"/>
      <c r="E43" s="68" t="str">
        <f>Materiais!C25</f>
        <v>pacote</v>
      </c>
      <c r="F43" s="68" t="str">
        <f>Materiais!D25</f>
        <v>Bombril</v>
      </c>
      <c r="G43" s="69">
        <f t="shared" si="1"/>
        <v>5</v>
      </c>
      <c r="H43" s="70">
        <f>G43*Materiais!G25</f>
        <v>13.35</v>
      </c>
      <c r="I43" s="519" t="str">
        <f t="shared" si="2"/>
        <v>Fornecimento igual ao estimado mensalmente</v>
      </c>
      <c r="J43" s="519"/>
      <c r="K43" s="519"/>
      <c r="L43" s="71">
        <f t="shared" si="3"/>
        <v>5</v>
      </c>
      <c r="M43" s="72">
        <f>Materiais!E25</f>
        <v>5</v>
      </c>
      <c r="N43" s="73" t="str">
        <f>Materiais!F25</f>
        <v>Mensal</v>
      </c>
      <c r="O43" s="74">
        <f t="shared" si="4"/>
        <v>1</v>
      </c>
      <c r="W43" s="1"/>
    </row>
    <row r="44" spans="1:23" ht="20.25" hidden="1" customHeight="1">
      <c r="A44" s="75">
        <v>18</v>
      </c>
      <c r="B44" s="518" t="str">
        <f>Materiais!B26</f>
        <v>Espanador de pó de penas nº 25. Medidas: 25 cm de penas e 40 cm de cabo</v>
      </c>
      <c r="C44" s="518"/>
      <c r="D44" s="518"/>
      <c r="E44" s="68" t="str">
        <f>Materiais!C26</f>
        <v>Unid.</v>
      </c>
      <c r="F44" s="68" t="str">
        <f>Materiais!D26</f>
        <v>Duster</v>
      </c>
      <c r="G44" s="69">
        <f t="shared" si="1"/>
        <v>0.5</v>
      </c>
      <c r="H44" s="70">
        <f>G44*Materiais!G26</f>
        <v>8.2149999999999999</v>
      </c>
      <c r="I44" s="519" t="str">
        <f t="shared" si="2"/>
        <v>Fornecimento igual ao estimado mensalmente</v>
      </c>
      <c r="J44" s="519"/>
      <c r="K44" s="519"/>
      <c r="L44" s="71">
        <f t="shared" si="3"/>
        <v>0.5</v>
      </c>
      <c r="M44" s="72">
        <f>Materiais!E26</f>
        <v>3</v>
      </c>
      <c r="N44" s="73" t="str">
        <f>Materiais!F26</f>
        <v>Semestral</v>
      </c>
      <c r="O44" s="74">
        <f t="shared" si="4"/>
        <v>6</v>
      </c>
      <c r="W44" s="1"/>
    </row>
    <row r="45" spans="1:23" ht="100.5" hidden="1" customHeight="1">
      <c r="A45" s="75">
        <v>19</v>
      </c>
      <c r="B45" s="518" t="str">
        <f>Materiais!B27</f>
        <v>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v>
      </c>
      <c r="C45" s="518"/>
      <c r="D45" s="518"/>
      <c r="E45" s="68" t="str">
        <f>Materiais!C27</f>
        <v>Unid.</v>
      </c>
      <c r="F45" s="68" t="str">
        <f>Materiais!D27</f>
        <v>Intextil</v>
      </c>
      <c r="G45" s="69">
        <f t="shared" si="1"/>
        <v>10</v>
      </c>
      <c r="H45" s="70">
        <f>G45*Materiais!G27</f>
        <v>41.3</v>
      </c>
      <c r="I45" s="519" t="str">
        <f t="shared" si="2"/>
        <v>Fornecimento igual ao estimado mensalmente</v>
      </c>
      <c r="J45" s="519"/>
      <c r="K45" s="519"/>
      <c r="L45" s="71">
        <f t="shared" si="3"/>
        <v>10</v>
      </c>
      <c r="M45" s="72">
        <f>Materiais!E27</f>
        <v>10</v>
      </c>
      <c r="N45" s="73" t="str">
        <f>Materiais!F27</f>
        <v>Mensal</v>
      </c>
      <c r="O45" s="74">
        <f t="shared" si="4"/>
        <v>1</v>
      </c>
      <c r="W45" s="1"/>
    </row>
    <row r="46" spans="1:23" ht="25.5" hidden="1" customHeight="1">
      <c r="A46" s="75">
        <v>20</v>
      </c>
      <c r="B46" s="518" t="str">
        <f>Materiais!B28</f>
        <v>Inseticida Aerossol, multiinseticida, frasco com mínimo 300 ml. Registro/ Autorização no ministério da saúde.</v>
      </c>
      <c r="C46" s="518"/>
      <c r="D46" s="518"/>
      <c r="E46" s="68" t="str">
        <f>Materiais!C28</f>
        <v>Unid.</v>
      </c>
      <c r="F46" s="68" t="str">
        <f>Materiais!D28</f>
        <v>Raid</v>
      </c>
      <c r="G46" s="69">
        <f t="shared" si="1"/>
        <v>0.5</v>
      </c>
      <c r="H46" s="70">
        <f>G46*Materiais!G28</f>
        <v>5.35</v>
      </c>
      <c r="I46" s="519" t="str">
        <f t="shared" si="2"/>
        <v>Fornecimento igual ao estimado mensalmente</v>
      </c>
      <c r="J46" s="519"/>
      <c r="K46" s="519"/>
      <c r="L46" s="71">
        <f t="shared" si="3"/>
        <v>0.5</v>
      </c>
      <c r="M46" s="72">
        <f>Materiais!E28</f>
        <v>1</v>
      </c>
      <c r="N46" s="73" t="str">
        <f>Materiais!F28</f>
        <v>Bimestral</v>
      </c>
      <c r="O46" s="74">
        <f t="shared" si="4"/>
        <v>2</v>
      </c>
      <c r="W46" s="1"/>
    </row>
    <row r="47" spans="1:23" ht="51" hidden="1" customHeight="1">
      <c r="A47" s="75">
        <v>21</v>
      </c>
      <c r="B47" s="518" t="str">
        <f>Materiais!B29</f>
        <v>Kit limpador de vidro: Rodo limpa vidros com cabo telescópico extensor de 06 (seis)metros. Extremidade composta por lavador de acrílico e limpador com lâmina de borracha de aproximadamente 35 cm. Utilizado para limpeza de vidros e vidraças.</v>
      </c>
      <c r="C47" s="518"/>
      <c r="D47" s="518"/>
      <c r="E47" s="68" t="str">
        <f>Materiais!C29</f>
        <v>Unid.</v>
      </c>
      <c r="F47" s="68" t="str">
        <f>Materiais!D29</f>
        <v>Bralimpia</v>
      </c>
      <c r="G47" s="69">
        <f t="shared" si="1"/>
        <v>0.16666666666666666</v>
      </c>
      <c r="H47" s="70">
        <f>G47*Materiais!G29</f>
        <v>12.909999999999998</v>
      </c>
      <c r="I47" s="519" t="str">
        <f t="shared" si="2"/>
        <v>Fornecimento igual ao estimado mensalmente</v>
      </c>
      <c r="J47" s="519"/>
      <c r="K47" s="519"/>
      <c r="L47" s="71">
        <f t="shared" si="3"/>
        <v>0.16666666666666666</v>
      </c>
      <c r="M47" s="72">
        <f>Materiais!E29</f>
        <v>1</v>
      </c>
      <c r="N47" s="73" t="str">
        <f>Materiais!F29</f>
        <v>Semestral</v>
      </c>
      <c r="O47" s="74">
        <f t="shared" si="4"/>
        <v>6</v>
      </c>
      <c r="W47" s="1"/>
    </row>
    <row r="48" spans="1:23" ht="15" hidden="1" customHeight="1">
      <c r="A48" s="75">
        <v>22</v>
      </c>
      <c r="B48" s="518" t="str">
        <f>Materiais!B30</f>
        <v>Limpa vidro 500ml (Veja ou similar)</v>
      </c>
      <c r="C48" s="518"/>
      <c r="D48" s="518"/>
      <c r="E48" s="68" t="str">
        <f>Materiais!C30</f>
        <v>Unid.</v>
      </c>
      <c r="F48" s="68" t="str">
        <f>Materiais!D30</f>
        <v>Veja</v>
      </c>
      <c r="G48" s="69">
        <f t="shared" si="1"/>
        <v>5</v>
      </c>
      <c r="H48" s="70">
        <f>G48*Materiais!G30</f>
        <v>88.2</v>
      </c>
      <c r="I48" s="519" t="str">
        <f t="shared" si="2"/>
        <v>Fornecimento igual ao estimado mensalmente</v>
      </c>
      <c r="J48" s="519"/>
      <c r="K48" s="519"/>
      <c r="L48" s="71">
        <f t="shared" si="3"/>
        <v>5</v>
      </c>
      <c r="M48" s="72">
        <f>Materiais!E30</f>
        <v>5</v>
      </c>
      <c r="N48" s="73" t="str">
        <f>Materiais!F30</f>
        <v>Mensal</v>
      </c>
      <c r="O48" s="74">
        <f t="shared" si="4"/>
        <v>1</v>
      </c>
      <c r="W48" s="1"/>
    </row>
    <row r="49" spans="1:23" ht="56.25" hidden="1" customHeight="1">
      <c r="A49" s="75">
        <v>23</v>
      </c>
      <c r="B49" s="518" t="str">
        <f>Materiais!B31</f>
        <v>Lustra Móveis, Embalagem de 200 ml, Emulsão aquosa cremosa, perfumada, para aplicação em móveis e superfícies
lisas. aromas diversos. frasco plástico de 200ml com bico econômico. embalagem certificada pelo INMETRO contendo data de fabricação, validade.</v>
      </c>
      <c r="C49" s="518"/>
      <c r="D49" s="518"/>
      <c r="E49" s="68" t="str">
        <f>Materiais!C31</f>
        <v>Unid.</v>
      </c>
      <c r="F49" s="68" t="str">
        <f>Materiais!D31</f>
        <v>Ypê</v>
      </c>
      <c r="G49" s="69">
        <f t="shared" si="1"/>
        <v>1</v>
      </c>
      <c r="H49" s="70">
        <f>G49*Materiais!G31</f>
        <v>6.72</v>
      </c>
      <c r="I49" s="519" t="str">
        <f t="shared" si="2"/>
        <v>Fornecimento igual ao estimado mensalmente</v>
      </c>
      <c r="J49" s="519"/>
      <c r="K49" s="519"/>
      <c r="L49" s="71">
        <f t="shared" si="3"/>
        <v>1</v>
      </c>
      <c r="M49" s="72">
        <f>Materiais!E31</f>
        <v>1</v>
      </c>
      <c r="N49" s="73" t="str">
        <f>Materiais!F31</f>
        <v>Mensal</v>
      </c>
      <c r="O49" s="74">
        <f t="shared" si="4"/>
        <v>1</v>
      </c>
      <c r="W49" s="1"/>
    </row>
    <row r="50" spans="1:23" ht="68.25" hidden="1" customHeight="1">
      <c r="A50" s="75">
        <v>24</v>
      </c>
      <c r="B50" s="518" t="str">
        <f>Materiais!B32</f>
        <v>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v>
      </c>
      <c r="C50" s="518"/>
      <c r="D50" s="518"/>
      <c r="E50" s="68" t="str">
        <f>Materiais!C32</f>
        <v>Unid.</v>
      </c>
      <c r="F50" s="68" t="str">
        <f>Materiais!D32</f>
        <v>Veja</v>
      </c>
      <c r="G50" s="69">
        <f t="shared" si="1"/>
        <v>8</v>
      </c>
      <c r="H50" s="70">
        <f>G50*Materiais!G32</f>
        <v>50.4</v>
      </c>
      <c r="I50" s="519" t="str">
        <f t="shared" si="2"/>
        <v>Fornecimento igual ao estimado mensalmente</v>
      </c>
      <c r="J50" s="519"/>
      <c r="K50" s="519"/>
      <c r="L50" s="71">
        <f t="shared" si="3"/>
        <v>8</v>
      </c>
      <c r="M50" s="72">
        <f>Materiais!E32</f>
        <v>8</v>
      </c>
      <c r="N50" s="73" t="str">
        <f>Materiais!F32</f>
        <v>Mensal</v>
      </c>
      <c r="O50" s="74">
        <f t="shared" si="4"/>
        <v>1</v>
      </c>
      <c r="W50" s="1"/>
    </row>
    <row r="51" spans="1:23" ht="24" hidden="1" customHeight="1">
      <c r="A51" s="75">
        <v>25</v>
      </c>
      <c r="B51" s="518" t="str">
        <f>Materiais!B33</f>
        <v>Luva Segurança Com Forro. Material: 100% Látex Nitrílico , Tamanho: M ou G ,Aplicação: Manuseio Reagente Químico E Radioativo , Características Adicionais: Com Forro, Sem Talco, Pulso Com Bainha , Modelo: Palma Antiderrapante, Cor: Verde, Tipo: Ambidestra</v>
      </c>
      <c r="C51" s="518"/>
      <c r="D51" s="518"/>
      <c r="E51" s="68" t="str">
        <f>Materiais!C33</f>
        <v>Par</v>
      </c>
      <c r="F51" s="68" t="str">
        <f>Materiais!D33</f>
        <v>Bettanin</v>
      </c>
      <c r="G51" s="69">
        <f t="shared" si="1"/>
        <v>10</v>
      </c>
      <c r="H51" s="70">
        <f>G51*Materiais!G33</f>
        <v>141.6</v>
      </c>
      <c r="I51" s="519" t="str">
        <f t="shared" si="2"/>
        <v>Fornecimento igual ao estimado mensalmente</v>
      </c>
      <c r="J51" s="519"/>
      <c r="K51" s="519"/>
      <c r="L51" s="71">
        <f t="shared" si="3"/>
        <v>10</v>
      </c>
      <c r="M51" s="72">
        <f>Materiais!E33</f>
        <v>10</v>
      </c>
      <c r="N51" s="73" t="str">
        <f>Materiais!F33</f>
        <v>Mensal</v>
      </c>
      <c r="O51" s="74">
        <f t="shared" si="4"/>
        <v>1</v>
      </c>
      <c r="W51" s="1"/>
    </row>
    <row r="52" spans="1:23" ht="15" hidden="1" customHeight="1">
      <c r="A52" s="75">
        <v>26</v>
      </c>
      <c r="B52" s="518" t="str">
        <f>Materiais!B34</f>
        <v>Pá p/ lixo em plástico resistente c/ cabo de madeira de 60cm de altura na vertical.</v>
      </c>
      <c r="C52" s="518"/>
      <c r="D52" s="518"/>
      <c r="E52" s="68" t="str">
        <f>Materiais!C34</f>
        <v>Unid.</v>
      </c>
      <c r="F52" s="68" t="str">
        <f>Materiais!D34</f>
        <v>Bettanin</v>
      </c>
      <c r="G52" s="69">
        <f t="shared" si="1"/>
        <v>1</v>
      </c>
      <c r="H52" s="70">
        <f>G52*Materiais!G34</f>
        <v>11.67</v>
      </c>
      <c r="I52" s="519" t="str">
        <f t="shared" si="2"/>
        <v>Fornecimento igual ao estimado mensalmente</v>
      </c>
      <c r="J52" s="519"/>
      <c r="K52" s="519"/>
      <c r="L52" s="71">
        <f t="shared" si="3"/>
        <v>1</v>
      </c>
      <c r="M52" s="72">
        <f>Materiais!E34</f>
        <v>6</v>
      </c>
      <c r="N52" s="73" t="str">
        <f>Materiais!F34</f>
        <v>Semestral</v>
      </c>
      <c r="O52" s="74">
        <f t="shared" si="4"/>
        <v>6</v>
      </c>
      <c r="W52" s="1"/>
    </row>
    <row r="53" spans="1:23" ht="43.5" hidden="1" customHeight="1">
      <c r="A53" s="75">
        <v>27</v>
      </c>
      <c r="B53" s="518" t="str">
        <f>Materiais!B35</f>
        <v>Papel higiênico branco, folha dupla, de alta qualidade, com dimensões 10cm X 30m, com a marca do fabricante e indicação na embalagem, absorvente e resistente, fardo com 4 rolos de 30 metros. Tipo Neve ou de melhor qualidade.</v>
      </c>
      <c r="C53" s="518"/>
      <c r="D53" s="518"/>
      <c r="E53" s="68" t="str">
        <f>Materiais!C35</f>
        <v>Fardo com 4 rolos</v>
      </c>
      <c r="F53" s="68" t="str">
        <f>Materiais!D35</f>
        <v>Neve</v>
      </c>
      <c r="G53" s="69">
        <f t="shared" si="1"/>
        <v>35</v>
      </c>
      <c r="H53" s="70">
        <f>G53*Materiais!G35</f>
        <v>222.25</v>
      </c>
      <c r="I53" s="519" t="str">
        <f t="shared" si="2"/>
        <v>Fornecimento igual ao estimado mensalmente</v>
      </c>
      <c r="J53" s="519"/>
      <c r="K53" s="519"/>
      <c r="L53" s="71">
        <f t="shared" si="3"/>
        <v>35</v>
      </c>
      <c r="M53" s="72">
        <f>Materiais!E35</f>
        <v>35</v>
      </c>
      <c r="N53" s="73" t="str">
        <f>Materiais!F35</f>
        <v>Mensal</v>
      </c>
      <c r="O53" s="74">
        <f t="shared" si="4"/>
        <v>1</v>
      </c>
      <c r="W53" s="1"/>
    </row>
    <row r="54" spans="1:23" ht="41.25" hidden="1" customHeight="1">
      <c r="A54" s="75">
        <v>28</v>
      </c>
      <c r="B54" s="518" t="str">
        <f>Materiais!B36</f>
        <v>Papel Toalha Interfolhado, 2 dobras, 100% fibras celulósicas, branco extra luxo, sem pintas ou outros tipos de sujidades, boa qualidade , medindo aproximadamente 23cm x 23 cm , acondicionado em caixa c/1000 folhas.</v>
      </c>
      <c r="C54" s="518"/>
      <c r="D54" s="518"/>
      <c r="E54" s="68" t="str">
        <f>Materiais!C36</f>
        <v>Pacote</v>
      </c>
      <c r="F54" s="68" t="str">
        <f>Materiais!D36</f>
        <v>Economy (Jofel) ou similar</v>
      </c>
      <c r="G54" s="69">
        <f t="shared" si="1"/>
        <v>30</v>
      </c>
      <c r="H54" s="70">
        <f>G54*Materiais!G36</f>
        <v>757.80000000000007</v>
      </c>
      <c r="I54" s="519" t="str">
        <f t="shared" si="2"/>
        <v>Fornecimento igual ao estimado mensalmente</v>
      </c>
      <c r="J54" s="519"/>
      <c r="K54" s="519"/>
      <c r="L54" s="71">
        <f t="shared" si="3"/>
        <v>30</v>
      </c>
      <c r="M54" s="72">
        <f>Materiais!E36</f>
        <v>30</v>
      </c>
      <c r="N54" s="73" t="str">
        <f>Materiais!F36</f>
        <v>Mensal</v>
      </c>
      <c r="O54" s="74">
        <f t="shared" si="4"/>
        <v>1</v>
      </c>
      <c r="W54" s="1"/>
    </row>
    <row r="55" spans="1:23" ht="29.25" hidden="1" customHeight="1">
      <c r="A55" s="75">
        <v>29</v>
      </c>
      <c r="B55" s="518" t="str">
        <f>Materiais!B37</f>
        <v>Pedra sanitária c/ 25g - com suporte para fixar no vaso sanitário. Desinfetante sanitário em pedra 25 g</v>
      </c>
      <c r="C55" s="518"/>
      <c r="D55" s="518"/>
      <c r="E55" s="68" t="str">
        <f>Materiais!C37</f>
        <v>Unid.</v>
      </c>
      <c r="F55" s="68" t="str">
        <f>Materiais!D37</f>
        <v>Harpic, Pato</v>
      </c>
      <c r="G55" s="69">
        <f t="shared" si="1"/>
        <v>16.666666666666668</v>
      </c>
      <c r="H55" s="70">
        <f>G55*Materiais!G37</f>
        <v>58.666666666666671</v>
      </c>
      <c r="I55" s="519" t="str">
        <f t="shared" si="2"/>
        <v>Fornecimento igual ao estimado mensalmente</v>
      </c>
      <c r="J55" s="519"/>
      <c r="K55" s="519"/>
      <c r="L55" s="71">
        <f t="shared" si="3"/>
        <v>16.666666666666668</v>
      </c>
      <c r="M55" s="72">
        <f>Materiais!E37</f>
        <v>50</v>
      </c>
      <c r="N55" s="73" t="str">
        <f>Materiais!F37</f>
        <v>Trimestral</v>
      </c>
      <c r="O55" s="74">
        <f t="shared" si="4"/>
        <v>3</v>
      </c>
      <c r="W55" s="1"/>
    </row>
    <row r="56" spans="1:23" ht="41.25" hidden="1" customHeight="1">
      <c r="A56" s="75">
        <v>30</v>
      </c>
      <c r="B56" s="518" t="str">
        <f>Materiais!B38</f>
        <v>Rodo Plástico e borracha dupla expandida de 40cm de largura, acompanha cabo de madeira plastificado de aproximadamente 1,26m, com garras pontiagudas nas laterais para melhor fixar panos de chão.</v>
      </c>
      <c r="C56" s="518"/>
      <c r="D56" s="518"/>
      <c r="E56" s="68" t="str">
        <f>Materiais!C38</f>
        <v>Unid.</v>
      </c>
      <c r="F56" s="68" t="str">
        <f>Materiais!D38</f>
        <v>Brubalar</v>
      </c>
      <c r="G56" s="69">
        <f t="shared" si="1"/>
        <v>1</v>
      </c>
      <c r="H56" s="70">
        <f>G56*Materiais!G38</f>
        <v>12.33</v>
      </c>
      <c r="I56" s="519" t="str">
        <f t="shared" si="2"/>
        <v>Fornecimento igual ao estimado mensalmente</v>
      </c>
      <c r="J56" s="519"/>
      <c r="K56" s="519"/>
      <c r="L56" s="71">
        <f t="shared" si="3"/>
        <v>1</v>
      </c>
      <c r="M56" s="72">
        <f>Materiais!E38</f>
        <v>6</v>
      </c>
      <c r="N56" s="73" t="str">
        <f>Materiais!F38</f>
        <v>Semestral</v>
      </c>
      <c r="O56" s="74">
        <f t="shared" si="4"/>
        <v>6</v>
      </c>
      <c r="W56" s="1"/>
    </row>
    <row r="57" spans="1:23" ht="42.75" hidden="1" customHeight="1">
      <c r="A57" s="75">
        <v>31</v>
      </c>
      <c r="B57" s="518" t="str">
        <f>Materiais!B39</f>
        <v>Rodo Plástico e borracha dupla expandida de 60cm, resistente e durável, que puxa e seca a água, feita em EVA e cepo em polipropileno com garras pontiagudas nas laterais para melhor fixar panos de chão.</v>
      </c>
      <c r="C57" s="518"/>
      <c r="D57" s="518"/>
      <c r="E57" s="68" t="str">
        <f>Materiais!C39</f>
        <v>Unid.</v>
      </c>
      <c r="F57" s="68" t="str">
        <f>Materiais!D39</f>
        <v>Brubalar</v>
      </c>
      <c r="G57" s="69">
        <f t="shared" si="1"/>
        <v>1</v>
      </c>
      <c r="H57" s="70">
        <f>G57*Materiais!G39</f>
        <v>14.95</v>
      </c>
      <c r="I57" s="519" t="str">
        <f t="shared" si="2"/>
        <v>Fornecimento igual ao estimado mensalmente</v>
      </c>
      <c r="J57" s="519"/>
      <c r="K57" s="519"/>
      <c r="L57" s="71">
        <f t="shared" si="3"/>
        <v>1</v>
      </c>
      <c r="M57" s="72">
        <f>Materiais!E39</f>
        <v>6</v>
      </c>
      <c r="N57" s="73" t="str">
        <f>Materiais!F39</f>
        <v>Semestral</v>
      </c>
      <c r="O57" s="74">
        <f t="shared" si="4"/>
        <v>6</v>
      </c>
      <c r="W57" s="1"/>
    </row>
    <row r="58" spans="1:23" ht="15" hidden="1" customHeight="1">
      <c r="A58" s="75">
        <v>32</v>
      </c>
      <c r="B58" s="518" t="str">
        <f>Materiais!B40</f>
        <v>Sabão em barra glicerinado - cor neutra. Pacote com 5 de 200g cada unidade.</v>
      </c>
      <c r="C58" s="518"/>
      <c r="D58" s="518"/>
      <c r="E58" s="68" t="str">
        <f>Materiais!C40</f>
        <v>Pacote</v>
      </c>
      <c r="F58" s="68" t="str">
        <f>Materiais!D40</f>
        <v>Minuano</v>
      </c>
      <c r="G58" s="69">
        <f t="shared" si="1"/>
        <v>1</v>
      </c>
      <c r="H58" s="70">
        <f>G58*Materiais!G40</f>
        <v>10.25</v>
      </c>
      <c r="I58" s="519" t="str">
        <f t="shared" si="2"/>
        <v>Fornecimento igual ao estimado mensalmente</v>
      </c>
      <c r="J58" s="519"/>
      <c r="K58" s="519"/>
      <c r="L58" s="71">
        <f t="shared" si="3"/>
        <v>1</v>
      </c>
      <c r="M58" s="72">
        <f>Materiais!E40</f>
        <v>1</v>
      </c>
      <c r="N58" s="73" t="str">
        <f>Materiais!F40</f>
        <v>Mensal</v>
      </c>
      <c r="O58" s="74">
        <f t="shared" si="4"/>
        <v>1</v>
      </c>
      <c r="W58" s="1"/>
    </row>
    <row r="59" spans="1:23" ht="27.75" hidden="1" customHeight="1">
      <c r="A59" s="75">
        <v>33</v>
      </c>
      <c r="B59" s="518" t="str">
        <f>Materiais!B41</f>
        <v>Sabão em Pó – Caixa de 0,8 a 1Kg. Sabão em pó, convencional, de primeira linha. Para lavar roupas e limpeza em geral.</v>
      </c>
      <c r="C59" s="518"/>
      <c r="D59" s="518"/>
      <c r="E59" s="68" t="str">
        <f>Materiais!C41</f>
        <v>Cx.</v>
      </c>
      <c r="F59" s="68" t="str">
        <f>Materiais!D41</f>
        <v>Omo ou similar</v>
      </c>
      <c r="G59" s="69">
        <f t="shared" si="1"/>
        <v>2</v>
      </c>
      <c r="H59" s="70">
        <f>G59*Materiais!G41</f>
        <v>32.54</v>
      </c>
      <c r="I59" s="519" t="str">
        <f t="shared" si="2"/>
        <v>Fornecimento igual ao estimado mensalmente</v>
      </c>
      <c r="J59" s="519"/>
      <c r="K59" s="519"/>
      <c r="L59" s="71">
        <f t="shared" si="3"/>
        <v>2</v>
      </c>
      <c r="M59" s="72">
        <f>Materiais!E41</f>
        <v>2</v>
      </c>
      <c r="N59" s="73" t="str">
        <f>Materiais!F41</f>
        <v>Mensal</v>
      </c>
      <c r="O59" s="74">
        <f t="shared" si="4"/>
        <v>1</v>
      </c>
      <c r="W59" s="1"/>
    </row>
    <row r="60" spans="1:23" ht="15" hidden="1" customHeight="1">
      <c r="A60" s="75">
        <v>34</v>
      </c>
      <c r="B60" s="518" t="str">
        <f>Materiais!B42</f>
        <v>Sapólio em pó 300g</v>
      </c>
      <c r="C60" s="518"/>
      <c r="D60" s="518"/>
      <c r="E60" s="68" t="str">
        <f>Materiais!C42</f>
        <v>Unid.</v>
      </c>
      <c r="F60" s="68" t="str">
        <f>Materiais!D42</f>
        <v xml:space="preserve">	
Bombril</v>
      </c>
      <c r="G60" s="69">
        <f t="shared" si="1"/>
        <v>0.16666666666666666</v>
      </c>
      <c r="H60" s="70">
        <f>G60*Materiais!G42</f>
        <v>1.0033333333333332</v>
      </c>
      <c r="I60" s="519" t="str">
        <f t="shared" si="2"/>
        <v>Fornecimento igual ao estimado mensalmente</v>
      </c>
      <c r="J60" s="519"/>
      <c r="K60" s="519"/>
      <c r="L60" s="71">
        <f t="shared" si="3"/>
        <v>0.16666666666666666</v>
      </c>
      <c r="M60" s="72">
        <f>Materiais!E42</f>
        <v>1</v>
      </c>
      <c r="N60" s="73" t="str">
        <f>Materiais!F42</f>
        <v>Semestral</v>
      </c>
      <c r="O60" s="74">
        <f t="shared" si="4"/>
        <v>6</v>
      </c>
      <c r="W60" s="1"/>
    </row>
    <row r="61" spans="1:23" ht="28.5" hidden="1" customHeight="1">
      <c r="A61" s="75">
        <v>35</v>
      </c>
      <c r="B61" s="518" t="str">
        <f>Materiais!B43</f>
        <v>Sabonete líquido Concentrado, cremoso perolizado, pronto pra uso, aroma erva-doce, lavanda ou similar, galão de 05 litros.</v>
      </c>
      <c r="C61" s="518"/>
      <c r="D61" s="518"/>
      <c r="E61" s="68" t="str">
        <f>Materiais!C43</f>
        <v>Galão</v>
      </c>
      <c r="F61" s="68" t="str">
        <f>Materiais!D43</f>
        <v xml:space="preserve">	
Nobre, Start, Ikebana</v>
      </c>
      <c r="G61" s="69">
        <f t="shared" si="1"/>
        <v>2</v>
      </c>
      <c r="H61" s="70">
        <f>G61*Materiais!G43</f>
        <v>41.04</v>
      </c>
      <c r="I61" s="519" t="str">
        <f t="shared" si="2"/>
        <v>Fornecimento igual ao estimado mensalmente</v>
      </c>
      <c r="J61" s="519"/>
      <c r="K61" s="519"/>
      <c r="L61" s="71">
        <f t="shared" si="3"/>
        <v>2</v>
      </c>
      <c r="M61" s="72">
        <f>Materiais!E43</f>
        <v>2</v>
      </c>
      <c r="N61" s="73" t="str">
        <f>Materiais!F43</f>
        <v>Mensal</v>
      </c>
      <c r="O61" s="74">
        <f t="shared" si="4"/>
        <v>1</v>
      </c>
      <c r="W61" s="1"/>
    </row>
    <row r="62" spans="1:23" ht="29.25" hidden="1" customHeight="1">
      <c r="A62" s="75">
        <v>36</v>
      </c>
      <c r="B62" s="518" t="str">
        <f>Materiais!B44</f>
        <v>Saco de Algodão Tipo: Alvejado, Tamanho: 60 X 80 CM, Cor: Branco, Características Adicionais: Dupla Face</v>
      </c>
      <c r="C62" s="518"/>
      <c r="D62" s="518"/>
      <c r="E62" s="68" t="str">
        <f>Materiais!C44</f>
        <v>Unid.</v>
      </c>
      <c r="F62" s="68" t="str">
        <f>Materiais!D44</f>
        <v>Santa Margarida</v>
      </c>
      <c r="G62" s="69">
        <f t="shared" si="1"/>
        <v>10</v>
      </c>
      <c r="H62" s="70">
        <f>G62*Materiais!G44</f>
        <v>108.5</v>
      </c>
      <c r="I62" s="519" t="str">
        <f t="shared" si="2"/>
        <v>Fornecimento igual ao estimado mensalmente</v>
      </c>
      <c r="J62" s="519"/>
      <c r="K62" s="519"/>
      <c r="L62" s="71">
        <f t="shared" si="3"/>
        <v>10</v>
      </c>
      <c r="M62" s="72">
        <f>Materiais!E44</f>
        <v>10</v>
      </c>
      <c r="N62" s="73" t="str">
        <f>Materiais!F44</f>
        <v>Mensal</v>
      </c>
      <c r="O62" s="74">
        <f t="shared" si="4"/>
        <v>1</v>
      </c>
      <c r="W62" s="1"/>
    </row>
    <row r="63" spans="1:23" ht="36" hidden="1" customHeight="1">
      <c r="A63" s="75">
        <v>37</v>
      </c>
      <c r="B63" s="518" t="str">
        <f>Materiais!B45</f>
        <v>Saco plástico reforçado para lixo em polietileno, com capacidade de 100 litros, com estanqueidade suficiente para que não haja vazamento de lixo líquido. com espessura mínima de 10 micra, na cor preta. Pacote com 100 unidades.</v>
      </c>
      <c r="C63" s="518"/>
      <c r="D63" s="518"/>
      <c r="E63" s="68" t="str">
        <f>Materiais!C45</f>
        <v>Pacote</v>
      </c>
      <c r="F63" s="68" t="str">
        <f>Materiais!D45</f>
        <v>Polisac</v>
      </c>
      <c r="G63" s="69">
        <f t="shared" si="1"/>
        <v>4</v>
      </c>
      <c r="H63" s="70">
        <f>G63*Materiais!G45</f>
        <v>236.68</v>
      </c>
      <c r="I63" s="519" t="str">
        <f t="shared" si="2"/>
        <v>Fornecimento igual ao estimado mensalmente</v>
      </c>
      <c r="J63" s="519"/>
      <c r="K63" s="519"/>
      <c r="L63" s="71">
        <f t="shared" si="3"/>
        <v>4</v>
      </c>
      <c r="M63" s="72">
        <f>Materiais!E45</f>
        <v>4</v>
      </c>
      <c r="N63" s="73" t="str">
        <f>Materiais!F45</f>
        <v>Mensal</v>
      </c>
      <c r="O63" s="74">
        <f t="shared" si="4"/>
        <v>1</v>
      </c>
      <c r="W63" s="1"/>
    </row>
    <row r="64" spans="1:23" ht="43.5" hidden="1" customHeight="1">
      <c r="A64" s="75">
        <v>38</v>
      </c>
      <c r="B64" s="518" t="str">
        <f>Materiais!B46</f>
        <v>Saco plástico reforçado para lixo em polietileno, com capacidade de 40 a 50 litros, com estanqueidade suficiente para que não haja vazamento de lixo líquido. Pacote com 100 unidades.</v>
      </c>
      <c r="C64" s="518"/>
      <c r="D64" s="518"/>
      <c r="E64" s="68" t="str">
        <f>Materiais!C46</f>
        <v>Pacote</v>
      </c>
      <c r="F64" s="68" t="str">
        <f>Materiais!D46</f>
        <v xml:space="preserve">	
Polisac</v>
      </c>
      <c r="G64" s="69">
        <f t="shared" si="1"/>
        <v>1</v>
      </c>
      <c r="H64" s="70">
        <f>G64*Materiais!G46</f>
        <v>31.24</v>
      </c>
      <c r="I64" s="519" t="str">
        <f t="shared" ref="I64" si="5">IF(G64&lt;L64,"Fornecimento inferior ao estimado mensalmente",IF(G64=L64,"Fornecimento igual ao estimado mensalmente",IF(G64&gt;L64,"Fornecimento superior ao estimado mensalmente",)))</f>
        <v>Fornecimento igual ao estimado mensalmente</v>
      </c>
      <c r="J64" s="519"/>
      <c r="K64" s="519"/>
      <c r="L64" s="71">
        <f t="shared" si="3"/>
        <v>1</v>
      </c>
      <c r="M64" s="72">
        <f>Materiais!E46</f>
        <v>1</v>
      </c>
      <c r="N64" s="73" t="str">
        <f>Materiais!F46</f>
        <v>Mensal</v>
      </c>
      <c r="O64" s="74">
        <f t="shared" si="4"/>
        <v>1</v>
      </c>
      <c r="W64" s="1"/>
    </row>
    <row r="65" spans="1:23" ht="42" hidden="1" customHeight="1">
      <c r="A65" s="75">
        <v>39</v>
      </c>
      <c r="B65" s="518" t="str">
        <f>Materiais!B47</f>
        <v>Saco plástico reforçado para lixo em polietileno, com capacidade de 20 litros, com estanqueidade suficiente para que não haja vazamento de lixo líquido. com espessura mínima de 09 micra, na cor preta. Pacote com 100 unidades.</v>
      </c>
      <c r="C65" s="518"/>
      <c r="D65" s="518"/>
      <c r="E65" s="68" t="str">
        <f>Materiais!C47</f>
        <v>Pacote</v>
      </c>
      <c r="F65" s="68" t="str">
        <f>Materiais!D47</f>
        <v xml:space="preserve">	
Altaplast</v>
      </c>
      <c r="G65" s="69">
        <f t="shared" si="1"/>
        <v>4</v>
      </c>
      <c r="H65" s="70">
        <f>G65*Materiais!G47</f>
        <v>64.400000000000006</v>
      </c>
      <c r="I65" s="519" t="str">
        <f t="shared" ref="I65" si="6">IF(G65&lt;L65,"Fornecimento inferior ao estimado mensalmente",IF(G65=L65,"Fornecimento igual ao estimado mensalmente",IF(G65&gt;L65,"Fornecimento superior ao estimado mensalmente",)))</f>
        <v>Fornecimento igual ao estimado mensalmente</v>
      </c>
      <c r="J65" s="519"/>
      <c r="K65" s="519"/>
      <c r="L65" s="71">
        <f t="shared" si="3"/>
        <v>4</v>
      </c>
      <c r="M65" s="72">
        <f>Materiais!E47</f>
        <v>4</v>
      </c>
      <c r="N65" s="73" t="str">
        <f>Materiais!F47</f>
        <v>Mensal</v>
      </c>
      <c r="O65" s="74">
        <f t="shared" si="4"/>
        <v>1</v>
      </c>
      <c r="W65" s="1"/>
    </row>
    <row r="66" spans="1:23" ht="31.5" hidden="1" customHeight="1">
      <c r="A66" s="75">
        <v>40</v>
      </c>
      <c r="B66" s="518" t="str">
        <f>Materiais!B48</f>
        <v>Vassoura limpa teto, com cerdas macias de sisal e cabo de madeira de 2,70 metros. Ideal para uso na limpeza de locais de difícil acesso.</v>
      </c>
      <c r="C66" s="518"/>
      <c r="D66" s="518"/>
      <c r="E66" s="68" t="str">
        <f>Materiais!C48</f>
        <v>Unid.</v>
      </c>
      <c r="F66" s="68" t="str">
        <f>Materiais!D48</f>
        <v>Oliveira e Azevedo</v>
      </c>
      <c r="G66" s="69">
        <f t="shared" si="1"/>
        <v>0.16666666666666666</v>
      </c>
      <c r="H66" s="70">
        <f>G66*Materiais!G48</f>
        <v>3.5966666666666662</v>
      </c>
      <c r="I66" s="519" t="str">
        <f t="shared" ref="I66" si="7">IF(G66&lt;L66,"Fornecimento inferior ao estimado mensalmente",IF(G66=L66,"Fornecimento igual ao estimado mensalmente",IF(G66&gt;L66,"Fornecimento superior ao estimado mensalmente",)))</f>
        <v>Fornecimento igual ao estimado mensalmente</v>
      </c>
      <c r="J66" s="519"/>
      <c r="K66" s="519"/>
      <c r="L66" s="71">
        <f t="shared" si="3"/>
        <v>0.16666666666666666</v>
      </c>
      <c r="M66" s="72">
        <f>Materiais!E48</f>
        <v>1</v>
      </c>
      <c r="N66" s="73" t="str">
        <f>Materiais!F48</f>
        <v>Semestral</v>
      </c>
      <c r="O66" s="74">
        <f t="shared" si="4"/>
        <v>6</v>
      </c>
      <c r="W66" s="1"/>
    </row>
    <row r="67" spans="1:23" ht="28.5" hidden="1" customHeight="1">
      <c r="A67" s="75">
        <v>41</v>
      </c>
      <c r="B67" s="518" t="str">
        <f>Materiais!B49</f>
        <v>Vassoura Material Cerdas: Pêlo Sintético, Comprimento Cepa: 60 CM, Tipo Cabo: Reforçado, Material Cabo: Madeira</v>
      </c>
      <c r="C67" s="518"/>
      <c r="D67" s="518"/>
      <c r="E67" s="68" t="str">
        <f>Materiais!C49</f>
        <v>Unid.</v>
      </c>
      <c r="F67" s="68" t="str">
        <f>Materiais!D49</f>
        <v>Brubalar</v>
      </c>
      <c r="G67" s="69">
        <f t="shared" si="1"/>
        <v>1</v>
      </c>
      <c r="H67" s="70">
        <f>G67*Materiais!G49</f>
        <v>15.98</v>
      </c>
      <c r="I67" s="519" t="str">
        <f t="shared" ref="I67" si="8">IF(G67&lt;L67,"Fornecimento inferior ao estimado mensalmente",IF(G67=L67,"Fornecimento igual ao estimado mensalmente",IF(G67&gt;L67,"Fornecimento superior ao estimado mensalmente",)))</f>
        <v>Fornecimento igual ao estimado mensalmente</v>
      </c>
      <c r="J67" s="519"/>
      <c r="K67" s="519"/>
      <c r="L67" s="71">
        <f t="shared" si="3"/>
        <v>1</v>
      </c>
      <c r="M67" s="72">
        <f>Materiais!E49</f>
        <v>6</v>
      </c>
      <c r="N67" s="73" t="str">
        <f>Materiais!F49</f>
        <v>Semestral</v>
      </c>
      <c r="O67" s="74">
        <f t="shared" si="4"/>
        <v>6</v>
      </c>
      <c r="W67" s="1"/>
    </row>
    <row r="68" spans="1:23" ht="44.25" hidden="1" customHeight="1">
      <c r="A68" s="75">
        <v>42</v>
      </c>
      <c r="B68" s="518" t="str">
        <f>Materiais!B50</f>
        <v>Vassoura Material Cerdas: Piaçava, Aplicação: Limpeza, Material Cepa: Madeira, Comprimento Cepa: 40 CM, Comprimento Cerdas: 13 CM, Largura Cepa: 5 CM, Altura Cepa: 4 CM, Material Cabo: Madeira</v>
      </c>
      <c r="C68" s="518"/>
      <c r="D68" s="518"/>
      <c r="E68" s="68" t="str">
        <f>Materiais!C50</f>
        <v>Unid.</v>
      </c>
      <c r="F68" s="68" t="str">
        <f>Materiais!D50</f>
        <v xml:space="preserve">	
Noviça</v>
      </c>
      <c r="G68" s="69">
        <f t="shared" si="1"/>
        <v>1</v>
      </c>
      <c r="H68" s="70">
        <f>G68*Materiais!G50</f>
        <v>17.61</v>
      </c>
      <c r="I68" s="519" t="str">
        <f t="shared" ref="I68" si="9">IF(G68&lt;L68,"Fornecimento inferior ao estimado mensalmente",IF(G68=L68,"Fornecimento igual ao estimado mensalmente",IF(G68&gt;L68,"Fornecimento superior ao estimado mensalmente",)))</f>
        <v>Fornecimento igual ao estimado mensalmente</v>
      </c>
      <c r="J68" s="519"/>
      <c r="K68" s="519"/>
      <c r="L68" s="71">
        <f t="shared" si="3"/>
        <v>1</v>
      </c>
      <c r="M68" s="72">
        <f>Materiais!E50</f>
        <v>6</v>
      </c>
      <c r="N68" s="73" t="str">
        <f>Materiais!F50</f>
        <v>Semestral</v>
      </c>
      <c r="O68" s="74">
        <f t="shared" si="4"/>
        <v>6</v>
      </c>
      <c r="W68" s="1"/>
    </row>
    <row r="69" spans="1:23" ht="15" hidden="1" customHeight="1">
      <c r="A69" s="520" t="s">
        <v>73</v>
      </c>
      <c r="B69" s="520"/>
      <c r="C69" s="520"/>
      <c r="D69" s="520"/>
      <c r="E69" s="520"/>
      <c r="F69" s="520"/>
      <c r="G69" s="520"/>
      <c r="H69" s="79">
        <f>ROUND(SUM(H27:H68),2)</f>
        <v>2869.75</v>
      </c>
      <c r="I69" s="51"/>
      <c r="J69" s="51"/>
      <c r="K69" s="1"/>
      <c r="L69" s="1"/>
      <c r="M69" s="1"/>
      <c r="N69" s="62"/>
      <c r="O69" s="62"/>
    </row>
    <row r="70" spans="1:23" ht="15" hidden="1" customHeight="1">
      <c r="A70" s="516" t="s">
        <v>74</v>
      </c>
      <c r="B70" s="516"/>
      <c r="C70" s="516"/>
      <c r="D70" s="516"/>
      <c r="E70" s="516"/>
      <c r="F70" s="516"/>
      <c r="G70" s="80">
        <f>Dados!G44</f>
        <v>0.03</v>
      </c>
      <c r="H70" s="81">
        <f>ROUND((H69*G70),2)</f>
        <v>86.09</v>
      </c>
      <c r="I70" s="51"/>
      <c r="J70" s="51"/>
      <c r="K70" s="1"/>
      <c r="L70" s="1"/>
      <c r="M70" s="1"/>
      <c r="N70" s="62"/>
      <c r="O70" s="62"/>
    </row>
    <row r="71" spans="1:23" ht="15" hidden="1" customHeight="1">
      <c r="A71" s="516" t="s">
        <v>75</v>
      </c>
      <c r="B71" s="516"/>
      <c r="C71" s="516"/>
      <c r="D71" s="516"/>
      <c r="E71" s="516"/>
      <c r="F71" s="516"/>
      <c r="G71" s="80">
        <f>Dados!G45</f>
        <v>6.7900000000000002E-2</v>
      </c>
      <c r="H71" s="81">
        <f>ROUND((SUM(H69:H70)*G71),2)</f>
        <v>200.7</v>
      </c>
      <c r="I71" s="51"/>
      <c r="J71" s="51"/>
      <c r="K71" s="1"/>
      <c r="L71" s="1"/>
      <c r="M71" s="1"/>
      <c r="N71" s="62"/>
      <c r="O71" s="62"/>
    </row>
    <row r="72" spans="1:23" ht="15" hidden="1" customHeight="1">
      <c r="A72" s="516" t="s">
        <v>76</v>
      </c>
      <c r="B72" s="516"/>
      <c r="C72" s="516"/>
      <c r="D72" s="516"/>
      <c r="E72" s="516"/>
      <c r="F72" s="516"/>
      <c r="G72" s="80">
        <f>Dados!G56</f>
        <v>0.1225</v>
      </c>
      <c r="H72" s="81">
        <f>ROUND((H73*G72),2)</f>
        <v>440.66</v>
      </c>
      <c r="I72" s="51"/>
      <c r="J72" s="51"/>
      <c r="K72" s="1"/>
      <c r="L72" s="1"/>
      <c r="M72" s="1"/>
      <c r="N72" s="62"/>
      <c r="O72" s="62"/>
    </row>
    <row r="73" spans="1:23" ht="15.75" hidden="1" customHeight="1" thickBot="1">
      <c r="A73" s="517" t="s">
        <v>77</v>
      </c>
      <c r="B73" s="517"/>
      <c r="C73" s="517"/>
      <c r="D73" s="517"/>
      <c r="E73" s="517"/>
      <c r="F73" s="517"/>
      <c r="G73" s="517"/>
      <c r="H73" s="82">
        <f>ROUND((SUM(H69:H71)/(1-G72)),2)</f>
        <v>3597.2</v>
      </c>
      <c r="I73" s="51"/>
      <c r="J73" s="51"/>
      <c r="K73" s="1"/>
      <c r="L73" s="1"/>
      <c r="M73" s="1"/>
      <c r="N73" s="62"/>
      <c r="O73" s="62"/>
    </row>
    <row r="74" spans="1:23" hidden="1">
      <c r="A74" s="57"/>
      <c r="B74" s="62"/>
      <c r="C74" s="62"/>
      <c r="D74" s="62"/>
      <c r="E74" s="62"/>
      <c r="F74" s="62"/>
      <c r="G74" s="57"/>
      <c r="H74" s="62"/>
      <c r="I74" s="62"/>
      <c r="J74" s="62"/>
      <c r="K74" s="1"/>
      <c r="L74" s="1"/>
      <c r="M74" s="1"/>
      <c r="N74" s="62"/>
      <c r="O74" s="62"/>
    </row>
    <row r="75" spans="1:23" hidden="1">
      <c r="L75" s="1"/>
      <c r="M75" s="1"/>
      <c r="P75" s="3"/>
      <c r="Q75" s="3"/>
      <c r="V75" s="1"/>
      <c r="W75" s="1"/>
    </row>
    <row r="76" spans="1:23" hidden="1"/>
    <row r="77" spans="1:23" hidden="1">
      <c r="B77" s="515" t="s">
        <v>78</v>
      </c>
      <c r="C77" s="515"/>
    </row>
    <row r="78" spans="1:23" hidden="1">
      <c r="B78" s="83" t="s">
        <v>79</v>
      </c>
      <c r="C78" s="84">
        <v>22</v>
      </c>
      <c r="D78" s="1" t="s">
        <v>80</v>
      </c>
    </row>
    <row r="79" spans="1:23" hidden="1">
      <c r="B79" s="83" t="s">
        <v>5</v>
      </c>
      <c r="C79" s="85">
        <v>30</v>
      </c>
      <c r="D79" s="1" t="s">
        <v>81</v>
      </c>
    </row>
    <row r="80" spans="1:23" hidden="1">
      <c r="B80" s="83" t="s">
        <v>82</v>
      </c>
      <c r="C80" s="85" t="s">
        <v>83</v>
      </c>
      <c r="D80" s="1" t="s">
        <v>84</v>
      </c>
    </row>
    <row r="81" spans="2:3" hidden="1"/>
    <row r="82" spans="2:3" hidden="1">
      <c r="B82" s="83" t="s">
        <v>85</v>
      </c>
      <c r="C82" s="83" t="s">
        <v>86</v>
      </c>
    </row>
    <row r="83" spans="2:3" hidden="1">
      <c r="B83" s="83">
        <v>220</v>
      </c>
      <c r="C83" s="83">
        <v>8.8000000000000007</v>
      </c>
    </row>
    <row r="84" spans="2:3" hidden="1">
      <c r="B84" s="83">
        <v>200</v>
      </c>
      <c r="C84" s="83">
        <v>8</v>
      </c>
    </row>
    <row r="85" spans="2:3" hidden="1">
      <c r="B85" s="83">
        <v>180</v>
      </c>
      <c r="C85" s="83">
        <v>7.2</v>
      </c>
    </row>
    <row r="86" spans="2:3" hidden="1">
      <c r="B86" s="83">
        <v>150</v>
      </c>
      <c r="C86" s="83">
        <v>6</v>
      </c>
    </row>
    <row r="87" spans="2:3" hidden="1">
      <c r="B87" s="83">
        <v>120</v>
      </c>
      <c r="C87" s="83">
        <v>4.8</v>
      </c>
    </row>
    <row r="88" spans="2:3" hidden="1">
      <c r="B88" s="83">
        <v>100</v>
      </c>
      <c r="C88" s="83">
        <v>4</v>
      </c>
    </row>
    <row r="89" spans="2:3" hidden="1">
      <c r="B89" s="83">
        <v>75</v>
      </c>
      <c r="C89" s="83">
        <v>3</v>
      </c>
    </row>
    <row r="90" spans="2:3" hidden="1"/>
    <row r="91" spans="2:3" hidden="1">
      <c r="B91" s="83" t="s">
        <v>87</v>
      </c>
    </row>
    <row r="92" spans="2:3" hidden="1">
      <c r="B92" s="86">
        <v>0</v>
      </c>
    </row>
    <row r="93" spans="2:3" hidden="1">
      <c r="B93" s="86">
        <v>1</v>
      </c>
    </row>
    <row r="94" spans="2:3" hidden="1">
      <c r="B94" s="86">
        <v>2</v>
      </c>
    </row>
  </sheetData>
  <sheetProtection algorithmName="SHA-512" hashValue="3eWYg+qUO4DI2Gm/ZDSFhZPuDnunle1lc9wMJB2wcmOxbnm70ImQFb58U0inIDZtaJTRoEYfF84aYq224MDi0Q==" saltValue="Yfa6aamh6IfE4yR6+/KH8g==" spinCount="100000" sheet="1" objects="1" scenarios="1"/>
  <mergeCells count="123">
    <mergeCell ref="C2:S2"/>
    <mergeCell ref="C3:S3"/>
    <mergeCell ref="A4:C4"/>
    <mergeCell ref="D4:E4"/>
    <mergeCell ref="A5:C5"/>
    <mergeCell ref="A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W9"/>
    <mergeCell ref="A16:G16"/>
    <mergeCell ref="I16:J16"/>
    <mergeCell ref="A19:B20"/>
    <mergeCell ref="A21:F22"/>
    <mergeCell ref="A25:A26"/>
    <mergeCell ref="B25:E25"/>
    <mergeCell ref="F25:H25"/>
    <mergeCell ref="I25:K26"/>
    <mergeCell ref="L25:O25"/>
    <mergeCell ref="B26:D26"/>
    <mergeCell ref="B27:D27"/>
    <mergeCell ref="I27:K27"/>
    <mergeCell ref="B28:D28"/>
    <mergeCell ref="I28:K28"/>
    <mergeCell ref="B29:D29"/>
    <mergeCell ref="I29:K29"/>
    <mergeCell ref="B30:D30"/>
    <mergeCell ref="I30:K30"/>
    <mergeCell ref="B31:D31"/>
    <mergeCell ref="I31:K31"/>
    <mergeCell ref="B32:D32"/>
    <mergeCell ref="I32:K32"/>
    <mergeCell ref="B33:D33"/>
    <mergeCell ref="I33:K33"/>
    <mergeCell ref="B34:D34"/>
    <mergeCell ref="I34:K34"/>
    <mergeCell ref="B35:D35"/>
    <mergeCell ref="I35:K35"/>
    <mergeCell ref="B36:D36"/>
    <mergeCell ref="I36:K36"/>
    <mergeCell ref="B37:D37"/>
    <mergeCell ref="I37:K37"/>
    <mergeCell ref="B38:D38"/>
    <mergeCell ref="I38:K38"/>
    <mergeCell ref="B39:D39"/>
    <mergeCell ref="I39:K39"/>
    <mergeCell ref="B40:D40"/>
    <mergeCell ref="I40:K40"/>
    <mergeCell ref="B41:D41"/>
    <mergeCell ref="I41:K41"/>
    <mergeCell ref="B42:D42"/>
    <mergeCell ref="I42:K42"/>
    <mergeCell ref="B43:D43"/>
    <mergeCell ref="I43:K43"/>
    <mergeCell ref="B44:D44"/>
    <mergeCell ref="I44:K44"/>
    <mergeCell ref="B45:D45"/>
    <mergeCell ref="I45:K45"/>
    <mergeCell ref="B46:D46"/>
    <mergeCell ref="I46:K46"/>
    <mergeCell ref="B47:D47"/>
    <mergeCell ref="I47:K47"/>
    <mergeCell ref="B48:D48"/>
    <mergeCell ref="I48:K48"/>
    <mergeCell ref="B49:D49"/>
    <mergeCell ref="I49:K49"/>
    <mergeCell ref="B50:D50"/>
    <mergeCell ref="I50:K50"/>
    <mergeCell ref="B51:D51"/>
    <mergeCell ref="I51:K51"/>
    <mergeCell ref="B52:D52"/>
    <mergeCell ref="I52:K52"/>
    <mergeCell ref="B53:D53"/>
    <mergeCell ref="I53:K53"/>
    <mergeCell ref="B54:D54"/>
    <mergeCell ref="I54:K54"/>
    <mergeCell ref="B55:D55"/>
    <mergeCell ref="I55:K55"/>
    <mergeCell ref="B56:D56"/>
    <mergeCell ref="I56:K56"/>
    <mergeCell ref="B57:D57"/>
    <mergeCell ref="I57:K57"/>
    <mergeCell ref="B58:D58"/>
    <mergeCell ref="I58:K58"/>
    <mergeCell ref="B59:D59"/>
    <mergeCell ref="I59:K59"/>
    <mergeCell ref="B60:D60"/>
    <mergeCell ref="I60:K60"/>
    <mergeCell ref="B61:D61"/>
    <mergeCell ref="I61:K61"/>
    <mergeCell ref="B77:C77"/>
    <mergeCell ref="A70:F70"/>
    <mergeCell ref="A71:F71"/>
    <mergeCell ref="A72:F72"/>
    <mergeCell ref="A73:G73"/>
    <mergeCell ref="B62:D62"/>
    <mergeCell ref="I62:K62"/>
    <mergeCell ref="B63:D63"/>
    <mergeCell ref="I63:K63"/>
    <mergeCell ref="A69:G69"/>
    <mergeCell ref="B64:D64"/>
    <mergeCell ref="B65:D65"/>
    <mergeCell ref="B66:D66"/>
    <mergeCell ref="B67:D67"/>
    <mergeCell ref="B68:D68"/>
    <mergeCell ref="I64:K64"/>
    <mergeCell ref="I65:K65"/>
    <mergeCell ref="I66:K66"/>
    <mergeCell ref="I67:K67"/>
    <mergeCell ref="I68:K68"/>
  </mergeCells>
  <conditionalFormatting sqref="I27:I68">
    <cfRule type="containsText" dxfId="1" priority="6" operator="containsText" text="inferior">
      <formula>NOT(ISERROR(SEARCH("inferior",I27)))</formula>
    </cfRule>
    <cfRule type="containsText" dxfId="0" priority="7" operator="containsText" text="superior">
      <formula>NOT(ISERROR(SEARCH("superior",I27)))</formula>
    </cfRule>
  </conditionalFormatting>
  <dataValidations count="7">
    <dataValidation type="list" allowBlank="1" showInputMessage="1" showErrorMessage="1" sqref="N27:N68">
      <formula1>"Mensal,Bimestral,Trimestral,Quadrimestral,Semestral,Anual,Bienal"</formula1>
      <formula2>0</formula2>
    </dataValidation>
    <dataValidation type="list" allowBlank="1" showInputMessage="1" showErrorMessage="1" sqref="D4:E4">
      <formula1>"PLANILHA PARA LICITAÇÃO (PRECIFICAÇÃO),PLANILHA PARA FATURAMENTO"</formula1>
      <formula2>0</formula2>
    </dataValidation>
    <dataValidation type="list" allowBlank="1" showInputMessage="1" showErrorMessage="1" sqref="D5">
      <formula1>$B$78:$B$80</formula1>
      <formula2>0</formula2>
    </dataValidation>
    <dataValidation type="list" allowBlank="1" showInputMessage="1" showErrorMessage="1" sqref="E11:E15">
      <formula1>"SIM,NÃO"</formula1>
      <formula2>0</formula2>
    </dataValidation>
    <dataValidation type="list" allowBlank="1" showInputMessage="1" showErrorMessage="1" sqref="C20">
      <formula1>$B$83:$B$89</formula1>
      <formula2>0</formula2>
    </dataValidation>
    <dataValidation type="list" allowBlank="1" showInputMessage="1" showErrorMessage="1" sqref="D11:D14">
      <formula1>$B$92:$B$93</formula1>
      <formula2>0</formula2>
    </dataValidation>
    <dataValidation type="list" allowBlank="1" showInputMessage="1" showErrorMessage="1" sqref="D15">
      <formula1>$B$92:$B$94</formula1>
      <formula2>0</formula2>
    </dataValidation>
  </dataValidations>
  <pageMargins left="0.7" right="0.7" top="0.75" bottom="0.75" header="0.511811023622047" footer="0.511811023622047"/>
  <pageSetup paperSize="9" scale="2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Normal="100" zoomScaleSheetLayoutView="100" zoomScalePageLayoutView="140" workbookViewId="0">
      <selection activeCell="F24" sqref="F24"/>
    </sheetView>
  </sheetViews>
  <sheetFormatPr defaultColWidth="8.6640625" defaultRowHeight="14.4"/>
  <cols>
    <col min="1" max="1" width="10.5546875" style="62" customWidth="1"/>
    <col min="2" max="2" width="27.6640625" style="62" customWidth="1"/>
    <col min="3" max="3" width="14.44140625" style="62" customWidth="1"/>
    <col min="4" max="5" width="15" style="62" customWidth="1"/>
    <col min="6" max="6" width="16.6640625" style="291" customWidth="1"/>
    <col min="7" max="8" width="13.109375" style="291" customWidth="1"/>
    <col min="9" max="10" width="12.5546875" style="291" customWidth="1"/>
    <col min="11" max="257" width="9.109375" style="62" customWidth="1"/>
    <col min="258" max="258" width="10.5546875" style="62" customWidth="1"/>
    <col min="259" max="259" width="27.6640625" style="62" customWidth="1"/>
    <col min="260" max="260" width="14.44140625" style="62" customWidth="1"/>
    <col min="261" max="262" width="15" style="62" customWidth="1"/>
    <col min="263" max="263" width="16.6640625" style="62" customWidth="1"/>
    <col min="264" max="264" width="13.109375" style="62" customWidth="1"/>
    <col min="265" max="266" width="12.5546875" style="62" customWidth="1"/>
    <col min="267" max="513" width="9.109375" style="62" customWidth="1"/>
    <col min="514" max="514" width="10.5546875" style="62" customWidth="1"/>
    <col min="515" max="515" width="27.6640625" style="62" customWidth="1"/>
    <col min="516" max="516" width="14.44140625" style="62" customWidth="1"/>
    <col min="517" max="518" width="15" style="62" customWidth="1"/>
    <col min="519" max="519" width="16.6640625" style="62" customWidth="1"/>
    <col min="520" max="520" width="13.109375" style="62" customWidth="1"/>
    <col min="521" max="522" width="12.5546875" style="62" customWidth="1"/>
    <col min="523" max="769" width="9.109375" style="62" customWidth="1"/>
    <col min="770" max="770" width="10.5546875" style="62" customWidth="1"/>
    <col min="771" max="771" width="27.6640625" style="62" customWidth="1"/>
    <col min="772" max="772" width="14.44140625" style="62" customWidth="1"/>
    <col min="773" max="774" width="15" style="62" customWidth="1"/>
    <col min="775" max="775" width="16.6640625" style="62" customWidth="1"/>
    <col min="776" max="776" width="13.109375" style="62" customWidth="1"/>
    <col min="777" max="778" width="12.5546875" style="62" customWidth="1"/>
    <col min="779" max="1025" width="9.109375" style="62" customWidth="1"/>
  </cols>
  <sheetData>
    <row r="1" spans="1:10">
      <c r="A1" s="292"/>
      <c r="B1" s="89" t="str">
        <f>INSTRUÇÕES!B1</f>
        <v>Tribunal Regional Federal da 6ª Região</v>
      </c>
      <c r="C1" s="293"/>
      <c r="D1" s="293"/>
      <c r="E1" s="293"/>
      <c r="F1" s="294"/>
      <c r="G1" s="295"/>
      <c r="H1" s="295"/>
      <c r="I1" s="294"/>
      <c r="J1" s="296"/>
    </row>
    <row r="2" spans="1:10">
      <c r="A2" s="297"/>
      <c r="B2" s="91" t="str">
        <f>INSTRUÇÕES!B2</f>
        <v>Seção Judiciária de Minas Gerais</v>
      </c>
      <c r="C2" s="51"/>
      <c r="D2" s="51"/>
      <c r="E2" s="51"/>
      <c r="F2" s="298"/>
      <c r="I2" s="298"/>
      <c r="J2" s="299"/>
    </row>
    <row r="3" spans="1:10">
      <c r="A3" s="153"/>
      <c r="B3" s="300" t="str">
        <f>INSTRUÇÕES!B3</f>
        <v>Subseção Judiciária de Varginha</v>
      </c>
      <c r="C3" s="51"/>
      <c r="D3" s="51"/>
      <c r="E3" s="51"/>
      <c r="F3" s="298"/>
      <c r="I3" s="298"/>
      <c r="J3" s="299"/>
    </row>
    <row r="4" spans="1:10" ht="19.5" customHeight="1">
      <c r="A4" s="633" t="s">
        <v>510</v>
      </c>
      <c r="B4" s="633"/>
      <c r="C4" s="633"/>
      <c r="D4" s="633"/>
      <c r="E4" s="633"/>
      <c r="F4" s="633"/>
      <c r="G4" s="633"/>
      <c r="H4" s="633"/>
      <c r="I4" s="633"/>
      <c r="J4" s="633"/>
    </row>
    <row r="5" spans="1:10" ht="19.5" customHeight="1">
      <c r="A5" s="634" t="s">
        <v>290</v>
      </c>
      <c r="B5" s="634"/>
      <c r="C5" s="634"/>
      <c r="D5" s="634"/>
      <c r="E5" s="634"/>
      <c r="F5" s="634"/>
      <c r="G5" s="634"/>
      <c r="H5" s="634"/>
      <c r="I5" s="634"/>
      <c r="J5" s="634"/>
    </row>
    <row r="6" spans="1:10" ht="36" customHeight="1">
      <c r="A6" s="635" t="str">
        <f>Dados!A4</f>
        <v>Sindicato utilizado - SEAC x SIEAP. Vigência: 2024. Sendo a data base da categoria 01° de Janeiro. Com número de registro no MTE MG000705/2024.</v>
      </c>
      <c r="B6" s="635"/>
      <c r="C6" s="635"/>
      <c r="D6" s="635"/>
      <c r="E6" s="635"/>
      <c r="F6" s="635"/>
      <c r="G6" s="635"/>
      <c r="H6" s="635"/>
      <c r="I6" s="635"/>
      <c r="J6" s="635"/>
    </row>
    <row r="7" spans="1:10" ht="19.5" customHeight="1">
      <c r="A7" s="636" t="str">
        <f>Resumo!B14</f>
        <v>Serventede Limpeza acúmulo função Copeira</v>
      </c>
      <c r="B7" s="636"/>
      <c r="C7" s="636"/>
      <c r="D7" s="636"/>
      <c r="E7" s="636"/>
      <c r="F7" s="637" t="s">
        <v>511</v>
      </c>
      <c r="G7" s="637" t="s">
        <v>512</v>
      </c>
      <c r="H7" s="637" t="s">
        <v>513</v>
      </c>
      <c r="I7" s="637" t="s">
        <v>514</v>
      </c>
      <c r="J7" s="637" t="s">
        <v>515</v>
      </c>
    </row>
    <row r="8" spans="1:10" ht="19.5" customHeight="1">
      <c r="A8" s="638" t="s">
        <v>516</v>
      </c>
      <c r="B8" s="638"/>
      <c r="C8" s="638"/>
      <c r="D8" s="638"/>
      <c r="E8" s="411" t="s">
        <v>367</v>
      </c>
      <c r="F8" s="637"/>
      <c r="G8" s="637"/>
      <c r="H8" s="637"/>
      <c r="I8" s="637"/>
      <c r="J8" s="637"/>
    </row>
    <row r="9" spans="1:10" ht="19.5" customHeight="1">
      <c r="A9" s="618" t="s">
        <v>517</v>
      </c>
      <c r="B9" s="618"/>
      <c r="C9" s="618"/>
      <c r="D9" s="618"/>
      <c r="E9" s="618"/>
      <c r="F9" s="618"/>
      <c r="G9" s="618"/>
      <c r="H9" s="618"/>
      <c r="I9" s="618"/>
      <c r="J9" s="618"/>
    </row>
    <row r="10" spans="1:10" ht="24" customHeight="1">
      <c r="A10" s="158" t="s">
        <v>368</v>
      </c>
      <c r="B10" s="628" t="s">
        <v>518</v>
      </c>
      <c r="C10" s="628"/>
      <c r="D10" s="412" t="s">
        <v>519</v>
      </c>
      <c r="E10" s="413" t="s">
        <v>520</v>
      </c>
      <c r="F10" s="629" t="s">
        <v>371</v>
      </c>
      <c r="G10" s="629"/>
      <c r="H10" s="629"/>
      <c r="I10" s="629"/>
      <c r="J10" s="629"/>
    </row>
    <row r="11" spans="1:10" ht="19.5" customHeight="1">
      <c r="A11" s="630">
        <v>1</v>
      </c>
      <c r="B11" s="518" t="str">
        <f>A7</f>
        <v>Serventede Limpeza acúmulo função Copeira</v>
      </c>
      <c r="C11" s="518"/>
      <c r="D11" s="28">
        <f>Dados!$D$9</f>
        <v>200</v>
      </c>
      <c r="E11" s="414">
        <f>Dados!$E$9</f>
        <v>1491.84</v>
      </c>
      <c r="F11" s="415">
        <f>ROUND(E11/220*D11,2)</f>
        <v>1356.22</v>
      </c>
      <c r="G11" s="415">
        <f>F11</f>
        <v>1356.22</v>
      </c>
      <c r="H11" s="415"/>
      <c r="I11" s="415"/>
      <c r="J11" s="416"/>
    </row>
    <row r="12" spans="1:10" ht="19.5" customHeight="1">
      <c r="A12" s="630"/>
      <c r="B12" s="518" t="s">
        <v>521</v>
      </c>
      <c r="C12" s="518"/>
      <c r="D12" s="452">
        <f>Dados!G8</f>
        <v>0</v>
      </c>
      <c r="E12" s="414">
        <f>Dados!$G$28</f>
        <v>1412</v>
      </c>
      <c r="F12" s="415">
        <f>D12*E12</f>
        <v>0</v>
      </c>
      <c r="G12" s="415">
        <f>F12</f>
        <v>0</v>
      </c>
      <c r="H12" s="415"/>
      <c r="I12" s="415"/>
      <c r="J12" s="416">
        <f>F12</f>
        <v>0</v>
      </c>
    </row>
    <row r="13" spans="1:10" ht="22.5" customHeight="1">
      <c r="A13" s="630"/>
      <c r="B13" s="449" t="s">
        <v>522</v>
      </c>
      <c r="C13" s="450">
        <f>Dados!$I$9</f>
        <v>0.12</v>
      </c>
      <c r="D13" s="450">
        <f>Dados!$J$9</f>
        <v>0.25</v>
      </c>
      <c r="E13" s="417">
        <f>Dados!$K$9</f>
        <v>1356.22</v>
      </c>
      <c r="F13" s="418">
        <f>ROUND((E13*D13*C13),2)</f>
        <v>40.69</v>
      </c>
      <c r="G13" s="418">
        <f>F13</f>
        <v>40.69</v>
      </c>
      <c r="H13" s="418"/>
      <c r="I13" s="418"/>
      <c r="J13" s="419"/>
    </row>
    <row r="14" spans="1:10" ht="19.5" customHeight="1">
      <c r="A14" s="630"/>
      <c r="B14" s="631" t="s">
        <v>523</v>
      </c>
      <c r="C14" s="631"/>
      <c r="D14" s="631"/>
      <c r="E14" s="631"/>
      <c r="F14" s="420">
        <f>SUM(F11:F13)</f>
        <v>1396.91</v>
      </c>
      <c r="G14" s="420">
        <f>SUM(G11:G13)</f>
        <v>1396.91</v>
      </c>
      <c r="H14" s="420">
        <f>SUM(H11:H13)</f>
        <v>0</v>
      </c>
      <c r="I14" s="420">
        <f>SUM(I11:I13)</f>
        <v>0</v>
      </c>
      <c r="J14" s="421">
        <f>SUM(J11:J13)</f>
        <v>0</v>
      </c>
    </row>
    <row r="15" spans="1:10" ht="19.5" customHeight="1">
      <c r="A15" s="630"/>
      <c r="B15" s="632" t="s">
        <v>524</v>
      </c>
      <c r="C15" s="632"/>
      <c r="D15" s="632"/>
      <c r="E15" s="451">
        <f>Encargos!$C$57</f>
        <v>0.76400000000000001</v>
      </c>
      <c r="F15" s="415">
        <f>ROUND((E15*F14),2)</f>
        <v>1067.24</v>
      </c>
      <c r="G15" s="415">
        <f>F15</f>
        <v>1067.24</v>
      </c>
      <c r="H15" s="415"/>
      <c r="I15" s="415"/>
      <c r="J15" s="416">
        <f>ROUND((E15*J14),2)</f>
        <v>0</v>
      </c>
    </row>
    <row r="16" spans="1:10" ht="19.5" customHeight="1">
      <c r="A16" s="624" t="s">
        <v>525</v>
      </c>
      <c r="B16" s="624"/>
      <c r="C16" s="624"/>
      <c r="D16" s="624"/>
      <c r="E16" s="624"/>
      <c r="F16" s="422">
        <f>SUM(F14:F15)</f>
        <v>2464.15</v>
      </c>
      <c r="G16" s="422">
        <f>SUM(G14:G15)</f>
        <v>2464.15</v>
      </c>
      <c r="H16" s="422">
        <f>SUM(H14:H15)</f>
        <v>0</v>
      </c>
      <c r="I16" s="422">
        <f>SUM(I14:I15)</f>
        <v>0</v>
      </c>
      <c r="J16" s="423">
        <f>SUM(J14:J15)</f>
        <v>0</v>
      </c>
    </row>
    <row r="17" spans="1:12" ht="19.5" customHeight="1">
      <c r="A17" s="625" t="s">
        <v>526</v>
      </c>
      <c r="B17" s="625"/>
      <c r="C17" s="625"/>
      <c r="D17" s="625"/>
      <c r="E17" s="625"/>
      <c r="F17" s="625"/>
      <c r="G17" s="625"/>
      <c r="H17" s="625"/>
      <c r="I17" s="625"/>
      <c r="J17" s="625"/>
    </row>
    <row r="18" spans="1:12" ht="19.5" customHeight="1">
      <c r="A18" s="619" t="s">
        <v>527</v>
      </c>
      <c r="B18" s="619"/>
      <c r="C18" s="39" t="s">
        <v>370</v>
      </c>
      <c r="D18" s="626" t="s">
        <v>548</v>
      </c>
      <c r="E18" s="626"/>
      <c r="F18" s="627" t="s">
        <v>371</v>
      </c>
      <c r="G18" s="627"/>
      <c r="H18" s="627"/>
      <c r="I18" s="627"/>
      <c r="J18" s="627"/>
    </row>
    <row r="19" spans="1:12" ht="19.5" customHeight="1">
      <c r="A19" s="610" t="s">
        <v>529</v>
      </c>
      <c r="B19" s="610"/>
      <c r="C19" s="424"/>
      <c r="D19" s="424"/>
      <c r="E19" s="424"/>
      <c r="F19" s="415">
        <f>Dados!$N$9</f>
        <v>37.9</v>
      </c>
      <c r="G19" s="415">
        <f t="shared" ref="G19:G24" si="0">F19</f>
        <v>37.9</v>
      </c>
      <c r="H19" s="415"/>
      <c r="I19" s="415"/>
      <c r="J19" s="416"/>
    </row>
    <row r="20" spans="1:12" ht="19.5" customHeight="1">
      <c r="A20" s="610" t="s">
        <v>530</v>
      </c>
      <c r="B20" s="610"/>
      <c r="C20" s="424"/>
      <c r="D20" s="424"/>
      <c r="E20" s="424"/>
      <c r="F20" s="415">
        <f>Dados!$G$31</f>
        <v>7.2</v>
      </c>
      <c r="G20" s="415">
        <f t="shared" si="0"/>
        <v>7.2</v>
      </c>
      <c r="H20" s="415"/>
      <c r="I20" s="415"/>
      <c r="J20" s="416"/>
    </row>
    <row r="21" spans="1:12" ht="23.25" customHeight="1">
      <c r="A21" s="623" t="s">
        <v>531</v>
      </c>
      <c r="B21" s="623"/>
      <c r="C21" s="424"/>
      <c r="D21" s="424"/>
      <c r="E21" s="424"/>
      <c r="F21" s="415">
        <f>Dados!G32</f>
        <v>48.43</v>
      </c>
      <c r="G21" s="415">
        <f t="shared" si="0"/>
        <v>48.43</v>
      </c>
      <c r="H21" s="415"/>
      <c r="I21" s="415"/>
      <c r="J21" s="416"/>
    </row>
    <row r="22" spans="1:12" ht="19.5" customHeight="1">
      <c r="A22" s="610" t="s">
        <v>221</v>
      </c>
      <c r="B22" s="610"/>
      <c r="C22" s="301">
        <f>Dados!$G$35</f>
        <v>22</v>
      </c>
      <c r="D22" s="301">
        <f>Dados!$G$34</f>
        <v>2</v>
      </c>
      <c r="E22" s="424">
        <f>Dados!$G$33</f>
        <v>5</v>
      </c>
      <c r="F22" s="415">
        <f>IF(ROUND((E22*D22*C22)-(F11*Dados!$G$36),2)&lt;0,0,ROUND((E22*D22*C22)-(F11*Dados!$G$36),2))</f>
        <v>138.63</v>
      </c>
      <c r="G22" s="415">
        <f t="shared" si="0"/>
        <v>138.63</v>
      </c>
      <c r="H22" s="415"/>
      <c r="I22" s="415">
        <f>F22</f>
        <v>138.63</v>
      </c>
      <c r="J22" s="416"/>
    </row>
    <row r="23" spans="1:12" ht="19.5" customHeight="1">
      <c r="A23" s="610" t="s">
        <v>230</v>
      </c>
      <c r="B23" s="610"/>
      <c r="C23" s="301">
        <f>Dados!G38</f>
        <v>22</v>
      </c>
      <c r="D23" s="302">
        <f>Dados!G39</f>
        <v>0.2</v>
      </c>
      <c r="E23" s="424">
        <f>Dados!$G$37</f>
        <v>27.24</v>
      </c>
      <c r="F23" s="223">
        <f>ROUND((IF(D11&gt;150,((C23*E23)-(C23*(D23*E23))),0)),2)</f>
        <v>479.42</v>
      </c>
      <c r="G23" s="415">
        <f t="shared" si="0"/>
        <v>479.42</v>
      </c>
      <c r="H23" s="415">
        <f>$F$23</f>
        <v>479.42</v>
      </c>
      <c r="I23" s="223"/>
      <c r="J23" s="416"/>
    </row>
    <row r="24" spans="1:12" ht="19.5" customHeight="1">
      <c r="A24" s="610" t="s">
        <v>181</v>
      </c>
      <c r="B24" s="610"/>
      <c r="C24" s="301"/>
      <c r="D24" s="301"/>
      <c r="E24" s="424"/>
      <c r="F24" s="223">
        <f>Dados!R9</f>
        <v>3.4750000000000001</v>
      </c>
      <c r="G24" s="415">
        <f t="shared" si="0"/>
        <v>3.4750000000000001</v>
      </c>
      <c r="H24" s="415"/>
      <c r="I24" s="223"/>
      <c r="J24" s="416"/>
    </row>
    <row r="25" spans="1:12" ht="19.5" customHeight="1">
      <c r="A25" s="610" t="s">
        <v>233</v>
      </c>
      <c r="B25" s="610"/>
      <c r="C25" s="301"/>
      <c r="D25" s="301"/>
      <c r="E25" s="424"/>
      <c r="F25" s="223">
        <f>Dados!$G$41</f>
        <v>0</v>
      </c>
      <c r="G25" s="415"/>
      <c r="H25" s="415"/>
      <c r="I25" s="223"/>
      <c r="J25" s="416"/>
    </row>
    <row r="26" spans="1:12" ht="19.5" customHeight="1">
      <c r="A26" s="610" t="s">
        <v>532</v>
      </c>
      <c r="B26" s="610"/>
      <c r="C26" s="301"/>
      <c r="D26" s="424"/>
      <c r="E26" s="424"/>
      <c r="F26" s="415">
        <f>Dados!O9</f>
        <v>588.05999999999995</v>
      </c>
      <c r="G26" s="415"/>
      <c r="H26" s="415"/>
      <c r="I26" s="415"/>
      <c r="J26" s="416"/>
      <c r="L26" s="51"/>
    </row>
    <row r="27" spans="1:12" ht="19.5" customHeight="1">
      <c r="A27" s="425" t="s">
        <v>533</v>
      </c>
      <c r="B27" s="426"/>
      <c r="C27" s="301"/>
      <c r="D27" s="424"/>
      <c r="E27" s="424"/>
      <c r="F27" s="415">
        <f>Dados!$P$9</f>
        <v>0</v>
      </c>
      <c r="G27" s="415"/>
      <c r="H27" s="415"/>
      <c r="I27" s="415"/>
      <c r="J27" s="416"/>
    </row>
    <row r="28" spans="1:12" ht="19.5" customHeight="1">
      <c r="A28" s="622" t="s">
        <v>534</v>
      </c>
      <c r="B28" s="622"/>
      <c r="C28" s="303"/>
      <c r="D28" s="427"/>
      <c r="E28" s="427"/>
      <c r="F28" s="418"/>
      <c r="G28" s="418"/>
      <c r="H28" s="418"/>
      <c r="I28" s="418"/>
      <c r="J28" s="419"/>
    </row>
    <row r="29" spans="1:12" ht="19.5" customHeight="1">
      <c r="A29" s="617" t="s">
        <v>535</v>
      </c>
      <c r="B29" s="617"/>
      <c r="C29" s="617"/>
      <c r="D29" s="617"/>
      <c r="E29" s="617"/>
      <c r="F29" s="422">
        <f>SUM(F19:F28)</f>
        <v>1303.115</v>
      </c>
      <c r="G29" s="422">
        <f>SUM(G19:G28)</f>
        <v>715.05500000000006</v>
      </c>
      <c r="H29" s="422">
        <f>SUM(H19:H28)</f>
        <v>479.42</v>
      </c>
      <c r="I29" s="422">
        <f>SUM(I19:I28)</f>
        <v>138.63</v>
      </c>
      <c r="J29" s="423">
        <f>SUM(J19:J28)</f>
        <v>0</v>
      </c>
    </row>
    <row r="30" spans="1:12" ht="19.5" customHeight="1">
      <c r="A30" s="617" t="s">
        <v>536</v>
      </c>
      <c r="B30" s="617"/>
      <c r="C30" s="617"/>
      <c r="D30" s="617"/>
      <c r="E30" s="617"/>
      <c r="F30" s="422">
        <f>F16+F29</f>
        <v>3767.2650000000003</v>
      </c>
      <c r="G30" s="422">
        <f>G16+G29</f>
        <v>3179.2049999999999</v>
      </c>
      <c r="H30" s="422">
        <f>H16+H29</f>
        <v>479.42</v>
      </c>
      <c r="I30" s="422">
        <f>I16+I29</f>
        <v>138.63</v>
      </c>
      <c r="J30" s="423">
        <f>J16+J29</f>
        <v>0</v>
      </c>
    </row>
    <row r="31" spans="1:12" ht="19.5" customHeight="1">
      <c r="A31" s="618" t="s">
        <v>537</v>
      </c>
      <c r="B31" s="618"/>
      <c r="C31" s="618"/>
      <c r="D31" s="618"/>
      <c r="E31" s="618"/>
      <c r="F31" s="618"/>
      <c r="G31" s="618"/>
      <c r="H31" s="618"/>
      <c r="I31" s="618"/>
      <c r="J31" s="618"/>
    </row>
    <row r="32" spans="1:12" ht="19.5" customHeight="1">
      <c r="A32" s="619" t="s">
        <v>538</v>
      </c>
      <c r="B32" s="619"/>
      <c r="C32" s="619"/>
      <c r="D32" s="73" t="s">
        <v>539</v>
      </c>
      <c r="E32" s="620" t="s">
        <v>371</v>
      </c>
      <c r="F32" s="620"/>
      <c r="G32" s="620"/>
      <c r="H32" s="620"/>
      <c r="I32" s="620"/>
      <c r="J32" s="620"/>
    </row>
    <row r="33" spans="1:12" ht="19.5" customHeight="1">
      <c r="A33" s="428" t="s">
        <v>540</v>
      </c>
      <c r="B33" s="429"/>
      <c r="C33" s="429"/>
      <c r="D33" s="430">
        <f>Dados!$G$44</f>
        <v>0.03</v>
      </c>
      <c r="E33" s="431"/>
      <c r="F33" s="415">
        <f>ROUND((F30*$D$33),2)</f>
        <v>113.02</v>
      </c>
      <c r="G33" s="415">
        <f>ROUND((G30*$D$33),2)</f>
        <v>95.38</v>
      </c>
      <c r="H33" s="415">
        <f>ROUND((H30*$D$33),2)</f>
        <v>14.38</v>
      </c>
      <c r="I33" s="415">
        <f>ROUND((I30*$D$33),2)</f>
        <v>4.16</v>
      </c>
      <c r="J33" s="416">
        <f>ROUND((J30*$D$33),2)</f>
        <v>0</v>
      </c>
    </row>
    <row r="34" spans="1:12" ht="19.5" customHeight="1">
      <c r="A34" s="621" t="s">
        <v>541</v>
      </c>
      <c r="B34" s="621"/>
      <c r="C34" s="621"/>
      <c r="D34" s="430"/>
      <c r="E34" s="431"/>
      <c r="F34" s="415">
        <f>F30+F33</f>
        <v>3880.2850000000003</v>
      </c>
      <c r="G34" s="415">
        <f>G30+G33</f>
        <v>3274.585</v>
      </c>
      <c r="H34" s="415">
        <f>H30+H33</f>
        <v>493.8</v>
      </c>
      <c r="I34" s="415">
        <f>I30+I33</f>
        <v>142.79</v>
      </c>
      <c r="J34" s="416">
        <f>J30+J33</f>
        <v>0</v>
      </c>
    </row>
    <row r="35" spans="1:12" ht="19.5" customHeight="1">
      <c r="A35" s="432" t="s">
        <v>238</v>
      </c>
      <c r="B35" s="433"/>
      <c r="C35" s="433"/>
      <c r="D35" s="434">
        <f>Dados!$G$45</f>
        <v>6.7900000000000002E-2</v>
      </c>
      <c r="E35" s="435"/>
      <c r="F35" s="418">
        <f>ROUND((F34*$D$35),2)</f>
        <v>263.47000000000003</v>
      </c>
      <c r="G35" s="418">
        <f>ROUND((G34*$D$35),2)</f>
        <v>222.34</v>
      </c>
      <c r="H35" s="418">
        <f>ROUND((H34*$D$35),2)</f>
        <v>33.53</v>
      </c>
      <c r="I35" s="418">
        <f>ROUND((I34*$D$35),2)</f>
        <v>9.6999999999999993</v>
      </c>
      <c r="J35" s="419">
        <f>ROUND((J34*$D$35),2)</f>
        <v>0</v>
      </c>
    </row>
    <row r="36" spans="1:12" ht="19.5" customHeight="1">
      <c r="A36" s="436" t="s">
        <v>542</v>
      </c>
      <c r="B36" s="437"/>
      <c r="C36" s="437"/>
      <c r="D36" s="438">
        <f>SUM(D33:D35)</f>
        <v>9.7900000000000001E-2</v>
      </c>
      <c r="E36" s="439"/>
      <c r="F36" s="422">
        <f>F33+F35</f>
        <v>376.49</v>
      </c>
      <c r="G36" s="422">
        <f>G33+G35</f>
        <v>317.72000000000003</v>
      </c>
      <c r="H36" s="422">
        <f>H33+H35</f>
        <v>47.910000000000004</v>
      </c>
      <c r="I36" s="422">
        <f>I33+I35</f>
        <v>13.86</v>
      </c>
      <c r="J36" s="423">
        <f>J33+J35</f>
        <v>0</v>
      </c>
    </row>
    <row r="37" spans="1:12" ht="19.5" customHeight="1">
      <c r="A37" s="615" t="s">
        <v>543</v>
      </c>
      <c r="B37" s="615"/>
      <c r="C37" s="615"/>
      <c r="D37" s="615"/>
      <c r="E37" s="615"/>
      <c r="F37" s="440">
        <f>F30+F36</f>
        <v>4143.7550000000001</v>
      </c>
      <c r="G37" s="440">
        <f>G30+G36</f>
        <v>3496.9250000000002</v>
      </c>
      <c r="H37" s="440">
        <f>H30+H36</f>
        <v>527.33000000000004</v>
      </c>
      <c r="I37" s="440">
        <f>I30+I36</f>
        <v>152.49</v>
      </c>
      <c r="J37" s="441">
        <f>J30+J36</f>
        <v>0</v>
      </c>
    </row>
    <row r="38" spans="1:12" ht="19.5" customHeight="1">
      <c r="A38" s="616" t="s">
        <v>544</v>
      </c>
      <c r="B38" s="616"/>
      <c r="C38" s="616"/>
      <c r="D38" s="616"/>
      <c r="E38" s="616"/>
      <c r="F38" s="616"/>
      <c r="G38" s="616"/>
      <c r="H38" s="616"/>
      <c r="I38" s="616"/>
      <c r="J38" s="616"/>
    </row>
    <row r="39" spans="1:12" ht="19.5" customHeight="1">
      <c r="A39" s="610" t="s">
        <v>244</v>
      </c>
      <c r="B39" s="610"/>
      <c r="C39" s="610"/>
      <c r="D39" s="430">
        <f>Dados!G52</f>
        <v>7.5999999999999998E-2</v>
      </c>
      <c r="E39" s="415"/>
      <c r="F39" s="415">
        <f>ROUND(($F$45*D39),2)</f>
        <v>358.89</v>
      </c>
      <c r="G39" s="415">
        <f>ROUND((G45*$D$39),2)</f>
        <v>302.87</v>
      </c>
      <c r="H39" s="415">
        <f>ROUND((H45*$D$39),2)</f>
        <v>45.67</v>
      </c>
      <c r="I39" s="415">
        <f>ROUND((I45*$D$39),2)</f>
        <v>13.21</v>
      </c>
      <c r="J39" s="416">
        <f>ROUND((J45*$D$39),2)</f>
        <v>0</v>
      </c>
    </row>
    <row r="40" spans="1:12" ht="19.5" customHeight="1">
      <c r="A40" s="610" t="s">
        <v>246</v>
      </c>
      <c r="B40" s="610"/>
      <c r="C40" s="610"/>
      <c r="D40" s="430">
        <f>Dados!G53</f>
        <v>1.6500000000000001E-2</v>
      </c>
      <c r="E40" s="415"/>
      <c r="F40" s="415">
        <f>ROUND((F45*$D$40),2)</f>
        <v>77.92</v>
      </c>
      <c r="G40" s="415">
        <f>ROUND((G45*$D$40),2)</f>
        <v>65.75</v>
      </c>
      <c r="H40" s="415">
        <f>ROUND((H45*$D$40),2)</f>
        <v>9.92</v>
      </c>
      <c r="I40" s="415">
        <f>ROUND((I45*$D$40),2)</f>
        <v>2.87</v>
      </c>
      <c r="J40" s="416">
        <f>ROUND((J45*$D$40),2)</f>
        <v>0</v>
      </c>
    </row>
    <row r="41" spans="1:12" ht="19.5" customHeight="1">
      <c r="A41" s="610" t="s">
        <v>247</v>
      </c>
      <c r="B41" s="610"/>
      <c r="C41" s="610"/>
      <c r="D41" s="430">
        <f>Dados!G54</f>
        <v>0.03</v>
      </c>
      <c r="E41" s="415"/>
      <c r="F41" s="415">
        <f>ROUND((F45*$D$41),2)</f>
        <v>141.66999999999999</v>
      </c>
      <c r="G41" s="415">
        <f>ROUND((G45*$D$41),2)</f>
        <v>119.55</v>
      </c>
      <c r="H41" s="415">
        <f>ROUND((H45*$D$41),2)</f>
        <v>18.03</v>
      </c>
      <c r="I41" s="415">
        <f>ROUND((I45*$D$41),2)</f>
        <v>5.21</v>
      </c>
      <c r="J41" s="416">
        <f>ROUND((J45*$D$41),2)</f>
        <v>0</v>
      </c>
    </row>
    <row r="42" spans="1:12" ht="19.5" customHeight="1">
      <c r="A42" s="610" t="s">
        <v>233</v>
      </c>
      <c r="B42" s="610"/>
      <c r="C42" s="610"/>
      <c r="D42" s="430">
        <f>Dados!G55</f>
        <v>0</v>
      </c>
      <c r="E42" s="415"/>
      <c r="F42" s="415">
        <f>ROUND((F45*$D$42),2)</f>
        <v>0</v>
      </c>
      <c r="G42" s="415">
        <f>ROUND((G45*$D$42),2)</f>
        <v>0</v>
      </c>
      <c r="H42" s="415">
        <f>ROUND((H45*$D$42),2)</f>
        <v>0</v>
      </c>
      <c r="I42" s="415">
        <f>ROUND((I45*$D$42),2)</f>
        <v>0</v>
      </c>
      <c r="J42" s="416">
        <f>ROUND((J45*$D$42),2)</f>
        <v>0</v>
      </c>
    </row>
    <row r="43" spans="1:12" ht="19.5" customHeight="1">
      <c r="A43" s="611" t="s">
        <v>545</v>
      </c>
      <c r="B43" s="611"/>
      <c r="C43" s="611"/>
      <c r="D43" s="442">
        <f>SUM(D39:D42)</f>
        <v>0.1225</v>
      </c>
      <c r="E43" s="443"/>
      <c r="F43" s="444">
        <f>SUM(F39:F42)</f>
        <v>578.48</v>
      </c>
      <c r="G43" s="444">
        <f>SUM(G39:G42)</f>
        <v>488.17</v>
      </c>
      <c r="H43" s="444">
        <f>SUM(H39:H42)</f>
        <v>73.62</v>
      </c>
      <c r="I43" s="444">
        <f>SUM(I39:I42)</f>
        <v>21.290000000000003</v>
      </c>
      <c r="J43" s="445">
        <f>SUM(J39:J41)</f>
        <v>0</v>
      </c>
    </row>
    <row r="44" spans="1:12" ht="19.5" customHeight="1">
      <c r="A44" s="612" t="str">
        <f>CONCATENATE("Custo Mensal - ",A7)</f>
        <v>Custo Mensal - Serventede Limpeza acúmulo função Copeira</v>
      </c>
      <c r="B44" s="612"/>
      <c r="C44" s="612"/>
      <c r="D44" s="612"/>
      <c r="E44" s="612"/>
      <c r="F44" s="446">
        <f>ROUND(F37/(1-D43),2)</f>
        <v>4722.2299999999996</v>
      </c>
      <c r="G44" s="446">
        <f>ROUND(G37/(1-D43),2)</f>
        <v>3985.1</v>
      </c>
      <c r="H44" s="446">
        <f>ROUND(H37/(1-D43),2)</f>
        <v>600.95000000000005</v>
      </c>
      <c r="I44" s="446">
        <f>ROUND(I37/(1-D43),2)</f>
        <v>173.78</v>
      </c>
      <c r="J44" s="447">
        <f>ROUND(J37/(1-D43),2)</f>
        <v>0</v>
      </c>
    </row>
    <row r="45" spans="1:12" ht="19.5" customHeight="1">
      <c r="A45" s="613" t="str">
        <f>CONCATENATE("Valor do Custo Mensal - ",A7)</f>
        <v>Valor do Custo Mensal - Serventede Limpeza acúmulo função Copeira</v>
      </c>
      <c r="B45" s="613"/>
      <c r="C45" s="613"/>
      <c r="D45" s="613"/>
      <c r="E45" s="613"/>
      <c r="F45" s="446">
        <f>F44</f>
        <v>4722.2299999999996</v>
      </c>
      <c r="G45" s="446">
        <f>G44</f>
        <v>3985.1</v>
      </c>
      <c r="H45" s="446">
        <f>H44</f>
        <v>600.95000000000005</v>
      </c>
      <c r="I45" s="446">
        <f>I44</f>
        <v>173.78</v>
      </c>
      <c r="J45" s="447">
        <f>J44</f>
        <v>0</v>
      </c>
      <c r="K45" s="304"/>
      <c r="L45" s="304"/>
    </row>
    <row r="46" spans="1:12" ht="27.75" customHeight="1">
      <c r="A46" s="614" t="s">
        <v>546</v>
      </c>
      <c r="B46" s="614"/>
      <c r="C46" s="614"/>
      <c r="D46" s="614"/>
      <c r="E46" s="614"/>
      <c r="F46" s="448">
        <f>(F45/F14)</f>
        <v>3.3804826366766645</v>
      </c>
      <c r="G46" s="448">
        <f>(G45/G14)</f>
        <v>2.8527965294829301</v>
      </c>
      <c r="H46" s="609" t="s">
        <v>547</v>
      </c>
      <c r="I46" s="609"/>
      <c r="J46" s="305">
        <v>0</v>
      </c>
    </row>
    <row r="47" spans="1:12" ht="19.5" customHeight="1"/>
  </sheetData>
  <sheetProtection algorithmName="SHA-512" hashValue="k2svMb6+3fidR61SEAvZmDEuXxReaI/vRGsc1FgA1oi/6dkHB/Mt8CaD3IlBUFiIx7zoKCP8g8qv1wOj4nY7CQ==" saltValue="hXXexjqc2Jh3VCb3yU1gUw==" spinCount="100000"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Normal="100" zoomScaleSheetLayoutView="100" zoomScalePageLayoutView="140" workbookViewId="0">
      <selection activeCell="F24" sqref="F24"/>
    </sheetView>
  </sheetViews>
  <sheetFormatPr defaultColWidth="8.6640625" defaultRowHeight="14.4"/>
  <cols>
    <col min="1" max="1" width="10.5546875" style="62" customWidth="1"/>
    <col min="2" max="2" width="27.6640625" style="62" customWidth="1"/>
    <col min="3" max="3" width="14.44140625" style="62" customWidth="1"/>
    <col min="4" max="5" width="15" style="62" customWidth="1"/>
    <col min="6" max="6" width="16.6640625" style="291" customWidth="1"/>
    <col min="7" max="8" width="13.109375" style="291" customWidth="1"/>
    <col min="9" max="10" width="12.5546875" style="291" customWidth="1"/>
    <col min="11" max="257" width="9.109375" style="62" customWidth="1"/>
    <col min="258" max="258" width="10.5546875" style="62" customWidth="1"/>
    <col min="259" max="259" width="27.6640625" style="62" customWidth="1"/>
    <col min="260" max="260" width="14.44140625" style="62" customWidth="1"/>
    <col min="261" max="262" width="15" style="62" customWidth="1"/>
    <col min="263" max="263" width="16.6640625" style="62" customWidth="1"/>
    <col min="264" max="264" width="13.109375" style="62" customWidth="1"/>
    <col min="265" max="266" width="12.5546875" style="62" customWidth="1"/>
    <col min="267" max="513" width="9.109375" style="62" customWidth="1"/>
    <col min="514" max="514" width="10.5546875" style="62" customWidth="1"/>
    <col min="515" max="515" width="27.6640625" style="62" customWidth="1"/>
    <col min="516" max="516" width="14.44140625" style="62" customWidth="1"/>
    <col min="517" max="518" width="15" style="62" customWidth="1"/>
    <col min="519" max="519" width="16.6640625" style="62" customWidth="1"/>
    <col min="520" max="520" width="13.109375" style="62" customWidth="1"/>
    <col min="521" max="522" width="12.5546875" style="62" customWidth="1"/>
    <col min="523" max="769" width="9.109375" style="62" customWidth="1"/>
    <col min="770" max="770" width="10.5546875" style="62" customWidth="1"/>
    <col min="771" max="771" width="27.6640625" style="62" customWidth="1"/>
    <col min="772" max="772" width="14.44140625" style="62" customWidth="1"/>
    <col min="773" max="774" width="15" style="62" customWidth="1"/>
    <col min="775" max="775" width="16.6640625" style="62" customWidth="1"/>
    <col min="776" max="776" width="13.109375" style="62" customWidth="1"/>
    <col min="777" max="778" width="12.5546875" style="62" customWidth="1"/>
    <col min="779" max="1025" width="9.109375" style="62" customWidth="1"/>
  </cols>
  <sheetData>
    <row r="1" spans="1:10">
      <c r="A1" s="292"/>
      <c r="B1" s="89" t="str">
        <f>INSTRUÇÕES!B1</f>
        <v>Tribunal Regional Federal da 6ª Região</v>
      </c>
      <c r="C1" s="293"/>
      <c r="D1" s="293"/>
      <c r="E1" s="293"/>
      <c r="F1" s="294"/>
      <c r="G1" s="295"/>
      <c r="H1" s="295"/>
      <c r="I1" s="294"/>
      <c r="J1" s="296"/>
    </row>
    <row r="2" spans="1:10">
      <c r="A2" s="297"/>
      <c r="B2" s="91" t="str">
        <f>INSTRUÇÕES!B2</f>
        <v>Seção Judiciária de Minas Gerais</v>
      </c>
      <c r="C2" s="51"/>
      <c r="D2" s="51"/>
      <c r="E2" s="51"/>
      <c r="F2" s="298"/>
      <c r="I2" s="298"/>
      <c r="J2" s="299"/>
    </row>
    <row r="3" spans="1:10">
      <c r="A3" s="153"/>
      <c r="B3" s="300" t="str">
        <f>INSTRUÇÕES!B3</f>
        <v>Subseção Judiciária de Varginha</v>
      </c>
      <c r="C3" s="51"/>
      <c r="D3" s="51"/>
      <c r="E3" s="51"/>
      <c r="F3" s="298"/>
      <c r="I3" s="298"/>
      <c r="J3" s="299"/>
    </row>
    <row r="4" spans="1:10" ht="19.5" customHeight="1">
      <c r="A4" s="633" t="s">
        <v>510</v>
      </c>
      <c r="B4" s="633"/>
      <c r="C4" s="633"/>
      <c r="D4" s="633"/>
      <c r="E4" s="633"/>
      <c r="F4" s="633"/>
      <c r="G4" s="633"/>
      <c r="H4" s="633"/>
      <c r="I4" s="633"/>
      <c r="J4" s="633"/>
    </row>
    <row r="5" spans="1:10" ht="19.5" customHeight="1">
      <c r="A5" s="634" t="s">
        <v>290</v>
      </c>
      <c r="B5" s="634"/>
      <c r="C5" s="634"/>
      <c r="D5" s="634"/>
      <c r="E5" s="634"/>
      <c r="F5" s="634"/>
      <c r="G5" s="634"/>
      <c r="H5" s="634"/>
      <c r="I5" s="634"/>
      <c r="J5" s="634"/>
    </row>
    <row r="6" spans="1:10" ht="36" customHeight="1">
      <c r="A6" s="635" t="str">
        <f>Dados!A4</f>
        <v>Sindicato utilizado - SEAC x SIEAP. Vigência: 2024. Sendo a data base da categoria 01° de Janeiro. Com número de registro no MTE MG000705/2024.</v>
      </c>
      <c r="B6" s="635"/>
      <c r="C6" s="635"/>
      <c r="D6" s="635"/>
      <c r="E6" s="635"/>
      <c r="F6" s="635"/>
      <c r="G6" s="635"/>
      <c r="H6" s="635"/>
      <c r="I6" s="635"/>
      <c r="J6" s="635"/>
    </row>
    <row r="7" spans="1:10" ht="19.5" customHeight="1">
      <c r="A7" s="636" t="str">
        <f>Dados!C10</f>
        <v>Zelador</v>
      </c>
      <c r="B7" s="636"/>
      <c r="C7" s="636"/>
      <c r="D7" s="636"/>
      <c r="E7" s="636"/>
      <c r="F7" s="637" t="s">
        <v>511</v>
      </c>
      <c r="G7" s="637" t="s">
        <v>512</v>
      </c>
      <c r="H7" s="637" t="s">
        <v>513</v>
      </c>
      <c r="I7" s="637" t="s">
        <v>514</v>
      </c>
      <c r="J7" s="637" t="s">
        <v>515</v>
      </c>
    </row>
    <row r="8" spans="1:10" ht="19.5" customHeight="1">
      <c r="A8" s="638" t="s">
        <v>516</v>
      </c>
      <c r="B8" s="638"/>
      <c r="C8" s="638"/>
      <c r="D8" s="638"/>
      <c r="E8" s="411" t="s">
        <v>367</v>
      </c>
      <c r="F8" s="637"/>
      <c r="G8" s="637"/>
      <c r="H8" s="637"/>
      <c r="I8" s="637"/>
      <c r="J8" s="637"/>
    </row>
    <row r="9" spans="1:10" ht="19.5" customHeight="1">
      <c r="A9" s="618" t="s">
        <v>517</v>
      </c>
      <c r="B9" s="618"/>
      <c r="C9" s="618"/>
      <c r="D9" s="618"/>
      <c r="E9" s="618"/>
      <c r="F9" s="618"/>
      <c r="G9" s="618"/>
      <c r="H9" s="618"/>
      <c r="I9" s="618"/>
      <c r="J9" s="618"/>
    </row>
    <row r="10" spans="1:10" ht="24" customHeight="1">
      <c r="A10" s="158" t="s">
        <v>368</v>
      </c>
      <c r="B10" s="628" t="s">
        <v>518</v>
      </c>
      <c r="C10" s="628"/>
      <c r="D10" s="412" t="s">
        <v>519</v>
      </c>
      <c r="E10" s="413" t="s">
        <v>520</v>
      </c>
      <c r="F10" s="629" t="s">
        <v>371</v>
      </c>
      <c r="G10" s="629"/>
      <c r="H10" s="629"/>
      <c r="I10" s="629"/>
      <c r="J10" s="629"/>
    </row>
    <row r="11" spans="1:10" ht="19.5" customHeight="1">
      <c r="A11" s="630">
        <v>1</v>
      </c>
      <c r="B11" s="518" t="str">
        <f>A7</f>
        <v>Zelador</v>
      </c>
      <c r="C11" s="518"/>
      <c r="D11" s="28">
        <f>Dados!$D$10</f>
        <v>220</v>
      </c>
      <c r="E11" s="414">
        <f>Dados!$E$10</f>
        <v>2117.46</v>
      </c>
      <c r="F11" s="415">
        <f>ROUND(E11/220*D11,2)</f>
        <v>2117.46</v>
      </c>
      <c r="G11" s="415">
        <f>F11</f>
        <v>2117.46</v>
      </c>
      <c r="H11" s="415"/>
      <c r="I11" s="415"/>
      <c r="J11" s="416"/>
    </row>
    <row r="12" spans="1:10" ht="19.5" customHeight="1">
      <c r="A12" s="630"/>
      <c r="B12" s="518" t="s">
        <v>521</v>
      </c>
      <c r="C12" s="518"/>
      <c r="D12" s="452">
        <f>Dados!G8</f>
        <v>0</v>
      </c>
      <c r="E12" s="414">
        <f>Dados!$G$28</f>
        <v>1412</v>
      </c>
      <c r="F12" s="415">
        <f>D12*E12</f>
        <v>0</v>
      </c>
      <c r="G12" s="415">
        <f>F12</f>
        <v>0</v>
      </c>
      <c r="H12" s="415"/>
      <c r="I12" s="415"/>
      <c r="J12" s="416">
        <f>F12</f>
        <v>0</v>
      </c>
    </row>
    <row r="13" spans="1:10" ht="30.75" customHeight="1">
      <c r="A13" s="630"/>
      <c r="B13" s="449" t="s">
        <v>522</v>
      </c>
      <c r="C13" s="450">
        <f>Dados!$I$10</f>
        <v>0</v>
      </c>
      <c r="D13" s="450">
        <f>Dados!$J$10</f>
        <v>0</v>
      </c>
      <c r="E13" s="417">
        <f>Dados!$K$10</f>
        <v>0</v>
      </c>
      <c r="F13" s="418">
        <f>ROUND((E13*D13*C13),2)</f>
        <v>0</v>
      </c>
      <c r="G13" s="418">
        <f>F13</f>
        <v>0</v>
      </c>
      <c r="H13" s="418"/>
      <c r="I13" s="418"/>
      <c r="J13" s="419"/>
    </row>
    <row r="14" spans="1:10" ht="19.5" customHeight="1">
      <c r="A14" s="630"/>
      <c r="B14" s="631" t="s">
        <v>523</v>
      </c>
      <c r="C14" s="631"/>
      <c r="D14" s="631"/>
      <c r="E14" s="631"/>
      <c r="F14" s="420">
        <f>SUM(F11:F13)</f>
        <v>2117.46</v>
      </c>
      <c r="G14" s="420">
        <f>SUM(G11:G13)</f>
        <v>2117.46</v>
      </c>
      <c r="H14" s="420">
        <f>SUM(H11:H13)</f>
        <v>0</v>
      </c>
      <c r="I14" s="420">
        <f>SUM(I11:I13)</f>
        <v>0</v>
      </c>
      <c r="J14" s="421">
        <f>SUM(J11:J13)</f>
        <v>0</v>
      </c>
    </row>
    <row r="15" spans="1:10" ht="19.5" customHeight="1">
      <c r="A15" s="630"/>
      <c r="B15" s="632" t="s">
        <v>524</v>
      </c>
      <c r="C15" s="632"/>
      <c r="D15" s="632"/>
      <c r="E15" s="451">
        <f>Encargos!$C$57</f>
        <v>0.76400000000000001</v>
      </c>
      <c r="F15" s="415">
        <f>ROUND((E15*F14),2)</f>
        <v>1617.74</v>
      </c>
      <c r="G15" s="415">
        <f>F15</f>
        <v>1617.74</v>
      </c>
      <c r="H15" s="415"/>
      <c r="I15" s="415"/>
      <c r="J15" s="416">
        <f>ROUND((E15*J14),2)</f>
        <v>0</v>
      </c>
    </row>
    <row r="16" spans="1:10" ht="19.5" customHeight="1">
      <c r="A16" s="624" t="s">
        <v>525</v>
      </c>
      <c r="B16" s="624"/>
      <c r="C16" s="624"/>
      <c r="D16" s="624"/>
      <c r="E16" s="624"/>
      <c r="F16" s="422">
        <f>SUM(F14:F15)</f>
        <v>3735.2</v>
      </c>
      <c r="G16" s="422">
        <f>SUM(G14:G15)</f>
        <v>3735.2</v>
      </c>
      <c r="H16" s="422">
        <f>SUM(H14:H15)</f>
        <v>0</v>
      </c>
      <c r="I16" s="422">
        <f>SUM(I14:I15)</f>
        <v>0</v>
      </c>
      <c r="J16" s="423">
        <f>SUM(J14:J15)</f>
        <v>0</v>
      </c>
    </row>
    <row r="17" spans="1:12" ht="19.5" customHeight="1">
      <c r="A17" s="625" t="s">
        <v>526</v>
      </c>
      <c r="B17" s="625"/>
      <c r="C17" s="625"/>
      <c r="D17" s="625"/>
      <c r="E17" s="625"/>
      <c r="F17" s="625"/>
      <c r="G17" s="625"/>
      <c r="H17" s="625"/>
      <c r="I17" s="625"/>
      <c r="J17" s="625"/>
    </row>
    <row r="18" spans="1:12" ht="19.5" customHeight="1">
      <c r="A18" s="619" t="s">
        <v>527</v>
      </c>
      <c r="B18" s="619"/>
      <c r="C18" s="39" t="s">
        <v>370</v>
      </c>
      <c r="D18" s="626" t="s">
        <v>548</v>
      </c>
      <c r="E18" s="626"/>
      <c r="F18" s="627" t="s">
        <v>371</v>
      </c>
      <c r="G18" s="627"/>
      <c r="H18" s="627"/>
      <c r="I18" s="627"/>
      <c r="J18" s="627"/>
    </row>
    <row r="19" spans="1:12" ht="19.5" customHeight="1">
      <c r="A19" s="610" t="s">
        <v>529</v>
      </c>
      <c r="B19" s="610"/>
      <c r="C19" s="424"/>
      <c r="D19" s="424"/>
      <c r="E19" s="424"/>
      <c r="F19" s="415">
        <f>Dados!$N$10</f>
        <v>36.47</v>
      </c>
      <c r="G19" s="415">
        <f t="shared" ref="G19:G24" si="0">F19</f>
        <v>36.47</v>
      </c>
      <c r="H19" s="415"/>
      <c r="I19" s="415"/>
      <c r="J19" s="416"/>
    </row>
    <row r="20" spans="1:12" ht="19.5" customHeight="1">
      <c r="A20" s="610" t="s">
        <v>530</v>
      </c>
      <c r="B20" s="610"/>
      <c r="C20" s="424"/>
      <c r="D20" s="424"/>
      <c r="E20" s="424"/>
      <c r="F20" s="415">
        <f>Dados!$G$31</f>
        <v>7.2</v>
      </c>
      <c r="G20" s="415">
        <f t="shared" si="0"/>
        <v>7.2</v>
      </c>
      <c r="H20" s="415"/>
      <c r="I20" s="415"/>
      <c r="J20" s="416"/>
    </row>
    <row r="21" spans="1:12" ht="23.25" customHeight="1">
      <c r="A21" s="623" t="s">
        <v>531</v>
      </c>
      <c r="B21" s="623"/>
      <c r="C21" s="424"/>
      <c r="D21" s="424"/>
      <c r="E21" s="424"/>
      <c r="F21" s="415">
        <f>Dados!G32</f>
        <v>48.43</v>
      </c>
      <c r="G21" s="415">
        <f t="shared" si="0"/>
        <v>48.43</v>
      </c>
      <c r="H21" s="415"/>
      <c r="I21" s="415"/>
      <c r="J21" s="416"/>
    </row>
    <row r="22" spans="1:12" ht="19.5" customHeight="1">
      <c r="A22" s="610" t="s">
        <v>221</v>
      </c>
      <c r="B22" s="610"/>
      <c r="C22" s="301">
        <f>Dados!$G$35</f>
        <v>22</v>
      </c>
      <c r="D22" s="301">
        <f>Dados!$G$34</f>
        <v>2</v>
      </c>
      <c r="E22" s="424">
        <f>Dados!$G$33</f>
        <v>5</v>
      </c>
      <c r="F22" s="415">
        <f>IF(ROUND((E22*D22*C22)-(F11*Dados!$G$36),2)&lt;0,0,ROUND((E22*D22*C22)-(F11*Dados!$G$36),2))</f>
        <v>92.95</v>
      </c>
      <c r="G22" s="415">
        <f t="shared" si="0"/>
        <v>92.95</v>
      </c>
      <c r="H22" s="415"/>
      <c r="I22" s="415">
        <f>F22</f>
        <v>92.95</v>
      </c>
      <c r="J22" s="416"/>
    </row>
    <row r="23" spans="1:12" ht="19.5" customHeight="1">
      <c r="A23" s="610" t="s">
        <v>230</v>
      </c>
      <c r="B23" s="610"/>
      <c r="C23" s="301">
        <f>Dados!G38</f>
        <v>22</v>
      </c>
      <c r="D23" s="302">
        <f>Dados!G39</f>
        <v>0.2</v>
      </c>
      <c r="E23" s="424">
        <f>Dados!$G$37</f>
        <v>27.24</v>
      </c>
      <c r="F23" s="223">
        <f>ROUND((IF(D11&gt;150,((C23*E23)-(C23*(D23*E23))),0)),2)</f>
        <v>479.42</v>
      </c>
      <c r="G23" s="415">
        <f t="shared" si="0"/>
        <v>479.42</v>
      </c>
      <c r="H23" s="415">
        <f>$F$23</f>
        <v>479.42</v>
      </c>
      <c r="I23" s="223"/>
      <c r="J23" s="416"/>
    </row>
    <row r="24" spans="1:12" ht="19.5" customHeight="1">
      <c r="A24" s="610" t="s">
        <v>181</v>
      </c>
      <c r="B24" s="610"/>
      <c r="C24" s="301"/>
      <c r="D24" s="301"/>
      <c r="E24" s="424"/>
      <c r="F24" s="223">
        <f>Dados!R10</f>
        <v>4.17</v>
      </c>
      <c r="G24" s="415">
        <f t="shared" si="0"/>
        <v>4.17</v>
      </c>
      <c r="H24" s="415"/>
      <c r="I24" s="223"/>
      <c r="J24" s="416"/>
    </row>
    <row r="25" spans="1:12" ht="19.5" customHeight="1">
      <c r="A25" s="610" t="s">
        <v>233</v>
      </c>
      <c r="B25" s="610"/>
      <c r="C25" s="301"/>
      <c r="D25" s="301"/>
      <c r="E25" s="424"/>
      <c r="F25" s="223">
        <f>Dados!$G$41</f>
        <v>0</v>
      </c>
      <c r="G25" s="415"/>
      <c r="H25" s="415"/>
      <c r="I25" s="223"/>
      <c r="J25" s="416"/>
    </row>
    <row r="26" spans="1:12" ht="19.5" customHeight="1">
      <c r="A26" s="610" t="s">
        <v>532</v>
      </c>
      <c r="B26" s="610"/>
      <c r="C26" s="301"/>
      <c r="D26" s="424"/>
      <c r="E26" s="424"/>
      <c r="F26" s="415">
        <f>Dados!Q10</f>
        <v>0</v>
      </c>
      <c r="G26" s="415"/>
      <c r="H26" s="415"/>
      <c r="I26" s="415"/>
      <c r="J26" s="416"/>
      <c r="L26" s="51"/>
    </row>
    <row r="27" spans="1:12" ht="19.5" customHeight="1">
      <c r="A27" s="425" t="s">
        <v>533</v>
      </c>
      <c r="B27" s="426"/>
      <c r="C27" s="301"/>
      <c r="D27" s="424"/>
      <c r="E27" s="424"/>
      <c r="F27" s="415"/>
      <c r="G27" s="415"/>
      <c r="H27" s="415"/>
      <c r="I27" s="415"/>
      <c r="J27" s="416"/>
    </row>
    <row r="28" spans="1:12" ht="19.5" customHeight="1">
      <c r="A28" s="622" t="s">
        <v>534</v>
      </c>
      <c r="B28" s="622"/>
      <c r="C28" s="303"/>
      <c r="D28" s="427"/>
      <c r="E28" s="427"/>
      <c r="F28" s="418">
        <f>Dados!S10</f>
        <v>0</v>
      </c>
      <c r="G28" s="418">
        <f>F28</f>
        <v>0</v>
      </c>
      <c r="H28" s="418"/>
      <c r="I28" s="418"/>
      <c r="J28" s="419"/>
    </row>
    <row r="29" spans="1:12" ht="19.5" customHeight="1">
      <c r="A29" s="617" t="s">
        <v>535</v>
      </c>
      <c r="B29" s="617"/>
      <c r="C29" s="617"/>
      <c r="D29" s="617"/>
      <c r="E29" s="617"/>
      <c r="F29" s="422">
        <f>SUM(F19:F28)</f>
        <v>668.64</v>
      </c>
      <c r="G29" s="422">
        <f>SUM(G19:G28)</f>
        <v>668.64</v>
      </c>
      <c r="H29" s="422">
        <f>SUM(H19:H28)</f>
        <v>479.42</v>
      </c>
      <c r="I29" s="422">
        <f>SUM(I19:I28)</f>
        <v>92.95</v>
      </c>
      <c r="J29" s="423">
        <f>SUM(J19:J28)</f>
        <v>0</v>
      </c>
    </row>
    <row r="30" spans="1:12" ht="19.5" customHeight="1">
      <c r="A30" s="617" t="s">
        <v>536</v>
      </c>
      <c r="B30" s="617"/>
      <c r="C30" s="617"/>
      <c r="D30" s="617"/>
      <c r="E30" s="617"/>
      <c r="F30" s="422">
        <f>F16+F29</f>
        <v>4403.84</v>
      </c>
      <c r="G30" s="422">
        <f>G16+G29</f>
        <v>4403.84</v>
      </c>
      <c r="H30" s="422">
        <f>H16+H29</f>
        <v>479.42</v>
      </c>
      <c r="I30" s="422">
        <f>I16+I29</f>
        <v>92.95</v>
      </c>
      <c r="J30" s="423">
        <f>J16+J29</f>
        <v>0</v>
      </c>
    </row>
    <row r="31" spans="1:12" ht="19.5" customHeight="1">
      <c r="A31" s="618" t="s">
        <v>537</v>
      </c>
      <c r="B31" s="618"/>
      <c r="C31" s="618"/>
      <c r="D31" s="618"/>
      <c r="E31" s="618"/>
      <c r="F31" s="618"/>
      <c r="G31" s="618"/>
      <c r="H31" s="618"/>
      <c r="I31" s="618"/>
      <c r="J31" s="618"/>
    </row>
    <row r="32" spans="1:12" ht="19.5" customHeight="1">
      <c r="A32" s="619" t="s">
        <v>538</v>
      </c>
      <c r="B32" s="619"/>
      <c r="C32" s="619"/>
      <c r="D32" s="73" t="s">
        <v>539</v>
      </c>
      <c r="E32" s="620" t="s">
        <v>371</v>
      </c>
      <c r="F32" s="620"/>
      <c r="G32" s="620"/>
      <c r="H32" s="620"/>
      <c r="I32" s="620"/>
      <c r="J32" s="620"/>
    </row>
    <row r="33" spans="1:12" ht="19.5" customHeight="1">
      <c r="A33" s="428" t="s">
        <v>540</v>
      </c>
      <c r="B33" s="429"/>
      <c r="C33" s="429"/>
      <c r="D33" s="430">
        <f>Dados!$G$44</f>
        <v>0.03</v>
      </c>
      <c r="E33" s="431"/>
      <c r="F33" s="415">
        <f>ROUND((F30*$D$33),2)</f>
        <v>132.12</v>
      </c>
      <c r="G33" s="415">
        <f>ROUND((G30*$D$33),2)</f>
        <v>132.12</v>
      </c>
      <c r="H33" s="415">
        <f>ROUND((H30*$D$33),2)</f>
        <v>14.38</v>
      </c>
      <c r="I33" s="415">
        <f>ROUND((I30*$D$33),2)</f>
        <v>2.79</v>
      </c>
      <c r="J33" s="416">
        <f>ROUND((J30*$D$33),2)</f>
        <v>0</v>
      </c>
    </row>
    <row r="34" spans="1:12" ht="19.5" customHeight="1">
      <c r="A34" s="621" t="s">
        <v>541</v>
      </c>
      <c r="B34" s="621"/>
      <c r="C34" s="621"/>
      <c r="D34" s="430"/>
      <c r="E34" s="431"/>
      <c r="F34" s="415">
        <f>F30+F33</f>
        <v>4535.96</v>
      </c>
      <c r="G34" s="415">
        <f>G30+G33</f>
        <v>4535.96</v>
      </c>
      <c r="H34" s="415">
        <f>H30+H33</f>
        <v>493.8</v>
      </c>
      <c r="I34" s="415">
        <f>I30+I33</f>
        <v>95.740000000000009</v>
      </c>
      <c r="J34" s="416">
        <f>J30+J33</f>
        <v>0</v>
      </c>
    </row>
    <row r="35" spans="1:12" ht="19.5" customHeight="1">
      <c r="A35" s="432" t="s">
        <v>238</v>
      </c>
      <c r="B35" s="433"/>
      <c r="C35" s="433"/>
      <c r="D35" s="434">
        <f>Dados!$G$45</f>
        <v>6.7900000000000002E-2</v>
      </c>
      <c r="E35" s="435"/>
      <c r="F35" s="418">
        <f>ROUND((F34*$D$35),2)</f>
        <v>307.99</v>
      </c>
      <c r="G35" s="418">
        <f>ROUND((G34*$D$35),2)</f>
        <v>307.99</v>
      </c>
      <c r="H35" s="418">
        <f>ROUND((H34*$D$35),2)</f>
        <v>33.53</v>
      </c>
      <c r="I35" s="418">
        <f>ROUND((I34*$D$35),2)</f>
        <v>6.5</v>
      </c>
      <c r="J35" s="419">
        <f>ROUND((J34*$D$35),2)</f>
        <v>0</v>
      </c>
    </row>
    <row r="36" spans="1:12" ht="19.5" customHeight="1">
      <c r="A36" s="436" t="s">
        <v>542</v>
      </c>
      <c r="B36" s="437"/>
      <c r="C36" s="437"/>
      <c r="D36" s="438">
        <f>SUM(D33:D35)</f>
        <v>9.7900000000000001E-2</v>
      </c>
      <c r="E36" s="439"/>
      <c r="F36" s="422">
        <f>F33+F35</f>
        <v>440.11</v>
      </c>
      <c r="G36" s="422">
        <f>G33+G35</f>
        <v>440.11</v>
      </c>
      <c r="H36" s="422">
        <f>H33+H35</f>
        <v>47.910000000000004</v>
      </c>
      <c r="I36" s="422">
        <f>I33+I35</f>
        <v>9.2899999999999991</v>
      </c>
      <c r="J36" s="423">
        <f>J33+J35</f>
        <v>0</v>
      </c>
    </row>
    <row r="37" spans="1:12" ht="19.5" customHeight="1">
      <c r="A37" s="615" t="s">
        <v>543</v>
      </c>
      <c r="B37" s="615"/>
      <c r="C37" s="615"/>
      <c r="D37" s="615"/>
      <c r="E37" s="615"/>
      <c r="F37" s="440">
        <f>F30+F36</f>
        <v>4843.95</v>
      </c>
      <c r="G37" s="440">
        <f>G30+G36</f>
        <v>4843.95</v>
      </c>
      <c r="H37" s="440">
        <f>H30+H36</f>
        <v>527.33000000000004</v>
      </c>
      <c r="I37" s="440">
        <f>I30+I36</f>
        <v>102.24000000000001</v>
      </c>
      <c r="J37" s="441">
        <f>J30+J36</f>
        <v>0</v>
      </c>
    </row>
    <row r="38" spans="1:12" ht="19.5" customHeight="1">
      <c r="A38" s="616" t="s">
        <v>544</v>
      </c>
      <c r="B38" s="616"/>
      <c r="C38" s="616"/>
      <c r="D38" s="616"/>
      <c r="E38" s="616"/>
      <c r="F38" s="616"/>
      <c r="G38" s="616"/>
      <c r="H38" s="616"/>
      <c r="I38" s="616"/>
      <c r="J38" s="616"/>
    </row>
    <row r="39" spans="1:12" ht="19.5" customHeight="1">
      <c r="A39" s="610" t="s">
        <v>244</v>
      </c>
      <c r="B39" s="610"/>
      <c r="C39" s="610"/>
      <c r="D39" s="430">
        <f>Dados!G52</f>
        <v>7.5999999999999998E-2</v>
      </c>
      <c r="E39" s="415"/>
      <c r="F39" s="415">
        <f>ROUND(($F$45*D39),2)</f>
        <v>419.53</v>
      </c>
      <c r="G39" s="415">
        <f>ROUND((G45*$D$39),2)</f>
        <v>419.53</v>
      </c>
      <c r="H39" s="415">
        <f>ROUND((H45*$D$39),2)</f>
        <v>45.67</v>
      </c>
      <c r="I39" s="415">
        <f>ROUND((I45*$D$39),2)</f>
        <v>8.85</v>
      </c>
      <c r="J39" s="416">
        <f>ROUND((J45*$D$39),2)</f>
        <v>0</v>
      </c>
    </row>
    <row r="40" spans="1:12" ht="19.5" customHeight="1">
      <c r="A40" s="610" t="s">
        <v>246</v>
      </c>
      <c r="B40" s="610"/>
      <c r="C40" s="610"/>
      <c r="D40" s="430">
        <f>Dados!G53</f>
        <v>1.6500000000000001E-2</v>
      </c>
      <c r="E40" s="415"/>
      <c r="F40" s="415">
        <f>ROUND((F45*$D$40),2)</f>
        <v>91.08</v>
      </c>
      <c r="G40" s="415">
        <f>ROUND((G45*$D$40),2)</f>
        <v>91.08</v>
      </c>
      <c r="H40" s="415">
        <f>ROUND((H45*$D$40),2)</f>
        <v>9.92</v>
      </c>
      <c r="I40" s="415">
        <f>ROUND((I45*$D$40),2)</f>
        <v>1.92</v>
      </c>
      <c r="J40" s="416">
        <f>ROUND((J45*$D$40),2)</f>
        <v>0</v>
      </c>
    </row>
    <row r="41" spans="1:12" ht="19.5" customHeight="1">
      <c r="A41" s="610" t="s">
        <v>247</v>
      </c>
      <c r="B41" s="610"/>
      <c r="C41" s="610"/>
      <c r="D41" s="430">
        <f>Dados!G54</f>
        <v>0.03</v>
      </c>
      <c r="E41" s="415"/>
      <c r="F41" s="415">
        <f>ROUND((F45*$D$41),2)</f>
        <v>165.61</v>
      </c>
      <c r="G41" s="415">
        <f>ROUND((G45*$D$41),2)</f>
        <v>165.61</v>
      </c>
      <c r="H41" s="415">
        <f>ROUND((H45*$D$41),2)</f>
        <v>18.03</v>
      </c>
      <c r="I41" s="415">
        <f>ROUND((I45*$D$41),2)</f>
        <v>3.5</v>
      </c>
      <c r="J41" s="416">
        <f>ROUND((J45*$D$41),2)</f>
        <v>0</v>
      </c>
    </row>
    <row r="42" spans="1:12" ht="19.5" customHeight="1">
      <c r="A42" s="610" t="s">
        <v>233</v>
      </c>
      <c r="B42" s="610"/>
      <c r="C42" s="610"/>
      <c r="D42" s="430">
        <f>Dados!G55</f>
        <v>0</v>
      </c>
      <c r="E42" s="415"/>
      <c r="F42" s="415">
        <f>ROUND((F45*$D$42),2)</f>
        <v>0</v>
      </c>
      <c r="G42" s="415">
        <f>ROUND((G45*$D$42),2)</f>
        <v>0</v>
      </c>
      <c r="H42" s="415">
        <f>ROUND((H45*$D$42),2)</f>
        <v>0</v>
      </c>
      <c r="I42" s="415">
        <f>ROUND((I45*$D$42),2)</f>
        <v>0</v>
      </c>
      <c r="J42" s="416">
        <f>ROUND((J45*$D$42),2)</f>
        <v>0</v>
      </c>
    </row>
    <row r="43" spans="1:12" ht="19.5" customHeight="1">
      <c r="A43" s="611" t="s">
        <v>545</v>
      </c>
      <c r="B43" s="611"/>
      <c r="C43" s="611"/>
      <c r="D43" s="442">
        <f>SUM(D39:D42)</f>
        <v>0.1225</v>
      </c>
      <c r="E43" s="443"/>
      <c r="F43" s="444">
        <f>SUM(F39:F42)</f>
        <v>676.22</v>
      </c>
      <c r="G43" s="444">
        <f>SUM(G39:G42)</f>
        <v>676.22</v>
      </c>
      <c r="H43" s="444">
        <f>SUM(H39:H42)</f>
        <v>73.62</v>
      </c>
      <c r="I43" s="444">
        <f>SUM(I39:I42)</f>
        <v>14.27</v>
      </c>
      <c r="J43" s="445">
        <f>SUM(J39:J41)</f>
        <v>0</v>
      </c>
    </row>
    <row r="44" spans="1:12" ht="19.5" customHeight="1">
      <c r="A44" s="612" t="str">
        <f>CONCATENATE("Custo Mensal - ",A7)</f>
        <v>Custo Mensal - Zelador</v>
      </c>
      <c r="B44" s="612"/>
      <c r="C44" s="612"/>
      <c r="D44" s="612"/>
      <c r="E44" s="612"/>
      <c r="F44" s="446">
        <f>ROUND(F37/(1-D43),2)</f>
        <v>5520.17</v>
      </c>
      <c r="G44" s="446">
        <f>ROUND(G37/(1-D43),2)</f>
        <v>5520.17</v>
      </c>
      <c r="H44" s="446">
        <f>ROUND(H37/(1-D43),2)</f>
        <v>600.95000000000005</v>
      </c>
      <c r="I44" s="446">
        <f>ROUND(I37/(1-D43),2)</f>
        <v>116.51</v>
      </c>
      <c r="J44" s="447">
        <f>ROUND(J37/(1-D43),2)</f>
        <v>0</v>
      </c>
    </row>
    <row r="45" spans="1:12" ht="19.5" customHeight="1">
      <c r="A45" s="613" t="str">
        <f>CONCATENATE("Valor do Custo Mensal - ",A7)</f>
        <v>Valor do Custo Mensal - Zelador</v>
      </c>
      <c r="B45" s="613"/>
      <c r="C45" s="613"/>
      <c r="D45" s="613"/>
      <c r="E45" s="613"/>
      <c r="F45" s="446">
        <f>F44</f>
        <v>5520.17</v>
      </c>
      <c r="G45" s="446">
        <f>G44</f>
        <v>5520.17</v>
      </c>
      <c r="H45" s="446">
        <f>H44</f>
        <v>600.95000000000005</v>
      </c>
      <c r="I45" s="446">
        <f>I44</f>
        <v>116.51</v>
      </c>
      <c r="J45" s="447">
        <f>J44</f>
        <v>0</v>
      </c>
      <c r="K45" s="304"/>
      <c r="L45" s="304"/>
    </row>
    <row r="46" spans="1:12" ht="27.75" customHeight="1">
      <c r="A46" s="614" t="s">
        <v>546</v>
      </c>
      <c r="B46" s="614"/>
      <c r="C46" s="614"/>
      <c r="D46" s="614"/>
      <c r="E46" s="614"/>
      <c r="F46" s="448">
        <f>(F45/F14)</f>
        <v>2.6069772274328677</v>
      </c>
      <c r="G46" s="448">
        <f>(G45/G14)</f>
        <v>2.6069772274328677</v>
      </c>
      <c r="H46" s="609" t="s">
        <v>547</v>
      </c>
      <c r="I46" s="609"/>
      <c r="J46" s="305">
        <v>0</v>
      </c>
    </row>
    <row r="47" spans="1:12" ht="19.5" customHeight="1"/>
  </sheetData>
  <sheetProtection algorithmName="SHA-512" hashValue="n/o1VsDW4usrFrk98HWq5quqGamj3JGbc8mYBiO5xSlkEj91cuOUfX8LsFK22EeLXdnKv8D5bPEmDESydh5nNg==" saltValue="+fU3zjDwaWCvYfiDbYFehw==" spinCount="100000"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Normal="100" zoomScaleSheetLayoutView="100" zoomScalePageLayoutView="140" workbookViewId="0">
      <selection activeCell="M25" sqref="M25"/>
    </sheetView>
  </sheetViews>
  <sheetFormatPr defaultColWidth="8.6640625" defaultRowHeight="14.4"/>
  <cols>
    <col min="1" max="1" width="10.5546875" style="62" customWidth="1"/>
    <col min="2" max="2" width="27.6640625" style="62" customWidth="1"/>
    <col min="3" max="3" width="14.44140625" style="62" customWidth="1"/>
    <col min="4" max="5" width="15" style="62" customWidth="1"/>
    <col min="6" max="6" width="16.6640625" style="291" customWidth="1"/>
    <col min="7" max="8" width="13.109375" style="291" customWidth="1"/>
    <col min="9" max="10" width="12.5546875" style="291" customWidth="1"/>
    <col min="11" max="257" width="9.109375" style="62" customWidth="1"/>
    <col min="258" max="258" width="10.5546875" style="62" customWidth="1"/>
    <col min="259" max="259" width="27.6640625" style="62" customWidth="1"/>
    <col min="260" max="260" width="14.44140625" style="62" customWidth="1"/>
    <col min="261" max="262" width="15" style="62" customWidth="1"/>
    <col min="263" max="263" width="16.6640625" style="62" customWidth="1"/>
    <col min="264" max="264" width="13.109375" style="62" customWidth="1"/>
    <col min="265" max="266" width="12.5546875" style="62" customWidth="1"/>
    <col min="267" max="513" width="9.109375" style="62" customWidth="1"/>
    <col min="514" max="514" width="10.5546875" style="62" customWidth="1"/>
    <col min="515" max="515" width="27.6640625" style="62" customWidth="1"/>
    <col min="516" max="516" width="14.44140625" style="62" customWidth="1"/>
    <col min="517" max="518" width="15" style="62" customWidth="1"/>
    <col min="519" max="519" width="16.6640625" style="62" customWidth="1"/>
    <col min="520" max="520" width="13.109375" style="62" customWidth="1"/>
    <col min="521" max="522" width="12.5546875" style="62" customWidth="1"/>
    <col min="523" max="769" width="9.109375" style="62" customWidth="1"/>
    <col min="770" max="770" width="10.5546875" style="62" customWidth="1"/>
    <col min="771" max="771" width="27.6640625" style="62" customWidth="1"/>
    <col min="772" max="772" width="14.44140625" style="62" customWidth="1"/>
    <col min="773" max="774" width="15" style="62" customWidth="1"/>
    <col min="775" max="775" width="16.6640625" style="62" customWidth="1"/>
    <col min="776" max="776" width="13.109375" style="62" customWidth="1"/>
    <col min="777" max="778" width="12.5546875" style="62" customWidth="1"/>
    <col min="779" max="1025" width="9.109375" style="62" customWidth="1"/>
  </cols>
  <sheetData>
    <row r="1" spans="1:10">
      <c r="A1" s="292"/>
      <c r="B1" s="89" t="str">
        <f>INSTRUÇÕES!B1</f>
        <v>Tribunal Regional Federal da 6ª Região</v>
      </c>
      <c r="C1" s="293"/>
      <c r="D1" s="293"/>
      <c r="E1" s="293"/>
      <c r="F1" s="294"/>
      <c r="G1" s="295"/>
      <c r="H1" s="295"/>
      <c r="I1" s="294"/>
      <c r="J1" s="296"/>
    </row>
    <row r="2" spans="1:10">
      <c r="A2" s="297"/>
      <c r="B2" s="91" t="str">
        <f>INSTRUÇÕES!B2</f>
        <v>Seção Judiciária de Minas Gerais</v>
      </c>
      <c r="C2" s="51"/>
      <c r="D2" s="51"/>
      <c r="E2" s="51"/>
      <c r="F2" s="298"/>
      <c r="I2" s="298"/>
      <c r="J2" s="299"/>
    </row>
    <row r="3" spans="1:10" ht="15" thickBot="1">
      <c r="A3" s="153"/>
      <c r="B3" s="300" t="str">
        <f>INSTRUÇÕES!B3</f>
        <v>Subseção Judiciária de Varginha</v>
      </c>
      <c r="C3" s="51"/>
      <c r="D3" s="51"/>
      <c r="E3" s="51"/>
      <c r="F3" s="298"/>
      <c r="I3" s="298"/>
      <c r="J3" s="299"/>
    </row>
    <row r="4" spans="1:10" ht="19.5" customHeight="1" thickBot="1">
      <c r="A4" s="633" t="s">
        <v>510</v>
      </c>
      <c r="B4" s="633"/>
      <c r="C4" s="633"/>
      <c r="D4" s="633"/>
      <c r="E4" s="633"/>
      <c r="F4" s="633"/>
      <c r="G4" s="633"/>
      <c r="H4" s="633"/>
      <c r="I4" s="633"/>
      <c r="J4" s="633"/>
    </row>
    <row r="5" spans="1:10" ht="19.5" customHeight="1">
      <c r="A5" s="634" t="s">
        <v>290</v>
      </c>
      <c r="B5" s="634"/>
      <c r="C5" s="634"/>
      <c r="D5" s="634"/>
      <c r="E5" s="634"/>
      <c r="F5" s="634"/>
      <c r="G5" s="634"/>
      <c r="H5" s="634"/>
      <c r="I5" s="634"/>
      <c r="J5" s="634"/>
    </row>
    <row r="6" spans="1:10" s="1" customFormat="1" ht="36" customHeight="1" thickBot="1">
      <c r="A6" s="635" t="str">
        <f>Dados!A4</f>
        <v>Sindicato utilizado - SEAC x SIEAP. Vigência: 2024. Sendo a data base da categoria 01° de Janeiro. Com número de registro no MTE MG000705/2024.</v>
      </c>
      <c r="B6" s="635"/>
      <c r="C6" s="635"/>
      <c r="D6" s="635"/>
      <c r="E6" s="635"/>
      <c r="F6" s="635"/>
      <c r="G6" s="635"/>
      <c r="H6" s="635"/>
      <c r="I6" s="635"/>
      <c r="J6" s="635"/>
    </row>
    <row r="7" spans="1:10" ht="19.5" customHeight="1" thickBot="1">
      <c r="A7" s="636" t="str">
        <f>Dados!C11</f>
        <v>Assistente Administrativo</v>
      </c>
      <c r="B7" s="636"/>
      <c r="C7" s="636"/>
      <c r="D7" s="636"/>
      <c r="E7" s="636"/>
      <c r="F7" s="637" t="s">
        <v>511</v>
      </c>
      <c r="G7" s="637" t="s">
        <v>512</v>
      </c>
      <c r="H7" s="637" t="s">
        <v>513</v>
      </c>
      <c r="I7" s="637" t="s">
        <v>514</v>
      </c>
      <c r="J7" s="637" t="s">
        <v>515</v>
      </c>
    </row>
    <row r="8" spans="1:10" ht="19.5" customHeight="1" thickBot="1">
      <c r="A8" s="638" t="s">
        <v>549</v>
      </c>
      <c r="B8" s="638"/>
      <c r="C8" s="638"/>
      <c r="D8" s="638"/>
      <c r="E8" s="411" t="s">
        <v>367</v>
      </c>
      <c r="F8" s="637"/>
      <c r="G8" s="637"/>
      <c r="H8" s="637"/>
      <c r="I8" s="637"/>
      <c r="J8" s="637"/>
    </row>
    <row r="9" spans="1:10" ht="19.5" customHeight="1">
      <c r="A9" s="618" t="s">
        <v>517</v>
      </c>
      <c r="B9" s="618"/>
      <c r="C9" s="618"/>
      <c r="D9" s="618"/>
      <c r="E9" s="618"/>
      <c r="F9" s="618"/>
      <c r="G9" s="618"/>
      <c r="H9" s="618"/>
      <c r="I9" s="618"/>
      <c r="J9" s="618"/>
    </row>
    <row r="10" spans="1:10" ht="24" customHeight="1">
      <c r="A10" s="158" t="s">
        <v>368</v>
      </c>
      <c r="B10" s="628" t="s">
        <v>518</v>
      </c>
      <c r="C10" s="628"/>
      <c r="D10" s="412" t="s">
        <v>519</v>
      </c>
      <c r="E10" s="413" t="s">
        <v>520</v>
      </c>
      <c r="F10" s="629" t="s">
        <v>371</v>
      </c>
      <c r="G10" s="629"/>
      <c r="H10" s="629"/>
      <c r="I10" s="629"/>
      <c r="J10" s="629"/>
    </row>
    <row r="11" spans="1:10" ht="19.5" customHeight="1">
      <c r="A11" s="630">
        <v>1</v>
      </c>
      <c r="B11" s="518" t="str">
        <f>A7</f>
        <v>Assistente Administrativo</v>
      </c>
      <c r="C11" s="518"/>
      <c r="D11" s="28">
        <f>Dados!$D$11</f>
        <v>150</v>
      </c>
      <c r="E11" s="414">
        <f>Dados!E11</f>
        <v>1754.8</v>
      </c>
      <c r="F11" s="415">
        <f>ROUND(E11/220*D11,2)</f>
        <v>1196.45</v>
      </c>
      <c r="G11" s="415">
        <f>F11</f>
        <v>1196.45</v>
      </c>
      <c r="H11" s="415"/>
      <c r="I11" s="415"/>
      <c r="J11" s="416"/>
    </row>
    <row r="12" spans="1:10" ht="19.5" customHeight="1">
      <c r="A12" s="630"/>
      <c r="B12" s="518" t="s">
        <v>521</v>
      </c>
      <c r="C12" s="518"/>
      <c r="D12" s="452">
        <f>Dados!G8</f>
        <v>0</v>
      </c>
      <c r="E12" s="414">
        <f>Dados!$G$28</f>
        <v>1412</v>
      </c>
      <c r="F12" s="415">
        <f>D12*E12</f>
        <v>0</v>
      </c>
      <c r="G12" s="415">
        <f>F12</f>
        <v>0</v>
      </c>
      <c r="H12" s="415"/>
      <c r="I12" s="415"/>
      <c r="J12" s="416">
        <f>F12</f>
        <v>0</v>
      </c>
    </row>
    <row r="13" spans="1:10" ht="21.75" customHeight="1">
      <c r="A13" s="630"/>
      <c r="B13" s="449" t="s">
        <v>522</v>
      </c>
      <c r="C13" s="450"/>
      <c r="D13" s="450"/>
      <c r="E13" s="417"/>
      <c r="F13" s="418">
        <f>ROUND((E13*D13*C13),2)</f>
        <v>0</v>
      </c>
      <c r="G13" s="418">
        <f>F13</f>
        <v>0</v>
      </c>
      <c r="H13" s="418"/>
      <c r="I13" s="418"/>
      <c r="J13" s="419"/>
    </row>
    <row r="14" spans="1:10" ht="19.5" customHeight="1">
      <c r="A14" s="630"/>
      <c r="B14" s="631" t="s">
        <v>523</v>
      </c>
      <c r="C14" s="631"/>
      <c r="D14" s="631"/>
      <c r="E14" s="631"/>
      <c r="F14" s="420">
        <f>SUM(F11:F13)</f>
        <v>1196.45</v>
      </c>
      <c r="G14" s="420">
        <f>SUM(G11:G13)</f>
        <v>1196.45</v>
      </c>
      <c r="H14" s="420">
        <f>SUM(H11:H13)</f>
        <v>0</v>
      </c>
      <c r="I14" s="420">
        <f>SUM(I11:I13)</f>
        <v>0</v>
      </c>
      <c r="J14" s="421">
        <f>SUM(J11:J13)</f>
        <v>0</v>
      </c>
    </row>
    <row r="15" spans="1:10" ht="19.5" customHeight="1" thickBot="1">
      <c r="A15" s="630"/>
      <c r="B15" s="632" t="s">
        <v>524</v>
      </c>
      <c r="C15" s="632"/>
      <c r="D15" s="632"/>
      <c r="E15" s="451">
        <f>Encargos!$C$57</f>
        <v>0.76400000000000001</v>
      </c>
      <c r="F15" s="415">
        <f>ROUND((E15*F14),2)</f>
        <v>914.09</v>
      </c>
      <c r="G15" s="415">
        <f>F15</f>
        <v>914.09</v>
      </c>
      <c r="H15" s="415"/>
      <c r="I15" s="415"/>
      <c r="J15" s="416">
        <f>ROUND((E15*J14),2)</f>
        <v>0</v>
      </c>
    </row>
    <row r="16" spans="1:10" ht="19.5" customHeight="1" thickBot="1">
      <c r="A16" s="624" t="s">
        <v>525</v>
      </c>
      <c r="B16" s="624"/>
      <c r="C16" s="624"/>
      <c r="D16" s="624"/>
      <c r="E16" s="624"/>
      <c r="F16" s="422">
        <f>SUM(F14:F15)</f>
        <v>2110.54</v>
      </c>
      <c r="G16" s="422">
        <f>SUM(G14:G15)</f>
        <v>2110.54</v>
      </c>
      <c r="H16" s="422">
        <f>SUM(H14:H15)</f>
        <v>0</v>
      </c>
      <c r="I16" s="422">
        <f>SUM(I14:I15)</f>
        <v>0</v>
      </c>
      <c r="J16" s="423">
        <f>SUM(J14:J15)</f>
        <v>0</v>
      </c>
    </row>
    <row r="17" spans="1:12" ht="19.5" customHeight="1">
      <c r="A17" s="625" t="s">
        <v>526</v>
      </c>
      <c r="B17" s="625"/>
      <c r="C17" s="625"/>
      <c r="D17" s="625"/>
      <c r="E17" s="625"/>
      <c r="F17" s="625"/>
      <c r="G17" s="625"/>
      <c r="H17" s="625"/>
      <c r="I17" s="625"/>
      <c r="J17" s="625"/>
    </row>
    <row r="18" spans="1:12" ht="19.5" customHeight="1">
      <c r="A18" s="619" t="s">
        <v>527</v>
      </c>
      <c r="B18" s="619"/>
      <c r="C18" s="39" t="s">
        <v>370</v>
      </c>
      <c r="D18" s="626" t="s">
        <v>548</v>
      </c>
      <c r="E18" s="626"/>
      <c r="F18" s="627" t="s">
        <v>371</v>
      </c>
      <c r="G18" s="627"/>
      <c r="H18" s="627"/>
      <c r="I18" s="627"/>
      <c r="J18" s="627"/>
    </row>
    <row r="19" spans="1:12" ht="19.5" customHeight="1">
      <c r="A19" s="610" t="s">
        <v>529</v>
      </c>
      <c r="B19" s="610"/>
      <c r="C19" s="424"/>
      <c r="D19" s="424"/>
      <c r="E19" s="424"/>
      <c r="F19" s="415">
        <f>Dados!$N$11</f>
        <v>44.69</v>
      </c>
      <c r="G19" s="415">
        <f>F19</f>
        <v>44.69</v>
      </c>
      <c r="H19" s="415"/>
      <c r="I19" s="415"/>
      <c r="J19" s="416"/>
    </row>
    <row r="20" spans="1:12" ht="19.5" customHeight="1">
      <c r="A20" s="610" t="s">
        <v>530</v>
      </c>
      <c r="B20" s="610"/>
      <c r="C20" s="424"/>
      <c r="D20" s="424"/>
      <c r="E20" s="424"/>
      <c r="F20" s="415">
        <f>Dados!$G$31</f>
        <v>7.2</v>
      </c>
      <c r="G20" s="415">
        <f>F20</f>
        <v>7.2</v>
      </c>
      <c r="H20" s="415"/>
      <c r="I20" s="415"/>
      <c r="J20" s="416"/>
    </row>
    <row r="21" spans="1:12" ht="23.25" customHeight="1">
      <c r="A21" s="623" t="s">
        <v>531</v>
      </c>
      <c r="B21" s="623"/>
      <c r="C21" s="424"/>
      <c r="D21" s="424"/>
      <c r="E21" s="424"/>
      <c r="F21" s="415">
        <f>Dados!G32</f>
        <v>48.43</v>
      </c>
      <c r="G21" s="415">
        <f>F21</f>
        <v>48.43</v>
      </c>
      <c r="H21" s="415"/>
      <c r="I21" s="415"/>
      <c r="J21" s="416"/>
    </row>
    <row r="22" spans="1:12" ht="19.5" customHeight="1">
      <c r="A22" s="610" t="s">
        <v>221</v>
      </c>
      <c r="B22" s="610"/>
      <c r="C22" s="301">
        <f>Dados!$G$35</f>
        <v>22</v>
      </c>
      <c r="D22" s="301">
        <f>Dados!$G$34</f>
        <v>2</v>
      </c>
      <c r="E22" s="424">
        <f>Dados!$G$33</f>
        <v>5</v>
      </c>
      <c r="F22" s="415">
        <f>IF(ROUND((E22*D22*C22)-(F11*Dados!$G$36),2)&lt;0,0,ROUND((E22*D22*C22)-(F11*Dados!$G$36),2))</f>
        <v>148.21</v>
      </c>
      <c r="G22" s="415">
        <f>F22</f>
        <v>148.21</v>
      </c>
      <c r="H22" s="415"/>
      <c r="I22" s="415">
        <f>F22</f>
        <v>148.21</v>
      </c>
      <c r="J22" s="416"/>
    </row>
    <row r="23" spans="1:12" ht="19.5" customHeight="1">
      <c r="A23" s="610" t="s">
        <v>230</v>
      </c>
      <c r="B23" s="610"/>
      <c r="C23" s="301">
        <f>Dados!G38</f>
        <v>22</v>
      </c>
      <c r="D23" s="302">
        <f>Dados!G39</f>
        <v>0.2</v>
      </c>
      <c r="E23" s="424">
        <f>Dados!$G$37</f>
        <v>27.24</v>
      </c>
      <c r="F23" s="223">
        <f>ROUND((IF(D11&gt;150,((C23*E23)-(C23*(D23*E23))),0)),2)</f>
        <v>0</v>
      </c>
      <c r="G23" s="415">
        <f>F23</f>
        <v>0</v>
      </c>
      <c r="H23" s="415">
        <f>$F$23</f>
        <v>0</v>
      </c>
      <c r="I23" s="223"/>
      <c r="J23" s="416"/>
    </row>
    <row r="24" spans="1:12" ht="19.5" customHeight="1">
      <c r="A24" s="610" t="s">
        <v>233</v>
      </c>
      <c r="B24" s="610"/>
      <c r="C24" s="301"/>
      <c r="D24" s="301"/>
      <c r="E24" s="424"/>
      <c r="F24" s="223">
        <f>Dados!$G$40</f>
        <v>0</v>
      </c>
      <c r="G24" s="415"/>
      <c r="H24" s="415"/>
      <c r="I24" s="223"/>
      <c r="J24" s="416"/>
    </row>
    <row r="25" spans="1:12" ht="19.5" customHeight="1">
      <c r="A25" s="610" t="s">
        <v>233</v>
      </c>
      <c r="B25" s="610"/>
      <c r="C25" s="301"/>
      <c r="D25" s="301"/>
      <c r="E25" s="424"/>
      <c r="F25" s="223">
        <f>Dados!$G$41</f>
        <v>0</v>
      </c>
      <c r="G25" s="415"/>
      <c r="H25" s="415"/>
      <c r="I25" s="223"/>
      <c r="J25" s="416"/>
    </row>
    <row r="26" spans="1:12" ht="19.5" customHeight="1">
      <c r="A26" s="610" t="s">
        <v>532</v>
      </c>
      <c r="B26" s="610"/>
      <c r="C26" s="301"/>
      <c r="D26" s="424"/>
      <c r="E26" s="424"/>
      <c r="F26" s="415"/>
      <c r="G26" s="415"/>
      <c r="H26" s="415"/>
      <c r="I26" s="415"/>
      <c r="J26" s="416"/>
      <c r="L26" s="51"/>
    </row>
    <row r="27" spans="1:12" ht="19.5" customHeight="1">
      <c r="A27" s="425" t="s">
        <v>533</v>
      </c>
      <c r="B27" s="426"/>
      <c r="C27" s="301"/>
      <c r="D27" s="424"/>
      <c r="E27" s="424"/>
      <c r="F27" s="415"/>
      <c r="G27" s="415"/>
      <c r="H27" s="415"/>
      <c r="I27" s="415"/>
      <c r="J27" s="416"/>
    </row>
    <row r="28" spans="1:12" ht="19.5" customHeight="1" thickBot="1">
      <c r="A28" s="622" t="s">
        <v>534</v>
      </c>
      <c r="B28" s="622"/>
      <c r="C28" s="303"/>
      <c r="D28" s="427"/>
      <c r="E28" s="427"/>
      <c r="F28" s="418"/>
      <c r="G28" s="418"/>
      <c r="H28" s="418"/>
      <c r="I28" s="418"/>
      <c r="J28" s="419"/>
    </row>
    <row r="29" spans="1:12" ht="19.5" customHeight="1" thickBot="1">
      <c r="A29" s="617" t="s">
        <v>535</v>
      </c>
      <c r="B29" s="617"/>
      <c r="C29" s="617"/>
      <c r="D29" s="617"/>
      <c r="E29" s="617"/>
      <c r="F29" s="422">
        <f>SUM(F19:F28)</f>
        <v>248.53</v>
      </c>
      <c r="G29" s="422">
        <f>SUM(G19:G28)</f>
        <v>248.53</v>
      </c>
      <c r="H29" s="422">
        <f>SUM(H19:H28)</f>
        <v>0</v>
      </c>
      <c r="I29" s="422">
        <f>SUM(I19:I28)</f>
        <v>148.21</v>
      </c>
      <c r="J29" s="423">
        <f>SUM(J19:J28)</f>
        <v>0</v>
      </c>
    </row>
    <row r="30" spans="1:12" ht="19.5" customHeight="1" thickBot="1">
      <c r="A30" s="617" t="s">
        <v>536</v>
      </c>
      <c r="B30" s="617"/>
      <c r="C30" s="617"/>
      <c r="D30" s="617"/>
      <c r="E30" s="617"/>
      <c r="F30" s="422">
        <f>F16+F29</f>
        <v>2359.0700000000002</v>
      </c>
      <c r="G30" s="422">
        <f>G16+G29</f>
        <v>2359.0700000000002</v>
      </c>
      <c r="H30" s="422">
        <f>H16+H29</f>
        <v>0</v>
      </c>
      <c r="I30" s="422">
        <f>I16+I29</f>
        <v>148.21</v>
      </c>
      <c r="J30" s="423">
        <f>J16+J29</f>
        <v>0</v>
      </c>
    </row>
    <row r="31" spans="1:12" ht="19.5" customHeight="1">
      <c r="A31" s="618" t="s">
        <v>537</v>
      </c>
      <c r="B31" s="618"/>
      <c r="C31" s="618"/>
      <c r="D31" s="618"/>
      <c r="E31" s="618"/>
      <c r="F31" s="618"/>
      <c r="G31" s="618"/>
      <c r="H31" s="618"/>
      <c r="I31" s="618"/>
      <c r="J31" s="618"/>
    </row>
    <row r="32" spans="1:12" ht="19.5" customHeight="1">
      <c r="A32" s="619" t="s">
        <v>538</v>
      </c>
      <c r="B32" s="619"/>
      <c r="C32" s="619"/>
      <c r="D32" s="73" t="s">
        <v>539</v>
      </c>
      <c r="E32" s="620" t="s">
        <v>371</v>
      </c>
      <c r="F32" s="620"/>
      <c r="G32" s="620"/>
      <c r="H32" s="620"/>
      <c r="I32" s="620"/>
      <c r="J32" s="620"/>
    </row>
    <row r="33" spans="1:12" ht="19.5" customHeight="1">
      <c r="A33" s="428" t="s">
        <v>540</v>
      </c>
      <c r="B33" s="429"/>
      <c r="C33" s="429"/>
      <c r="D33" s="430">
        <f>Dados!$G$44</f>
        <v>0.03</v>
      </c>
      <c r="E33" s="431"/>
      <c r="F33" s="415">
        <f>ROUND((F30*$D$33),2)</f>
        <v>70.77</v>
      </c>
      <c r="G33" s="415">
        <f>ROUND((G30*$D$33),2)</f>
        <v>70.77</v>
      </c>
      <c r="H33" s="415">
        <f>ROUND((H30*$D$33),2)</f>
        <v>0</v>
      </c>
      <c r="I33" s="415">
        <f>ROUND((I30*$D$33),2)</f>
        <v>4.45</v>
      </c>
      <c r="J33" s="416">
        <f>ROUND((J30*$D$33),2)</f>
        <v>0</v>
      </c>
    </row>
    <row r="34" spans="1:12" ht="19.5" customHeight="1">
      <c r="A34" s="621" t="s">
        <v>541</v>
      </c>
      <c r="B34" s="621"/>
      <c r="C34" s="621"/>
      <c r="D34" s="430"/>
      <c r="E34" s="431"/>
      <c r="F34" s="415">
        <f>F30+F33</f>
        <v>2429.84</v>
      </c>
      <c r="G34" s="415">
        <f>G30+G33</f>
        <v>2429.84</v>
      </c>
      <c r="H34" s="415">
        <f>H30+H33</f>
        <v>0</v>
      </c>
      <c r="I34" s="415">
        <f>I30+I33</f>
        <v>152.66</v>
      </c>
      <c r="J34" s="416">
        <f>J30+J33</f>
        <v>0</v>
      </c>
    </row>
    <row r="35" spans="1:12" ht="19.5" customHeight="1" thickBot="1">
      <c r="A35" s="432" t="s">
        <v>238</v>
      </c>
      <c r="B35" s="433"/>
      <c r="C35" s="433"/>
      <c r="D35" s="434">
        <f>Dados!$G$45</f>
        <v>6.7900000000000002E-2</v>
      </c>
      <c r="E35" s="435"/>
      <c r="F35" s="418">
        <f>ROUND((F34*$D$35),2)</f>
        <v>164.99</v>
      </c>
      <c r="G35" s="418">
        <f>ROUND((G34*$D$35),2)</f>
        <v>164.99</v>
      </c>
      <c r="H35" s="418">
        <f>ROUND((H34*$D$35),2)</f>
        <v>0</v>
      </c>
      <c r="I35" s="418">
        <f>ROUND((I34*$D$35),2)</f>
        <v>10.37</v>
      </c>
      <c r="J35" s="419">
        <f>ROUND((J34*$D$35),2)</f>
        <v>0</v>
      </c>
    </row>
    <row r="36" spans="1:12" ht="19.5" customHeight="1" thickBot="1">
      <c r="A36" s="436" t="s">
        <v>542</v>
      </c>
      <c r="B36" s="437"/>
      <c r="C36" s="437"/>
      <c r="D36" s="438">
        <f>SUM(D33:D35)</f>
        <v>9.7900000000000001E-2</v>
      </c>
      <c r="E36" s="439"/>
      <c r="F36" s="422">
        <f>F33+F35</f>
        <v>235.76</v>
      </c>
      <c r="G36" s="422">
        <f>G33+G35</f>
        <v>235.76</v>
      </c>
      <c r="H36" s="422">
        <f>H33+H35</f>
        <v>0</v>
      </c>
      <c r="I36" s="422">
        <f>I33+I35</f>
        <v>14.82</v>
      </c>
      <c r="J36" s="423">
        <f>J33+J35</f>
        <v>0</v>
      </c>
    </row>
    <row r="37" spans="1:12" ht="19.5" customHeight="1" thickBot="1">
      <c r="A37" s="615" t="s">
        <v>543</v>
      </c>
      <c r="B37" s="615"/>
      <c r="C37" s="615"/>
      <c r="D37" s="615"/>
      <c r="E37" s="615"/>
      <c r="F37" s="440">
        <f>F30+F36</f>
        <v>2594.83</v>
      </c>
      <c r="G37" s="440">
        <f>G30+G36</f>
        <v>2594.83</v>
      </c>
      <c r="H37" s="440">
        <f>H30+H36</f>
        <v>0</v>
      </c>
      <c r="I37" s="440">
        <f>I30+I36</f>
        <v>163.03</v>
      </c>
      <c r="J37" s="441">
        <f>J30+J36</f>
        <v>0</v>
      </c>
    </row>
    <row r="38" spans="1:12" ht="19.5" customHeight="1">
      <c r="A38" s="616" t="s">
        <v>544</v>
      </c>
      <c r="B38" s="616"/>
      <c r="C38" s="616"/>
      <c r="D38" s="616"/>
      <c r="E38" s="616"/>
      <c r="F38" s="616"/>
      <c r="G38" s="616"/>
      <c r="H38" s="616"/>
      <c r="I38" s="616"/>
      <c r="J38" s="616"/>
    </row>
    <row r="39" spans="1:12" ht="19.5" customHeight="1">
      <c r="A39" s="610" t="s">
        <v>244</v>
      </c>
      <c r="B39" s="610"/>
      <c r="C39" s="610"/>
      <c r="D39" s="430">
        <f>Dados!G52</f>
        <v>7.5999999999999998E-2</v>
      </c>
      <c r="E39" s="415"/>
      <c r="F39" s="415">
        <f>ROUND(($F$45*D39),2)</f>
        <v>224.74</v>
      </c>
      <c r="G39" s="415">
        <f>ROUND((G45*$D$39),2)</f>
        <v>224.74</v>
      </c>
      <c r="H39" s="415">
        <f>ROUND((H45*$D$39),2)</f>
        <v>0</v>
      </c>
      <c r="I39" s="415">
        <f>ROUND((I45*$D$39),2)</f>
        <v>14.12</v>
      </c>
      <c r="J39" s="416">
        <f>ROUND((J45*$D$39),2)</f>
        <v>0</v>
      </c>
    </row>
    <row r="40" spans="1:12" ht="19.5" customHeight="1">
      <c r="A40" s="610" t="s">
        <v>246</v>
      </c>
      <c r="B40" s="610"/>
      <c r="C40" s="610"/>
      <c r="D40" s="430">
        <f>Dados!G53</f>
        <v>1.6500000000000001E-2</v>
      </c>
      <c r="E40" s="415"/>
      <c r="F40" s="415">
        <f>ROUND((F45*$D$40),2)</f>
        <v>48.79</v>
      </c>
      <c r="G40" s="415">
        <f>ROUND((G45*$D$40),2)</f>
        <v>48.79</v>
      </c>
      <c r="H40" s="415">
        <f>ROUND((H45*$D$40),2)</f>
        <v>0</v>
      </c>
      <c r="I40" s="415">
        <f>ROUND((I45*$D$40),2)</f>
        <v>3.07</v>
      </c>
      <c r="J40" s="416">
        <f>ROUND((J45*$D$40),2)</f>
        <v>0</v>
      </c>
    </row>
    <row r="41" spans="1:12" ht="19.5" customHeight="1">
      <c r="A41" s="610" t="s">
        <v>247</v>
      </c>
      <c r="B41" s="610"/>
      <c r="C41" s="610"/>
      <c r="D41" s="430">
        <f>Dados!G54</f>
        <v>0.03</v>
      </c>
      <c r="E41" s="415"/>
      <c r="F41" s="415">
        <f>ROUND((F45*$D$41),2)</f>
        <v>88.71</v>
      </c>
      <c r="G41" s="415">
        <f>ROUND((G45*$D$41),2)</f>
        <v>88.71</v>
      </c>
      <c r="H41" s="415">
        <f>ROUND((H45*$D$41),2)</f>
        <v>0</v>
      </c>
      <c r="I41" s="415">
        <f>ROUND((I45*$D$41),2)</f>
        <v>5.57</v>
      </c>
      <c r="J41" s="416">
        <f>ROUND((J45*$D$41),2)</f>
        <v>0</v>
      </c>
    </row>
    <row r="42" spans="1:12" ht="19.5" customHeight="1">
      <c r="A42" s="610" t="s">
        <v>233</v>
      </c>
      <c r="B42" s="610"/>
      <c r="C42" s="610"/>
      <c r="D42" s="430">
        <f>Dados!G55</f>
        <v>0</v>
      </c>
      <c r="E42" s="415"/>
      <c r="F42" s="415">
        <f>ROUND((F45*$D$42),2)</f>
        <v>0</v>
      </c>
      <c r="G42" s="415">
        <f>ROUND((G45*$D$42),2)</f>
        <v>0</v>
      </c>
      <c r="H42" s="415">
        <f>ROUND((H45*$D$42),2)</f>
        <v>0</v>
      </c>
      <c r="I42" s="415">
        <f>ROUND((I45*$D$42),2)</f>
        <v>0</v>
      </c>
      <c r="J42" s="416">
        <f>ROUND((J45*$D$42),2)</f>
        <v>0</v>
      </c>
    </row>
    <row r="43" spans="1:12" ht="19.5" customHeight="1">
      <c r="A43" s="611" t="s">
        <v>545</v>
      </c>
      <c r="B43" s="611"/>
      <c r="C43" s="611"/>
      <c r="D43" s="442">
        <f>SUM(D39:D42)</f>
        <v>0.1225</v>
      </c>
      <c r="E43" s="443"/>
      <c r="F43" s="444">
        <f>SUM(F39:F42)</f>
        <v>362.24</v>
      </c>
      <c r="G43" s="444">
        <f>SUM(G39:G42)</f>
        <v>362.24</v>
      </c>
      <c r="H43" s="444">
        <f>SUM(H39:H42)</f>
        <v>0</v>
      </c>
      <c r="I43" s="444">
        <f>SUM(I39:I42)</f>
        <v>22.759999999999998</v>
      </c>
      <c r="J43" s="445">
        <f>SUM(J39:J41)</f>
        <v>0</v>
      </c>
    </row>
    <row r="44" spans="1:12" ht="19.5" customHeight="1">
      <c r="A44" s="612" t="str">
        <f>CONCATENATE("Custo Mensal - ",A7)</f>
        <v>Custo Mensal - Assistente Administrativo</v>
      </c>
      <c r="B44" s="612"/>
      <c r="C44" s="612"/>
      <c r="D44" s="612"/>
      <c r="E44" s="612"/>
      <c r="F44" s="446">
        <f>ROUND(F37/(1-D43),2)</f>
        <v>2957.07</v>
      </c>
      <c r="G44" s="446">
        <f>ROUND(G37/(1-D43),2)</f>
        <v>2957.07</v>
      </c>
      <c r="H44" s="446">
        <f>ROUND(H37/(1-D43),2)</f>
        <v>0</v>
      </c>
      <c r="I44" s="446">
        <f>ROUND(I37/(1-D43),2)</f>
        <v>185.79</v>
      </c>
      <c r="J44" s="447">
        <f>ROUND(J37/(1-D43),2)</f>
        <v>0</v>
      </c>
    </row>
    <row r="45" spans="1:12" ht="19.5" customHeight="1">
      <c r="A45" s="613" t="str">
        <f>CONCATENATE("Valor do Custo Mensal - ",A7)</f>
        <v>Valor do Custo Mensal - Assistente Administrativo</v>
      </c>
      <c r="B45" s="613"/>
      <c r="C45" s="613"/>
      <c r="D45" s="613"/>
      <c r="E45" s="613"/>
      <c r="F45" s="446">
        <f>F44</f>
        <v>2957.07</v>
      </c>
      <c r="G45" s="446">
        <f>G44</f>
        <v>2957.07</v>
      </c>
      <c r="H45" s="446">
        <f>H44</f>
        <v>0</v>
      </c>
      <c r="I45" s="446">
        <f>I44</f>
        <v>185.79</v>
      </c>
      <c r="J45" s="447">
        <f>J44</f>
        <v>0</v>
      </c>
      <c r="K45" s="304"/>
      <c r="L45" s="304"/>
    </row>
    <row r="46" spans="1:12" ht="27.75" customHeight="1" thickBot="1">
      <c r="A46" s="614" t="s">
        <v>546</v>
      </c>
      <c r="B46" s="614"/>
      <c r="C46" s="614"/>
      <c r="D46" s="614"/>
      <c r="E46" s="614"/>
      <c r="F46" s="448">
        <f>(F45/F14)</f>
        <v>2.4715366291947012</v>
      </c>
      <c r="G46" s="448">
        <f>(G45/G14)</f>
        <v>2.4715366291947012</v>
      </c>
      <c r="H46" s="609" t="s">
        <v>547</v>
      </c>
      <c r="I46" s="609"/>
      <c r="J46" s="305">
        <v>0</v>
      </c>
    </row>
    <row r="47" spans="1:12" ht="19.5" customHeight="1"/>
  </sheetData>
  <sheetProtection algorithmName="SHA-512" hashValue="fuNRuwjQqWcRlVUE4VIDmH3KwsKHzA0qhZXkOSL+gb0UNep20PUUJVa8SYXEf2BXCnJvYAVjkvWmmf9dDMvfcQ==" saltValue="i0aDO0zj/kZWNPs6gDaqIQ==" spinCount="100000" sheet="1" objects="1" scenarios="1"/>
  <mergeCells count="49">
    <mergeCell ref="H46:I46"/>
    <mergeCell ref="A34:C34"/>
    <mergeCell ref="A37:E37"/>
    <mergeCell ref="A38:J38"/>
    <mergeCell ref="A39:C39"/>
    <mergeCell ref="A40:C40"/>
    <mergeCell ref="A41:C41"/>
    <mergeCell ref="A42:C42"/>
    <mergeCell ref="A43:C43"/>
    <mergeCell ref="A44:E44"/>
    <mergeCell ref="A45:E45"/>
    <mergeCell ref="A46:E46"/>
    <mergeCell ref="A32:C32"/>
    <mergeCell ref="E32:J32"/>
    <mergeCell ref="A20:B20"/>
    <mergeCell ref="A21:B21"/>
    <mergeCell ref="A22:B22"/>
    <mergeCell ref="A23:B23"/>
    <mergeCell ref="A24:B24"/>
    <mergeCell ref="A25:B25"/>
    <mergeCell ref="A26:B26"/>
    <mergeCell ref="A28:B28"/>
    <mergeCell ref="A29:E29"/>
    <mergeCell ref="A30:E30"/>
    <mergeCell ref="A31:J31"/>
    <mergeCell ref="A19:B19"/>
    <mergeCell ref="A9:J9"/>
    <mergeCell ref="B10:C10"/>
    <mergeCell ref="F10:J10"/>
    <mergeCell ref="A11:A15"/>
    <mergeCell ref="B11:C11"/>
    <mergeCell ref="B12:C12"/>
    <mergeCell ref="B14:E14"/>
    <mergeCell ref="B15:D15"/>
    <mergeCell ref="A16:E16"/>
    <mergeCell ref="A17:J17"/>
    <mergeCell ref="A18:B18"/>
    <mergeCell ref="D18:E18"/>
    <mergeCell ref="F18:J18"/>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sheetPr>
    <tabColor theme="0" tint="-0.14999847407452621"/>
    <pageSetUpPr fitToPage="1"/>
  </sheetPr>
  <dimension ref="A1:AMK33"/>
  <sheetViews>
    <sheetView showGridLines="0" zoomScale="130" zoomScaleNormal="130" zoomScaleSheetLayoutView="140" zoomScalePageLayoutView="140" workbookViewId="0">
      <selection activeCell="G33" sqref="G33"/>
    </sheetView>
  </sheetViews>
  <sheetFormatPr defaultColWidth="8.6640625" defaultRowHeight="14.4"/>
  <cols>
    <col min="1" max="1" width="7.33203125" style="62" customWidth="1"/>
    <col min="2" max="3" width="9.109375" style="62" customWidth="1"/>
    <col min="4" max="4" width="33" style="62" customWidth="1"/>
    <col min="5" max="5" width="9.44140625" style="62" customWidth="1"/>
    <col min="6" max="6" width="12.44140625" style="62" customWidth="1"/>
    <col min="7" max="7" width="8.88671875" style="62" customWidth="1"/>
    <col min="8" max="8" width="10" style="62" customWidth="1"/>
    <col min="9" max="10" width="16.5546875" style="62" customWidth="1"/>
    <col min="11" max="1025" width="9.109375" style="62" customWidth="1"/>
  </cols>
  <sheetData>
    <row r="1" spans="1:14">
      <c r="A1" s="88"/>
      <c r="B1" s="89" t="str">
        <f>INSTRUÇÕES!B1</f>
        <v>Tribunal Regional Federal da 6ª Região</v>
      </c>
      <c r="C1" s="89"/>
      <c r="D1" s="89"/>
      <c r="E1" s="89"/>
      <c r="F1" s="89"/>
      <c r="G1" s="89"/>
      <c r="H1" s="89"/>
      <c r="I1" s="89"/>
      <c r="J1" s="89"/>
    </row>
    <row r="2" spans="1:14">
      <c r="A2" s="90"/>
      <c r="B2" s="91" t="str">
        <f>INSTRUÇÕES!B2</f>
        <v>Seção Judiciária de Minas Gerais</v>
      </c>
      <c r="C2" s="91"/>
      <c r="D2" s="91"/>
      <c r="E2" s="91"/>
      <c r="F2" s="91"/>
      <c r="G2" s="91"/>
      <c r="H2" s="91"/>
      <c r="I2" s="91"/>
      <c r="J2" s="91"/>
    </row>
    <row r="3" spans="1:14">
      <c r="A3" s="90"/>
      <c r="B3" s="62" t="str">
        <f>INSTRUÇÕES!B3</f>
        <v>Subseção Judiciária de Varginha</v>
      </c>
      <c r="C3" s="300"/>
      <c r="D3" s="300"/>
      <c r="E3" s="300"/>
      <c r="F3" s="300"/>
      <c r="G3" s="300"/>
      <c r="H3" s="300"/>
      <c r="I3" s="300"/>
      <c r="J3" s="300"/>
    </row>
    <row r="4" spans="1:14" s="212" customFormat="1" ht="22.5" customHeight="1">
      <c r="A4" s="650" t="s">
        <v>550</v>
      </c>
      <c r="B4" s="650"/>
      <c r="C4" s="650"/>
      <c r="D4" s="650"/>
      <c r="E4" s="650"/>
      <c r="F4" s="650"/>
      <c r="G4" s="650"/>
      <c r="H4" s="650"/>
      <c r="I4" s="650"/>
      <c r="J4" s="650"/>
      <c r="K4" s="380"/>
      <c r="L4" s="380"/>
      <c r="M4" s="380"/>
      <c r="N4" s="380"/>
    </row>
    <row r="5" spans="1:14" s="381" customFormat="1" ht="41.25" customHeight="1">
      <c r="A5" s="651" t="s">
        <v>551</v>
      </c>
      <c r="B5" s="651"/>
      <c r="C5" s="651"/>
      <c r="D5" s="651"/>
      <c r="E5" s="652" t="s">
        <v>539</v>
      </c>
      <c r="F5" s="453" t="str">
        <f>Dados!C7</f>
        <v>Servente de Limpeza 40% Insalubridade</v>
      </c>
      <c r="G5" s="454" t="str">
        <f>Dados!C8</f>
        <v xml:space="preserve">Servente de Limpeza  </v>
      </c>
      <c r="H5" s="454" t="str">
        <f>Dados!C9</f>
        <v>Serventede Limpeza acúmulo função Copeira</v>
      </c>
      <c r="I5" s="454" t="str">
        <f>Dados!C10</f>
        <v>Zelador</v>
      </c>
      <c r="J5" s="488" t="str">
        <f>Dados!C11</f>
        <v>Assistente Administrativo</v>
      </c>
    </row>
    <row r="6" spans="1:14" s="99" customFormat="1" ht="22.5" customHeight="1">
      <c r="A6" s="455" t="s">
        <v>552</v>
      </c>
      <c r="B6" s="653" t="s">
        <v>329</v>
      </c>
      <c r="C6" s="653"/>
      <c r="D6" s="653"/>
      <c r="E6" s="652"/>
      <c r="F6" s="654" t="s">
        <v>553</v>
      </c>
      <c r="G6" s="654"/>
      <c r="H6" s="654"/>
      <c r="I6" s="654"/>
      <c r="J6" s="654"/>
    </row>
    <row r="7" spans="1:14" ht="14.25" customHeight="1">
      <c r="A7" s="456">
        <v>1</v>
      </c>
      <c r="B7" s="647" t="s">
        <v>554</v>
      </c>
      <c r="C7" s="647"/>
      <c r="D7" s="647"/>
      <c r="E7" s="647"/>
      <c r="F7" s="457">
        <f>Dados!M7</f>
        <v>1921.02</v>
      </c>
      <c r="G7" s="457">
        <f>Dados!M8</f>
        <v>1356.22</v>
      </c>
      <c r="H7" s="457">
        <f>Dados!M9</f>
        <v>1396.91</v>
      </c>
      <c r="I7" s="457">
        <f>Dados!M10</f>
        <v>2117.46</v>
      </c>
      <c r="J7" s="457">
        <f>Dados!M11</f>
        <v>1196.45</v>
      </c>
    </row>
    <row r="8" spans="1:14">
      <c r="A8" s="458" t="s">
        <v>555</v>
      </c>
      <c r="B8" s="648" t="s">
        <v>330</v>
      </c>
      <c r="C8" s="648"/>
      <c r="D8" s="648"/>
      <c r="E8" s="451">
        <f>Encargos!C39</f>
        <v>9.0899999999999995E-2</v>
      </c>
      <c r="F8" s="382">
        <f t="shared" ref="F8:I8" si="0">ROUND(F7*$E$8,2)</f>
        <v>174.62</v>
      </c>
      <c r="G8" s="382">
        <f t="shared" si="0"/>
        <v>123.28</v>
      </c>
      <c r="H8" s="382">
        <f t="shared" si="0"/>
        <v>126.98</v>
      </c>
      <c r="I8" s="382">
        <f t="shared" si="0"/>
        <v>192.48</v>
      </c>
      <c r="J8" s="382">
        <f>ROUND(J7*$E$8,2)</f>
        <v>108.76</v>
      </c>
    </row>
    <row r="9" spans="1:14">
      <c r="A9" s="459" t="s">
        <v>556</v>
      </c>
      <c r="B9" s="645" t="s">
        <v>336</v>
      </c>
      <c r="C9" s="645"/>
      <c r="D9" s="645"/>
      <c r="E9" s="460">
        <f>E8*Encargos!C18</f>
        <v>3.6178200000000008E-2</v>
      </c>
      <c r="F9" s="383">
        <f t="shared" ref="F9:I9" si="1">ROUND(F7*$E$9,2)</f>
        <v>69.5</v>
      </c>
      <c r="G9" s="383">
        <f t="shared" si="1"/>
        <v>49.07</v>
      </c>
      <c r="H9" s="383">
        <f t="shared" si="1"/>
        <v>50.54</v>
      </c>
      <c r="I9" s="383">
        <f t="shared" si="1"/>
        <v>76.61</v>
      </c>
      <c r="J9" s="383">
        <f>ROUND(J7*$E$9,2)</f>
        <v>43.29</v>
      </c>
    </row>
    <row r="10" spans="1:14" ht="12.75" customHeight="1">
      <c r="A10" s="649" t="s">
        <v>557</v>
      </c>
      <c r="B10" s="649"/>
      <c r="C10" s="649"/>
      <c r="D10" s="649"/>
      <c r="E10" s="461">
        <f t="shared" ref="E10:I10" si="2">SUM(E8:E9)</f>
        <v>0.1270782</v>
      </c>
      <c r="F10" s="384">
        <f t="shared" si="2"/>
        <v>244.12</v>
      </c>
      <c r="G10" s="384">
        <f t="shared" si="2"/>
        <v>172.35</v>
      </c>
      <c r="H10" s="384">
        <f t="shared" si="2"/>
        <v>177.52</v>
      </c>
      <c r="I10" s="384">
        <f t="shared" si="2"/>
        <v>269.08999999999997</v>
      </c>
      <c r="J10" s="384">
        <f>SUM(J8:J9)</f>
        <v>152.05000000000001</v>
      </c>
    </row>
    <row r="11" spans="1:14" ht="12.75" customHeight="1">
      <c r="A11" s="649" t="s">
        <v>558</v>
      </c>
      <c r="B11" s="649"/>
      <c r="C11" s="649"/>
      <c r="D11" s="649"/>
      <c r="E11" s="649"/>
      <c r="F11" s="384">
        <f t="shared" ref="F11:I11" si="3">F10*12</f>
        <v>2929.44</v>
      </c>
      <c r="G11" s="384">
        <f t="shared" si="3"/>
        <v>2068.1999999999998</v>
      </c>
      <c r="H11" s="384">
        <f t="shared" si="3"/>
        <v>2130.2400000000002</v>
      </c>
      <c r="I11" s="384">
        <f t="shared" si="3"/>
        <v>3229.08</v>
      </c>
      <c r="J11" s="384">
        <f>J10*12</f>
        <v>1824.6000000000001</v>
      </c>
    </row>
    <row r="12" spans="1:14">
      <c r="A12" s="462">
        <v>2</v>
      </c>
      <c r="B12" s="463" t="s">
        <v>559</v>
      </c>
      <c r="C12" s="463"/>
      <c r="D12" s="463"/>
      <c r="E12" s="463"/>
      <c r="F12" s="644" t="s">
        <v>367</v>
      </c>
      <c r="G12" s="644"/>
      <c r="H12" s="644"/>
      <c r="I12" s="644"/>
      <c r="J12" s="644"/>
    </row>
    <row r="13" spans="1:14">
      <c r="A13" s="459" t="s">
        <v>555</v>
      </c>
      <c r="B13" s="645" t="s">
        <v>560</v>
      </c>
      <c r="C13" s="645"/>
      <c r="D13" s="645"/>
      <c r="E13" s="464"/>
      <c r="F13" s="465">
        <f>'Servente Ins'!$F$23</f>
        <v>479.42</v>
      </c>
      <c r="G13" s="465">
        <f>Servente!$F$23</f>
        <v>479.42</v>
      </c>
      <c r="H13" s="465">
        <f>'Servente acúmulo Copeira'!$F$23</f>
        <v>479.42</v>
      </c>
      <c r="I13" s="465">
        <f>Zelador!$F$23</f>
        <v>479.42</v>
      </c>
      <c r="J13" s="487">
        <f>'Assistente Adm 150'!F23</f>
        <v>0</v>
      </c>
    </row>
    <row r="14" spans="1:14">
      <c r="A14" s="459" t="s">
        <v>561</v>
      </c>
      <c r="B14" s="645" t="s">
        <v>562</v>
      </c>
      <c r="C14" s="645"/>
      <c r="D14" s="645"/>
      <c r="E14" s="464"/>
      <c r="F14" s="465">
        <f>'Servente Ins'!$F$22</f>
        <v>138.63</v>
      </c>
      <c r="G14" s="465">
        <f>Servente!$F$22</f>
        <v>138.63</v>
      </c>
      <c r="H14" s="465">
        <f>'Servente acúmulo Copeira'!$F$22</f>
        <v>138.63</v>
      </c>
      <c r="I14" s="465">
        <f>Zelador!$F$22</f>
        <v>92.95</v>
      </c>
      <c r="J14" s="487">
        <f>'Assistente Adm 150'!F22</f>
        <v>148.21</v>
      </c>
    </row>
    <row r="15" spans="1:14">
      <c r="A15" s="459" t="s">
        <v>563</v>
      </c>
      <c r="B15" s="464" t="s">
        <v>564</v>
      </c>
      <c r="C15" s="464"/>
      <c r="D15" s="464"/>
      <c r="E15" s="464"/>
      <c r="F15" s="465">
        <v>0</v>
      </c>
      <c r="G15" s="465">
        <v>0</v>
      </c>
      <c r="H15" s="465">
        <v>0</v>
      </c>
      <c r="I15" s="465">
        <v>0</v>
      </c>
      <c r="J15" s="487">
        <v>0</v>
      </c>
    </row>
    <row r="16" spans="1:14">
      <c r="A16" s="639" t="s">
        <v>565</v>
      </c>
      <c r="B16" s="639"/>
      <c r="C16" s="639"/>
      <c r="D16" s="639"/>
      <c r="E16" s="639"/>
      <c r="F16" s="466">
        <f t="shared" ref="F16:J16" si="4">SUM(F13:F15)</f>
        <v>618.04999999999995</v>
      </c>
      <c r="G16" s="466">
        <f t="shared" si="4"/>
        <v>618.04999999999995</v>
      </c>
      <c r="H16" s="466">
        <f t="shared" si="4"/>
        <v>618.04999999999995</v>
      </c>
      <c r="I16" s="466">
        <f t="shared" si="4"/>
        <v>572.37</v>
      </c>
      <c r="J16" s="466">
        <f t="shared" si="4"/>
        <v>148.21</v>
      </c>
    </row>
    <row r="17" spans="1:10" ht="12.75" customHeight="1">
      <c r="A17" s="462">
        <v>5</v>
      </c>
      <c r="B17" s="646" t="s">
        <v>566</v>
      </c>
      <c r="C17" s="646"/>
      <c r="D17" s="646"/>
      <c r="E17" s="467" t="s">
        <v>539</v>
      </c>
      <c r="F17" s="644" t="s">
        <v>367</v>
      </c>
      <c r="G17" s="644"/>
      <c r="H17" s="644"/>
      <c r="I17" s="644"/>
      <c r="J17" s="644"/>
    </row>
    <row r="18" spans="1:10" ht="12.75" customHeight="1">
      <c r="A18" s="459" t="s">
        <v>555</v>
      </c>
      <c r="B18" s="518" t="s">
        <v>567</v>
      </c>
      <c r="C18" s="518"/>
      <c r="D18" s="518"/>
      <c r="E18" s="468">
        <f>Dados!$G$44</f>
        <v>0.03</v>
      </c>
      <c r="F18" s="469">
        <f t="shared" ref="F18:I18" si="5">ROUND(($E$18*F31),2)</f>
        <v>106.42</v>
      </c>
      <c r="G18" s="469">
        <f t="shared" si="5"/>
        <v>80.59</v>
      </c>
      <c r="H18" s="469">
        <f t="shared" si="5"/>
        <v>82.45</v>
      </c>
      <c r="I18" s="469">
        <f t="shared" si="5"/>
        <v>114.04</v>
      </c>
      <c r="J18" s="469">
        <f>ROUND(($E$18*J31),2)</f>
        <v>59.18</v>
      </c>
    </row>
    <row r="19" spans="1:10" ht="12.75" customHeight="1">
      <c r="A19" s="459" t="s">
        <v>561</v>
      </c>
      <c r="B19" s="518" t="s">
        <v>238</v>
      </c>
      <c r="C19" s="518"/>
      <c r="D19" s="518"/>
      <c r="E19" s="468">
        <f>Dados!$G$45</f>
        <v>6.7900000000000002E-2</v>
      </c>
      <c r="F19" s="469">
        <f t="shared" ref="F19:I19" si="6">ROUND(($E$19*(F18+F31)),2)</f>
        <v>248.1</v>
      </c>
      <c r="G19" s="469">
        <f t="shared" si="6"/>
        <v>187.87</v>
      </c>
      <c r="H19" s="469">
        <f t="shared" si="6"/>
        <v>192.21</v>
      </c>
      <c r="I19" s="469">
        <f t="shared" si="6"/>
        <v>265.86</v>
      </c>
      <c r="J19" s="469">
        <f>ROUND(($E$19*(J18+J31)),2)</f>
        <v>137.97</v>
      </c>
    </row>
    <row r="20" spans="1:10" ht="12.75" customHeight="1">
      <c r="A20" s="470" t="s">
        <v>563</v>
      </c>
      <c r="B20" s="643" t="s">
        <v>568</v>
      </c>
      <c r="C20" s="643"/>
      <c r="D20" s="643"/>
      <c r="E20" s="471">
        <f>SUM(E21:E24)</f>
        <v>0.1225</v>
      </c>
      <c r="F20" s="472">
        <f t="shared" ref="F20:I20" si="7">ROUND((((F31+F18+F19)/(1-$E$20))-(F31+F18+F19)),2)</f>
        <v>544.73</v>
      </c>
      <c r="G20" s="472">
        <f t="shared" si="7"/>
        <v>412.48</v>
      </c>
      <c r="H20" s="472">
        <f t="shared" si="7"/>
        <v>422.01</v>
      </c>
      <c r="I20" s="472">
        <f t="shared" si="7"/>
        <v>583.72</v>
      </c>
      <c r="J20" s="472">
        <f>ROUND((((J31+J18+J19)/(1-$E$20))-(J31+J18+J19)),2)</f>
        <v>302.93</v>
      </c>
    </row>
    <row r="21" spans="1:10" ht="12.75" customHeight="1">
      <c r="A21" s="473" t="s">
        <v>569</v>
      </c>
      <c r="B21" s="518" t="s">
        <v>570</v>
      </c>
      <c r="C21" s="518"/>
      <c r="D21" s="518"/>
      <c r="E21" s="468">
        <f>Dados!G52+Dados!G53</f>
        <v>9.2499999999999999E-2</v>
      </c>
      <c r="F21" s="469">
        <f t="shared" ref="F21:I21" si="8">ROUND($E$21*F33,2)</f>
        <v>411.32</v>
      </c>
      <c r="G21" s="469">
        <f t="shared" si="8"/>
        <v>311.47000000000003</v>
      </c>
      <c r="H21" s="469">
        <f t="shared" si="8"/>
        <v>318.66000000000003</v>
      </c>
      <c r="I21" s="469">
        <f t="shared" si="8"/>
        <v>440.77</v>
      </c>
      <c r="J21" s="469">
        <f>ROUND($E$21*J33,2)</f>
        <v>228.74</v>
      </c>
    </row>
    <row r="22" spans="1:10" ht="12.75" customHeight="1">
      <c r="A22" s="459" t="s">
        <v>571</v>
      </c>
      <c r="B22" s="518" t="s">
        <v>572</v>
      </c>
      <c r="C22" s="518"/>
      <c r="D22" s="518"/>
      <c r="E22" s="468">
        <v>0</v>
      </c>
      <c r="F22" s="469">
        <f t="shared" ref="F22:I22" si="9">ROUND($E$22*F33,2)</f>
        <v>0</v>
      </c>
      <c r="G22" s="469">
        <f t="shared" si="9"/>
        <v>0</v>
      </c>
      <c r="H22" s="469">
        <f t="shared" si="9"/>
        <v>0</v>
      </c>
      <c r="I22" s="469">
        <f t="shared" si="9"/>
        <v>0</v>
      </c>
      <c r="J22" s="469">
        <f>ROUND($E$22*J33,2)</f>
        <v>0</v>
      </c>
    </row>
    <row r="23" spans="1:10" ht="12.75" customHeight="1">
      <c r="A23" s="459" t="s">
        <v>573</v>
      </c>
      <c r="B23" s="518" t="s">
        <v>574</v>
      </c>
      <c r="C23" s="518"/>
      <c r="D23" s="518"/>
      <c r="E23" s="468">
        <f>Dados!G54</f>
        <v>0.03</v>
      </c>
      <c r="F23" s="469">
        <f t="shared" ref="F23:I23" si="10">ROUND($E$23*F33,2)</f>
        <v>133.4</v>
      </c>
      <c r="G23" s="469">
        <f t="shared" si="10"/>
        <v>101.02</v>
      </c>
      <c r="H23" s="469">
        <f t="shared" si="10"/>
        <v>103.35</v>
      </c>
      <c r="I23" s="469">
        <f t="shared" si="10"/>
        <v>142.94999999999999</v>
      </c>
      <c r="J23" s="469">
        <f>ROUND($E$23*J33,2)</f>
        <v>74.19</v>
      </c>
    </row>
    <row r="24" spans="1:10">
      <c r="A24" s="459" t="s">
        <v>575</v>
      </c>
      <c r="B24" s="518" t="str">
        <f>Dados!B55</f>
        <v>Outros (inserir somente com a justificativa legal)</v>
      </c>
      <c r="C24" s="518"/>
      <c r="D24" s="518"/>
      <c r="E24" s="468">
        <f>Dados!G55</f>
        <v>0</v>
      </c>
      <c r="F24" s="469">
        <f t="shared" ref="F24:J24" si="11">ROUND($E$24*F33,2)</f>
        <v>0</v>
      </c>
      <c r="G24" s="469">
        <f t="shared" si="11"/>
        <v>0</v>
      </c>
      <c r="H24" s="469">
        <f t="shared" si="11"/>
        <v>0</v>
      </c>
      <c r="I24" s="469">
        <f t="shared" si="11"/>
        <v>0</v>
      </c>
      <c r="J24" s="469">
        <f t="shared" si="11"/>
        <v>0</v>
      </c>
    </row>
    <row r="25" spans="1:10">
      <c r="A25" s="474" t="s">
        <v>576</v>
      </c>
      <c r="B25" s="449"/>
      <c r="C25" s="449"/>
      <c r="D25" s="449"/>
      <c r="E25" s="449"/>
      <c r="F25" s="475">
        <f t="shared" ref="F25:I25" si="12">SUM(F18:F20)</f>
        <v>899.25</v>
      </c>
      <c r="G25" s="475">
        <f t="shared" si="12"/>
        <v>680.94</v>
      </c>
      <c r="H25" s="475">
        <f t="shared" si="12"/>
        <v>696.67000000000007</v>
      </c>
      <c r="I25" s="475">
        <f t="shared" si="12"/>
        <v>963.62000000000012</v>
      </c>
      <c r="J25" s="475">
        <f>SUM(J18:J20)</f>
        <v>500.08000000000004</v>
      </c>
    </row>
    <row r="26" spans="1:10" ht="19.5" customHeight="1">
      <c r="A26" s="640" t="s">
        <v>577</v>
      </c>
      <c r="B26" s="640"/>
      <c r="C26" s="640"/>
      <c r="D26" s="640"/>
      <c r="E26" s="640"/>
      <c r="F26" s="640"/>
      <c r="G26" s="640"/>
      <c r="H26" s="640"/>
      <c r="I26" s="640"/>
      <c r="J26" s="640"/>
    </row>
    <row r="27" spans="1:10" ht="18" customHeight="1">
      <c r="A27" s="641" t="s">
        <v>578</v>
      </c>
      <c r="B27" s="641"/>
      <c r="C27" s="641"/>
      <c r="D27" s="641"/>
      <c r="E27" s="641"/>
      <c r="F27" s="641"/>
      <c r="G27" s="641"/>
      <c r="H27" s="641"/>
      <c r="I27" s="641"/>
      <c r="J27" s="641"/>
    </row>
    <row r="28" spans="1:10" ht="14.25" customHeight="1">
      <c r="A28" s="476" t="s">
        <v>579</v>
      </c>
      <c r="B28" s="477"/>
      <c r="C28" s="477"/>
      <c r="D28" s="477"/>
      <c r="E28" s="477"/>
      <c r="F28" s="642" t="s">
        <v>367</v>
      </c>
      <c r="G28" s="642"/>
      <c r="H28" s="642"/>
      <c r="I28" s="642"/>
      <c r="J28" s="642"/>
    </row>
    <row r="29" spans="1:10">
      <c r="A29" s="459" t="s">
        <v>555</v>
      </c>
      <c r="B29" s="464" t="s">
        <v>580</v>
      </c>
      <c r="C29" s="464"/>
      <c r="D29" s="464"/>
      <c r="E29" s="464"/>
      <c r="F29" s="478">
        <f t="shared" ref="F29:I29" si="13">F11</f>
        <v>2929.44</v>
      </c>
      <c r="G29" s="478">
        <f t="shared" si="13"/>
        <v>2068.1999999999998</v>
      </c>
      <c r="H29" s="478">
        <f t="shared" si="13"/>
        <v>2130.2400000000002</v>
      </c>
      <c r="I29" s="478">
        <f t="shared" si="13"/>
        <v>3229.08</v>
      </c>
      <c r="J29" s="478">
        <f>J11</f>
        <v>1824.6000000000001</v>
      </c>
    </row>
    <row r="30" spans="1:10">
      <c r="A30" s="459" t="s">
        <v>561</v>
      </c>
      <c r="B30" s="464" t="s">
        <v>559</v>
      </c>
      <c r="C30" s="464"/>
      <c r="D30" s="464"/>
      <c r="E30" s="464"/>
      <c r="F30" s="478">
        <f t="shared" ref="F30:I30" si="14">F16</f>
        <v>618.04999999999995</v>
      </c>
      <c r="G30" s="478">
        <f t="shared" si="14"/>
        <v>618.04999999999995</v>
      </c>
      <c r="H30" s="478">
        <f t="shared" si="14"/>
        <v>618.04999999999995</v>
      </c>
      <c r="I30" s="478">
        <f t="shared" si="14"/>
        <v>572.37</v>
      </c>
      <c r="J30" s="478">
        <f>J16</f>
        <v>148.21</v>
      </c>
    </row>
    <row r="31" spans="1:10">
      <c r="A31" s="639" t="s">
        <v>581</v>
      </c>
      <c r="B31" s="639"/>
      <c r="C31" s="639"/>
      <c r="D31" s="639"/>
      <c r="E31" s="479"/>
      <c r="F31" s="480">
        <f t="shared" ref="F31:I31" si="15">SUM(F29:F30)</f>
        <v>3547.49</v>
      </c>
      <c r="G31" s="480">
        <f t="shared" si="15"/>
        <v>2686.25</v>
      </c>
      <c r="H31" s="480">
        <f t="shared" si="15"/>
        <v>2748.29</v>
      </c>
      <c r="I31" s="480">
        <f t="shared" si="15"/>
        <v>3801.45</v>
      </c>
      <c r="J31" s="480">
        <f>SUM(J29:J30)</f>
        <v>1972.8100000000002</v>
      </c>
    </row>
    <row r="32" spans="1:10">
      <c r="A32" s="481" t="s">
        <v>582</v>
      </c>
      <c r="B32" s="482" t="s">
        <v>583</v>
      </c>
      <c r="C32" s="482"/>
      <c r="D32" s="482"/>
      <c r="E32" s="482"/>
      <c r="F32" s="483">
        <f t="shared" ref="F32:I32" si="16">F25</f>
        <v>899.25</v>
      </c>
      <c r="G32" s="483">
        <f t="shared" si="16"/>
        <v>680.94</v>
      </c>
      <c r="H32" s="483">
        <f t="shared" si="16"/>
        <v>696.67000000000007</v>
      </c>
      <c r="I32" s="483">
        <f t="shared" si="16"/>
        <v>963.62000000000012</v>
      </c>
      <c r="J32" s="483">
        <f>J25</f>
        <v>500.08000000000004</v>
      </c>
    </row>
    <row r="33" spans="1:10" ht="19.5" customHeight="1">
      <c r="A33" s="484" t="s">
        <v>584</v>
      </c>
      <c r="B33" s="485"/>
      <c r="C33" s="485"/>
      <c r="D33" s="485"/>
      <c r="E33" s="485"/>
      <c r="F33" s="486">
        <f t="shared" ref="F33:I33" si="17">SUM(F31:F32)</f>
        <v>4446.74</v>
      </c>
      <c r="G33" s="486">
        <f t="shared" si="17"/>
        <v>3367.19</v>
      </c>
      <c r="H33" s="486">
        <f t="shared" si="17"/>
        <v>3444.96</v>
      </c>
      <c r="I33" s="486">
        <f t="shared" si="17"/>
        <v>4765.07</v>
      </c>
      <c r="J33" s="486">
        <f>SUM(J31:J32)</f>
        <v>2472.8900000000003</v>
      </c>
    </row>
  </sheetData>
  <sheetProtection algorithmName="SHA-512" hashValue="niYgSRQQZFgyxwkngPp5z/2888BWHhgQVH9muYks8j2w9jzNygWVr1DIgnXEZBQ8TeRT7yAOk5FIa51egYGjTw==" saltValue="QO7QqhLzpACAvDO7bglPdQ==" spinCount="100000" sheet="1" objects="1" scenarios="1"/>
  <mergeCells count="27">
    <mergeCell ref="A4:J4"/>
    <mergeCell ref="A5:D5"/>
    <mergeCell ref="E5:E6"/>
    <mergeCell ref="B6:D6"/>
    <mergeCell ref="F6:J6"/>
    <mergeCell ref="B7:E7"/>
    <mergeCell ref="B8:D8"/>
    <mergeCell ref="B9:D9"/>
    <mergeCell ref="A10:D10"/>
    <mergeCell ref="A11:E11"/>
    <mergeCell ref="F12:J12"/>
    <mergeCell ref="B13:D13"/>
    <mergeCell ref="B14:D14"/>
    <mergeCell ref="A16:E16"/>
    <mergeCell ref="B17:D17"/>
    <mergeCell ref="F17:J17"/>
    <mergeCell ref="B18:D18"/>
    <mergeCell ref="B19:D19"/>
    <mergeCell ref="B20:D20"/>
    <mergeCell ref="B21:D21"/>
    <mergeCell ref="B22:D22"/>
    <mergeCell ref="A31:D31"/>
    <mergeCell ref="B23:D23"/>
    <mergeCell ref="B24:D24"/>
    <mergeCell ref="A26:J26"/>
    <mergeCell ref="A27:J27"/>
    <mergeCell ref="F28:J28"/>
  </mergeCells>
  <printOptions horizontalCentered="1" verticalCentered="1"/>
  <pageMargins left="0.51180555555555596" right="0.51180555555555596" top="0.78749999999999998" bottom="0.78749999999999998" header="0.511811023622047" footer="0.511811023622047"/>
  <pageSetup paperSize="9" scale="69" fitToHeight="2"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sheetPr>
    <tabColor rgb="FF0070C0"/>
    <pageSetUpPr fitToPage="1"/>
  </sheetPr>
  <dimension ref="A1:AMK24"/>
  <sheetViews>
    <sheetView showGridLines="0" zoomScaleNormal="100" zoomScaleSheetLayoutView="100" zoomScalePageLayoutView="140" workbookViewId="0">
      <selection activeCell="B14" sqref="B14"/>
    </sheetView>
  </sheetViews>
  <sheetFormatPr defaultColWidth="8.6640625" defaultRowHeight="14.4"/>
  <cols>
    <col min="1" max="1" width="13.109375" style="1" customWidth="1"/>
    <col min="2" max="2" width="44.44140625" style="1" customWidth="1"/>
    <col min="3" max="3" width="7.109375" style="1" customWidth="1"/>
    <col min="4" max="4" width="6.6640625" style="1" customWidth="1"/>
    <col min="5" max="5" width="10.109375" style="1" customWidth="1"/>
    <col min="6" max="6" width="12.5546875" style="1" customWidth="1"/>
    <col min="7" max="7" width="12.33203125" style="1" customWidth="1"/>
    <col min="8" max="8" width="13.44140625" style="1" customWidth="1"/>
    <col min="9" max="9" width="11.88671875" style="1" customWidth="1"/>
    <col min="10" max="10" width="13.6640625" style="1" customWidth="1"/>
    <col min="11" max="11" width="11.33203125" style="1" customWidth="1"/>
    <col min="12" max="12" width="15.5546875" style="1" customWidth="1"/>
    <col min="13" max="13" width="12.33203125" style="1" customWidth="1"/>
    <col min="14" max="14" width="7.44140625" style="1" customWidth="1"/>
    <col min="15" max="15" width="13.33203125" style="1" customWidth="1"/>
    <col min="16" max="16" width="12" style="1" customWidth="1"/>
    <col min="17" max="17" width="9.5546875" style="1" customWidth="1"/>
    <col min="18" max="18" width="11.33203125" style="1" customWidth="1"/>
    <col min="19" max="19" width="16.109375" style="1" customWidth="1"/>
    <col min="20" max="20" width="12.109375" style="1" customWidth="1"/>
    <col min="21" max="22" width="10.109375" style="1" customWidth="1"/>
    <col min="23" max="23" width="16.44140625" style="1" customWidth="1"/>
    <col min="24" max="259" width="9.109375" style="1" customWidth="1"/>
    <col min="260" max="260" width="13.109375" style="1" customWidth="1"/>
    <col min="261" max="261" width="38.44140625" style="1" customWidth="1"/>
    <col min="262" max="262" width="7.109375" style="1" customWidth="1"/>
    <col min="263" max="263" width="6.6640625" style="1" customWidth="1"/>
    <col min="264" max="264" width="10.109375" style="1" customWidth="1"/>
    <col min="265" max="265" width="12.5546875" style="1" customWidth="1"/>
    <col min="266" max="266" width="12.33203125" style="1" customWidth="1"/>
    <col min="267" max="267" width="13.44140625" style="1" customWidth="1"/>
    <col min="268" max="268" width="12.109375" style="1" customWidth="1"/>
    <col min="269" max="269" width="13.6640625" style="1" customWidth="1"/>
    <col min="270" max="270" width="11.33203125" style="1" customWidth="1"/>
    <col min="271" max="271" width="15.5546875" style="1" customWidth="1"/>
    <col min="272" max="272" width="12.33203125" style="1" customWidth="1"/>
    <col min="273" max="273" width="7.44140625" style="1" customWidth="1"/>
    <col min="274" max="274" width="13.33203125" style="1" customWidth="1"/>
    <col min="275" max="275" width="14" style="1" customWidth="1"/>
    <col min="276" max="276" width="12.109375" style="1" customWidth="1"/>
    <col min="277" max="278" width="10.109375" style="1" customWidth="1"/>
    <col min="279" max="279" width="16.44140625" style="1" customWidth="1"/>
    <col min="280" max="515" width="9.109375" style="1" customWidth="1"/>
    <col min="516" max="516" width="13.109375" style="1" customWidth="1"/>
    <col min="517" max="517" width="38.44140625" style="1" customWidth="1"/>
    <col min="518" max="518" width="7.109375" style="1" customWidth="1"/>
    <col min="519" max="519" width="6.6640625" style="1" customWidth="1"/>
    <col min="520" max="520" width="10.109375" style="1" customWidth="1"/>
    <col min="521" max="521" width="12.5546875" style="1" customWidth="1"/>
    <col min="522" max="522" width="12.33203125" style="1" customWidth="1"/>
    <col min="523" max="523" width="13.44140625" style="1" customWidth="1"/>
    <col min="524" max="524" width="12.109375" style="1" customWidth="1"/>
    <col min="525" max="525" width="13.6640625" style="1" customWidth="1"/>
    <col min="526" max="526" width="11.33203125" style="1" customWidth="1"/>
    <col min="527" max="527" width="15.5546875" style="1" customWidth="1"/>
    <col min="528" max="528" width="12.33203125" style="1" customWidth="1"/>
    <col min="529" max="529" width="7.44140625" style="1" customWidth="1"/>
    <col min="530" max="530" width="13.33203125" style="1" customWidth="1"/>
    <col min="531" max="531" width="14" style="1" customWidth="1"/>
    <col min="532" max="532" width="12.109375" style="1" customWidth="1"/>
    <col min="533" max="534" width="10.109375" style="1" customWidth="1"/>
    <col min="535" max="535" width="16.44140625" style="1" customWidth="1"/>
    <col min="536" max="771" width="9.109375" style="1" customWidth="1"/>
    <col min="772" max="772" width="13.109375" style="1" customWidth="1"/>
    <col min="773" max="773" width="38.44140625" style="1" customWidth="1"/>
    <col min="774" max="774" width="7.109375" style="1" customWidth="1"/>
    <col min="775" max="775" width="6.6640625" style="1" customWidth="1"/>
    <col min="776" max="776" width="10.109375" style="1" customWidth="1"/>
    <col min="777" max="777" width="12.5546875" style="1" customWidth="1"/>
    <col min="778" max="778" width="12.33203125" style="1" customWidth="1"/>
    <col min="779" max="779" width="13.44140625" style="1" customWidth="1"/>
    <col min="780" max="780" width="12.109375" style="1" customWidth="1"/>
    <col min="781" max="781" width="13.6640625" style="1" customWidth="1"/>
    <col min="782" max="782" width="11.33203125" style="1" customWidth="1"/>
    <col min="783" max="783" width="15.5546875" style="1" customWidth="1"/>
    <col min="784" max="784" width="12.33203125" style="1" customWidth="1"/>
    <col min="785" max="785" width="7.44140625" style="1" customWidth="1"/>
    <col min="786" max="786" width="13.33203125" style="1" customWidth="1"/>
    <col min="787" max="787" width="14" style="1" customWidth="1"/>
    <col min="788" max="788" width="12.109375" style="1" customWidth="1"/>
    <col min="789" max="790" width="10.109375" style="1" customWidth="1"/>
    <col min="791" max="791" width="16.44140625" style="1" customWidth="1"/>
    <col min="792" max="1025" width="9.109375" style="1" customWidth="1"/>
  </cols>
  <sheetData>
    <row r="1" spans="1:23">
      <c r="A1" s="4"/>
      <c r="B1" s="306" t="str">
        <f>INSTRUÇÕES!B1</f>
        <v>Tribunal Regional Federal da 6ª Região</v>
      </c>
      <c r="C1" s="193"/>
      <c r="D1" s="193"/>
      <c r="E1" s="193"/>
      <c r="F1" s="193"/>
      <c r="G1" s="193"/>
      <c r="H1" s="193"/>
      <c r="I1" s="193"/>
      <c r="J1" s="307"/>
      <c r="K1" s="307"/>
      <c r="L1" s="307"/>
      <c r="M1" s="307"/>
      <c r="N1" s="307"/>
      <c r="O1" s="307"/>
      <c r="P1" s="307"/>
      <c r="Q1" s="307"/>
      <c r="R1" s="307"/>
      <c r="S1" s="307"/>
      <c r="T1" s="307"/>
      <c r="U1" s="307"/>
      <c r="V1" s="307"/>
      <c r="W1" s="308"/>
    </row>
    <row r="2" spans="1:23">
      <c r="A2" s="309"/>
      <c r="B2" s="104" t="str">
        <f>INSTRUÇÕES!B2</f>
        <v>Seção Judiciária de Minas Gerais</v>
      </c>
      <c r="C2" s="62"/>
      <c r="D2" s="62"/>
      <c r="E2" s="62"/>
      <c r="F2" s="62"/>
      <c r="G2" s="62"/>
      <c r="H2" s="62"/>
      <c r="I2" s="62"/>
      <c r="W2" s="310"/>
    </row>
    <row r="3" spans="1:23">
      <c r="A3" s="309"/>
      <c r="B3" s="104" t="str">
        <f>INSTRUÇÕES!B3</f>
        <v>Subseção Judiciária de Varginha</v>
      </c>
      <c r="C3" s="62"/>
      <c r="D3" s="62"/>
      <c r="E3" s="62"/>
      <c r="F3" s="62"/>
      <c r="G3" s="62"/>
      <c r="H3" s="62"/>
      <c r="I3" s="62"/>
      <c r="W3" s="310"/>
    </row>
    <row r="4" spans="1:23" s="311" customFormat="1" ht="18.75" customHeight="1">
      <c r="A4" s="667" t="s">
        <v>585</v>
      </c>
      <c r="B4" s="667"/>
      <c r="C4" s="667"/>
      <c r="D4" s="667"/>
      <c r="E4" s="667"/>
      <c r="F4" s="667"/>
      <c r="G4" s="667"/>
      <c r="H4" s="667"/>
      <c r="I4" s="667"/>
      <c r="J4" s="667"/>
      <c r="K4" s="667"/>
      <c r="L4" s="667"/>
      <c r="M4" s="667"/>
      <c r="N4" s="667"/>
      <c r="O4" s="667"/>
      <c r="P4" s="667"/>
      <c r="Q4" s="667"/>
      <c r="R4" s="667"/>
      <c r="S4" s="667"/>
      <c r="T4" s="667"/>
      <c r="U4" s="667"/>
      <c r="V4" s="667"/>
      <c r="W4" s="667"/>
    </row>
    <row r="5" spans="1:23" s="107" customFormat="1" ht="21" customHeight="1">
      <c r="A5" s="668" t="str">
        <f>"PREÇO MENSAL GLOBAL - "&amp;B3</f>
        <v>PREÇO MENSAL GLOBAL - Subseção Judiciária de Varginha</v>
      </c>
      <c r="B5" s="668"/>
      <c r="C5" s="668"/>
      <c r="D5" s="668"/>
      <c r="E5" s="668"/>
      <c r="F5" s="668"/>
      <c r="G5" s="668"/>
      <c r="H5" s="668"/>
      <c r="I5" s="668"/>
      <c r="J5" s="668"/>
      <c r="K5" s="668"/>
      <c r="L5" s="668"/>
      <c r="M5" s="668"/>
      <c r="N5" s="668"/>
      <c r="O5" s="668"/>
      <c r="P5" s="668"/>
      <c r="Q5" s="668"/>
      <c r="R5" s="668"/>
      <c r="S5" s="668"/>
      <c r="T5" s="668"/>
      <c r="U5" s="668"/>
      <c r="V5" s="668"/>
      <c r="W5" s="668"/>
    </row>
    <row r="6" spans="1:23" s="3" customFormat="1" ht="23.25" customHeight="1">
      <c r="A6" s="669" t="str">
        <f>Dados!A4</f>
        <v>Sindicato utilizado - SEAC x SIEAP. Vigência: 2024. Sendo a data base da categoria 01° de Janeiro. Com número de registro no MTE MG000705/2024.</v>
      </c>
      <c r="B6" s="669"/>
      <c r="C6" s="669"/>
      <c r="D6" s="669"/>
      <c r="E6" s="669"/>
      <c r="F6" s="669"/>
      <c r="G6" s="669"/>
      <c r="H6" s="669"/>
      <c r="I6" s="669"/>
      <c r="J6" s="669"/>
      <c r="K6" s="669"/>
      <c r="L6" s="669"/>
      <c r="M6" s="669"/>
      <c r="N6" s="669"/>
      <c r="O6" s="669"/>
      <c r="P6" s="669"/>
      <c r="Q6" s="669"/>
      <c r="R6" s="669"/>
      <c r="S6" s="669"/>
      <c r="T6" s="669"/>
      <c r="U6" s="669"/>
      <c r="V6" s="669"/>
      <c r="W6" s="669"/>
    </row>
    <row r="7" spans="1:23" s="17" customFormat="1" ht="18.75" customHeight="1">
      <c r="A7" s="312"/>
      <c r="B7" s="313"/>
      <c r="C7" s="313"/>
      <c r="D7" s="313"/>
      <c r="E7" s="314"/>
      <c r="F7" s="314"/>
      <c r="G7" s="314"/>
      <c r="H7" s="315" t="s">
        <v>586</v>
      </c>
      <c r="I7" s="316"/>
      <c r="J7" s="316"/>
      <c r="K7" s="314"/>
      <c r="L7" s="314"/>
      <c r="M7" s="314"/>
      <c r="N7" s="314"/>
      <c r="O7" s="314"/>
      <c r="P7" s="314"/>
      <c r="Q7" s="314"/>
      <c r="R7" s="314"/>
      <c r="S7" s="670" t="s">
        <v>587</v>
      </c>
      <c r="T7" s="670"/>
      <c r="U7" s="670"/>
      <c r="V7" s="670"/>
      <c r="W7" s="670"/>
    </row>
    <row r="8" spans="1:23" s="17" customFormat="1" ht="22.5" customHeight="1">
      <c r="A8" s="671" t="s">
        <v>588</v>
      </c>
      <c r="B8" s="673" t="s">
        <v>589</v>
      </c>
      <c r="C8" s="673"/>
      <c r="D8" s="674" t="s">
        <v>44</v>
      </c>
      <c r="E8" s="674"/>
      <c r="F8" s="674"/>
      <c r="G8" s="674"/>
      <c r="H8" s="674"/>
      <c r="I8" s="674"/>
      <c r="J8" s="674"/>
      <c r="K8" s="674"/>
      <c r="L8" s="674"/>
      <c r="M8" s="674"/>
      <c r="N8" s="674"/>
      <c r="O8" s="674"/>
      <c r="P8" s="674"/>
      <c r="Q8" s="674"/>
      <c r="R8" s="674"/>
      <c r="S8" s="674"/>
      <c r="T8" s="674"/>
      <c r="U8" s="674"/>
      <c r="V8" s="674"/>
      <c r="W8" s="656" t="s">
        <v>590</v>
      </c>
    </row>
    <row r="9" spans="1:23" s="17" customFormat="1" ht="20.25" customHeight="1">
      <c r="A9" s="671"/>
      <c r="B9" s="673"/>
      <c r="C9" s="673"/>
      <c r="D9" s="675" t="s">
        <v>591</v>
      </c>
      <c r="E9" s="675"/>
      <c r="F9" s="675"/>
      <c r="G9" s="675" t="s">
        <v>592</v>
      </c>
      <c r="H9" s="675"/>
      <c r="I9" s="675"/>
      <c r="J9" s="676" t="s">
        <v>593</v>
      </c>
      <c r="K9" s="676"/>
      <c r="L9" s="676"/>
      <c r="M9" s="676"/>
      <c r="N9" s="676"/>
      <c r="O9" s="676"/>
      <c r="P9" s="677" t="s">
        <v>594</v>
      </c>
      <c r="Q9" s="677"/>
      <c r="R9" s="677"/>
      <c r="S9" s="317" t="s">
        <v>595</v>
      </c>
      <c r="T9" s="678" t="s">
        <v>596</v>
      </c>
      <c r="U9" s="678"/>
      <c r="V9" s="678"/>
      <c r="W9" s="656"/>
    </row>
    <row r="10" spans="1:23" s="17" customFormat="1" ht="27.75" customHeight="1" thickBot="1">
      <c r="A10" s="671"/>
      <c r="B10" s="673"/>
      <c r="C10" s="673"/>
      <c r="D10" s="679" t="s">
        <v>597</v>
      </c>
      <c r="E10" s="679"/>
      <c r="F10" s="679"/>
      <c r="G10" s="661" t="s">
        <v>598</v>
      </c>
      <c r="H10" s="666" t="s">
        <v>599</v>
      </c>
      <c r="I10" s="666"/>
      <c r="J10" s="663" t="s">
        <v>600</v>
      </c>
      <c r="K10" s="663"/>
      <c r="L10" s="663"/>
      <c r="M10" s="664" t="s">
        <v>601</v>
      </c>
      <c r="N10" s="664"/>
      <c r="O10" s="664"/>
      <c r="P10" s="665" t="s">
        <v>602</v>
      </c>
      <c r="Q10" s="665"/>
      <c r="R10" s="665"/>
      <c r="S10" s="680" t="s">
        <v>603</v>
      </c>
      <c r="T10" s="665" t="s">
        <v>604</v>
      </c>
      <c r="U10" s="665"/>
      <c r="V10" s="665"/>
      <c r="W10" s="656"/>
    </row>
    <row r="11" spans="1:23" s="17" customFormat="1" ht="69.599999999999994" thickBot="1">
      <c r="A11" s="672"/>
      <c r="B11" s="318" t="s">
        <v>25</v>
      </c>
      <c r="C11" s="319" t="s">
        <v>26</v>
      </c>
      <c r="D11" s="320" t="s">
        <v>24</v>
      </c>
      <c r="E11" s="321" t="s">
        <v>605</v>
      </c>
      <c r="F11" s="322" t="s">
        <v>606</v>
      </c>
      <c r="G11" s="661"/>
      <c r="H11" s="323" t="s">
        <v>607</v>
      </c>
      <c r="I11" s="324" t="s">
        <v>608</v>
      </c>
      <c r="J11" s="325" t="s">
        <v>609</v>
      </c>
      <c r="K11" s="323" t="s">
        <v>33</v>
      </c>
      <c r="L11" s="326" t="s">
        <v>610</v>
      </c>
      <c r="M11" s="318" t="s">
        <v>611</v>
      </c>
      <c r="N11" s="321" t="s">
        <v>34</v>
      </c>
      <c r="O11" s="327" t="s">
        <v>612</v>
      </c>
      <c r="P11" s="318" t="s">
        <v>613</v>
      </c>
      <c r="Q11" s="321" t="s">
        <v>614</v>
      </c>
      <c r="R11" s="319" t="s">
        <v>615</v>
      </c>
      <c r="S11" s="680"/>
      <c r="T11" s="318" t="s">
        <v>616</v>
      </c>
      <c r="U11" s="321" t="s">
        <v>617</v>
      </c>
      <c r="V11" s="328" t="s">
        <v>618</v>
      </c>
      <c r="W11" s="656"/>
    </row>
    <row r="12" spans="1:23" s="17" customFormat="1" ht="15.75" customHeight="1">
      <c r="A12" s="662" t="s">
        <v>619</v>
      </c>
      <c r="B12" s="329" t="str">
        <f>Dados!C7</f>
        <v>Servente de Limpeza 40% Insalubridade</v>
      </c>
      <c r="C12" s="330">
        <f>Dados!D7</f>
        <v>200</v>
      </c>
      <c r="D12" s="331">
        <f>Dados!B7</f>
        <v>1</v>
      </c>
      <c r="E12" s="332">
        <f>'Servente Ins'!$F$45</f>
        <v>5871.55</v>
      </c>
      <c r="F12" s="333">
        <f t="shared" ref="F12:F15" si="0">ROUND((D12*E12),2)</f>
        <v>5871.55</v>
      </c>
      <c r="G12" s="334">
        <f>'Servente Ins'!$I$45</f>
        <v>173.78</v>
      </c>
      <c r="H12" s="335">
        <f>'Ocorrências Mensais - FAT'!F11+'Ocorrências Mensais - FAT'!H11</f>
        <v>0</v>
      </c>
      <c r="I12" s="336">
        <f>(ROUND((G12/Dados!$G$35*H12)-(G12/'Ocorrências Mensais - FAT'!$E$5*'Ocorrências Mensais - FAT'!G11),2))</f>
        <v>0</v>
      </c>
      <c r="J12" s="337">
        <f>'Servente Ins'!$G$45</f>
        <v>5134.42</v>
      </c>
      <c r="K12" s="335">
        <f>'Ocorrências Mensais - FAT'!K11</f>
        <v>0</v>
      </c>
      <c r="L12" s="336">
        <f>J12/'Ocorrências Mensais - FAT'!$E$5*K12</f>
        <v>0</v>
      </c>
      <c r="M12" s="338">
        <f>'Custo Estimado Substituto'!$F$33</f>
        <v>4446.74</v>
      </c>
      <c r="N12" s="339">
        <f>'Ocorrências Mensais - FAT'!L11</f>
        <v>0</v>
      </c>
      <c r="O12" s="340">
        <f>M12/'Ocorrências Mensais - FAT'!$E$5*N12</f>
        <v>0</v>
      </c>
      <c r="P12" s="341">
        <f>'Servente Ins'!$H$45</f>
        <v>600.95000000000005</v>
      </c>
      <c r="Q12" s="342">
        <f>'Ocorrências Mensais - FAT'!M11</f>
        <v>0</v>
      </c>
      <c r="R12" s="340">
        <f>ROUND((P12/Dados!$G$38*Q12),2)</f>
        <v>0</v>
      </c>
      <c r="S12" s="343">
        <f t="shared" ref="S12:S16" si="1">I12+L12+O12+R12</f>
        <v>0</v>
      </c>
      <c r="T12" s="344"/>
      <c r="U12" s="345"/>
      <c r="V12" s="346"/>
      <c r="W12" s="347">
        <f t="shared" ref="W12:W15" si="2">ROUND((F12-S12+V12),2)</f>
        <v>5871.55</v>
      </c>
    </row>
    <row r="13" spans="1:23" s="17" customFormat="1" ht="15.6">
      <c r="A13" s="662"/>
      <c r="B13" s="329" t="str">
        <f>Dados!C8</f>
        <v xml:space="preserve">Servente de Limpeza  </v>
      </c>
      <c r="C13" s="330">
        <f>Dados!D8</f>
        <v>200</v>
      </c>
      <c r="D13" s="331">
        <f>Dados!B8</f>
        <v>3</v>
      </c>
      <c r="E13" s="332">
        <f>Servente!$F$45</f>
        <v>4622.7</v>
      </c>
      <c r="F13" s="333">
        <f t="shared" si="0"/>
        <v>13868.1</v>
      </c>
      <c r="G13" s="348">
        <f>Servente!$I$45</f>
        <v>173.78</v>
      </c>
      <c r="H13" s="349">
        <f>'Ocorrências Mensais - FAT'!F12+'Ocorrências Mensais - FAT'!H12</f>
        <v>0</v>
      </c>
      <c r="I13" s="350">
        <f>(ROUND((G13/Dados!$G$35*H13)-(G13/'Ocorrências Mensais - FAT'!$E$5*'Ocorrências Mensais - FAT'!G12),2))</f>
        <v>0</v>
      </c>
      <c r="J13" s="351">
        <f>Servente!$G$45</f>
        <v>3885.56</v>
      </c>
      <c r="K13" s="349">
        <f>'Ocorrências Mensais - FAT'!K12</f>
        <v>0</v>
      </c>
      <c r="L13" s="350">
        <f>J13/'Ocorrências Mensais - FAT'!$E$5*K13</f>
        <v>0</v>
      </c>
      <c r="M13" s="351">
        <f>'Custo Estimado Substituto'!G33</f>
        <v>3367.19</v>
      </c>
      <c r="N13" s="349">
        <f>'Ocorrências Mensais - FAT'!L12</f>
        <v>0</v>
      </c>
      <c r="O13" s="352">
        <f>M13/'Ocorrências Mensais - FAT'!$E$5*N13</f>
        <v>0</v>
      </c>
      <c r="P13" s="353">
        <f>Servente!$H$45</f>
        <v>600.95000000000005</v>
      </c>
      <c r="Q13" s="354">
        <f>'Ocorrências Mensais - FAT'!M12</f>
        <v>0</v>
      </c>
      <c r="R13" s="352">
        <f>ROUND((P13/Dados!$G$38*Q13),2)</f>
        <v>0</v>
      </c>
      <c r="S13" s="355">
        <f t="shared" si="1"/>
        <v>0</v>
      </c>
      <c r="T13" s="348">
        <f>'Servente Ins'!$J$46</f>
        <v>41.63</v>
      </c>
      <c r="U13" s="354">
        <f>'Ocorrências Mensais - FAT'!N12</f>
        <v>0</v>
      </c>
      <c r="V13" s="356">
        <f>T13*U13</f>
        <v>0</v>
      </c>
      <c r="W13" s="347">
        <f t="shared" si="2"/>
        <v>13868.1</v>
      </c>
    </row>
    <row r="14" spans="1:23" s="17" customFormat="1" ht="15.6">
      <c r="A14" s="662"/>
      <c r="B14" s="329" t="str">
        <f>Dados!C9</f>
        <v>Serventede Limpeza acúmulo função Copeira</v>
      </c>
      <c r="C14" s="330">
        <f>Dados!D9</f>
        <v>200</v>
      </c>
      <c r="D14" s="331">
        <f>Dados!B9</f>
        <v>1</v>
      </c>
      <c r="E14" s="332">
        <f>'Servente acúmulo Copeira'!$F$45</f>
        <v>4722.2299999999996</v>
      </c>
      <c r="F14" s="333">
        <f t="shared" si="0"/>
        <v>4722.2299999999996</v>
      </c>
      <c r="G14" s="348">
        <f>'Servente acúmulo Copeira'!$I$45</f>
        <v>173.78</v>
      </c>
      <c r="H14" s="349">
        <f>'Ocorrências Mensais - FAT'!F13+'Ocorrências Mensais - FAT'!H13</f>
        <v>0</v>
      </c>
      <c r="I14" s="350">
        <f>(ROUND((G14/Dados!$G$35*H14)-(G14/'Ocorrências Mensais - FAT'!$E$5*'Ocorrências Mensais - FAT'!G13),2))</f>
        <v>0</v>
      </c>
      <c r="J14" s="351">
        <f>'Servente acúmulo Copeira'!$G$45</f>
        <v>3985.1</v>
      </c>
      <c r="K14" s="349">
        <f>'Ocorrências Mensais - FAT'!K13</f>
        <v>0</v>
      </c>
      <c r="L14" s="350">
        <f>J14/'Ocorrências Mensais - FAT'!$E$5*K14</f>
        <v>0</v>
      </c>
      <c r="M14" s="351">
        <f>'Custo Estimado Substituto'!H33</f>
        <v>3444.96</v>
      </c>
      <c r="N14" s="349">
        <f>'Ocorrências Mensais - FAT'!L13</f>
        <v>0</v>
      </c>
      <c r="O14" s="352">
        <f>M14/'Ocorrências Mensais - FAT'!$E$5*N14</f>
        <v>0</v>
      </c>
      <c r="P14" s="353">
        <f>'Servente acúmulo Copeira'!$H$45</f>
        <v>600.95000000000005</v>
      </c>
      <c r="Q14" s="354">
        <f>'Ocorrências Mensais - FAT'!M13</f>
        <v>0</v>
      </c>
      <c r="R14" s="352">
        <f>ROUND((P14/Dados!$G$38*Q14),2)</f>
        <v>0</v>
      </c>
      <c r="S14" s="355">
        <f t="shared" si="1"/>
        <v>0</v>
      </c>
      <c r="T14" s="357"/>
      <c r="U14" s="358"/>
      <c r="V14" s="359"/>
      <c r="W14" s="347">
        <f t="shared" si="2"/>
        <v>4722.2299999999996</v>
      </c>
    </row>
    <row r="15" spans="1:23" s="17" customFormat="1" ht="15.6">
      <c r="A15" s="662"/>
      <c r="B15" s="329" t="str">
        <f>Dados!C10</f>
        <v>Zelador</v>
      </c>
      <c r="C15" s="330">
        <f>Dados!D10</f>
        <v>220</v>
      </c>
      <c r="D15" s="331">
        <f>Dados!B10</f>
        <v>1</v>
      </c>
      <c r="E15" s="332">
        <f>Zelador!$F$45</f>
        <v>5520.17</v>
      </c>
      <c r="F15" s="333">
        <f t="shared" si="0"/>
        <v>5520.17</v>
      </c>
      <c r="G15" s="348">
        <f>Zelador!$I$45</f>
        <v>116.51</v>
      </c>
      <c r="H15" s="349">
        <f>'Ocorrências Mensais - FAT'!F14+'Ocorrências Mensais - FAT'!H14</f>
        <v>0</v>
      </c>
      <c r="I15" s="350">
        <f>(ROUND((G15/Dados!$G$35*H15)-(G15/'Ocorrências Mensais - FAT'!$E$5*'Ocorrências Mensais - FAT'!G14),2))</f>
        <v>0</v>
      </c>
      <c r="J15" s="351">
        <f>Zelador!$G$45</f>
        <v>5520.17</v>
      </c>
      <c r="K15" s="349">
        <f>'Ocorrências Mensais - FAT'!K14</f>
        <v>0</v>
      </c>
      <c r="L15" s="350">
        <f>J15/'Ocorrências Mensais - FAT'!$E$5*K15</f>
        <v>0</v>
      </c>
      <c r="M15" s="351">
        <f>'Custo Estimado Substituto'!I33</f>
        <v>4765.07</v>
      </c>
      <c r="N15" s="349">
        <f>'Ocorrências Mensais - FAT'!L14</f>
        <v>0</v>
      </c>
      <c r="O15" s="352">
        <f>M15/'Ocorrências Mensais - FAT'!$E$5*N15</f>
        <v>0</v>
      </c>
      <c r="P15" s="353">
        <f>Zelador!$H$45</f>
        <v>600.95000000000005</v>
      </c>
      <c r="Q15" s="354">
        <f>'Ocorrências Mensais - FAT'!M14</f>
        <v>0</v>
      </c>
      <c r="R15" s="352">
        <f>ROUND((P15/Dados!$G$38*Q15),2)</f>
        <v>0</v>
      </c>
      <c r="S15" s="355">
        <f t="shared" si="1"/>
        <v>0</v>
      </c>
      <c r="T15" s="357"/>
      <c r="U15" s="358"/>
      <c r="V15" s="359"/>
      <c r="W15" s="347">
        <f t="shared" si="2"/>
        <v>5520.17</v>
      </c>
    </row>
    <row r="16" spans="1:23" s="17" customFormat="1" ht="16.2" thickBot="1">
      <c r="A16" s="489" t="s">
        <v>620</v>
      </c>
      <c r="B16" s="329" t="str">
        <f>Dados!C11</f>
        <v>Assistente Administrativo</v>
      </c>
      <c r="C16" s="330">
        <f>Dados!D11</f>
        <v>150</v>
      </c>
      <c r="D16" s="331">
        <f>Dados!B11</f>
        <v>2</v>
      </c>
      <c r="E16" s="124">
        <f>'Assistente Adm 150'!F45</f>
        <v>2957.07</v>
      </c>
      <c r="F16" s="333">
        <f>ROUND((D16*E16),2)</f>
        <v>5914.14</v>
      </c>
      <c r="G16" s="360">
        <f>'Assistente Adm 150'!I45</f>
        <v>185.79</v>
      </c>
      <c r="H16" s="349">
        <f>'Ocorrências Mensais - FAT'!F15+'Ocorrências Mensais - FAT'!H15</f>
        <v>0</v>
      </c>
      <c r="I16" s="350">
        <f>(ROUND((G16/Dados!$G$35*H16)-(G16/'Ocorrências Mensais - FAT'!$E$5*'Ocorrências Mensais - FAT'!G15),2))</f>
        <v>0</v>
      </c>
      <c r="J16" s="361">
        <f>'Assistente Adm 150'!G45</f>
        <v>2957.07</v>
      </c>
      <c r="K16" s="349">
        <f>'Ocorrências Mensais - FAT'!K15</f>
        <v>0</v>
      </c>
      <c r="L16" s="350">
        <f>J16/'Ocorrências Mensais - FAT'!$E$5*K16</f>
        <v>0</v>
      </c>
      <c r="M16" s="361">
        <f>'Custo Estimado Substituto'!J33</f>
        <v>2472.8900000000003</v>
      </c>
      <c r="N16" s="349">
        <f>'Ocorrências Mensais - FAT'!L15</f>
        <v>0</v>
      </c>
      <c r="O16" s="352">
        <f>M16/'Ocorrências Mensais - FAT'!$E$5*N16</f>
        <v>0</v>
      </c>
      <c r="P16" s="362">
        <f>'Assistente Adm 150'!H45</f>
        <v>0</v>
      </c>
      <c r="Q16" s="354">
        <f>'Ocorrências Mensais - FAT'!M15</f>
        <v>0</v>
      </c>
      <c r="R16" s="352">
        <f>ROUND((P16/Dados!$G$38*Q16),2)</f>
        <v>0</v>
      </c>
      <c r="S16" s="355">
        <f t="shared" si="1"/>
        <v>0</v>
      </c>
      <c r="T16" s="363"/>
      <c r="U16" s="364"/>
      <c r="V16" s="365"/>
      <c r="W16" s="347">
        <f>ROUND((F16-S16+V16),2)</f>
        <v>5914.14</v>
      </c>
    </row>
    <row r="17" spans="1:25" s="57" customFormat="1" ht="21.75" customHeight="1" thickBot="1">
      <c r="A17" s="656" t="s">
        <v>621</v>
      </c>
      <c r="B17" s="633"/>
      <c r="C17" s="633"/>
      <c r="D17" s="366">
        <f>SUM(D12:D16)</f>
        <v>8</v>
      </c>
      <c r="E17" s="367"/>
      <c r="F17" s="368">
        <f>SUM(F12:F16)</f>
        <v>35896.19</v>
      </c>
      <c r="G17" s="369"/>
      <c r="H17" s="367">
        <f t="shared" ref="H17:O17" si="3">SUM(H12:H16)</f>
        <v>0</v>
      </c>
      <c r="I17" s="370">
        <f t="shared" si="3"/>
        <v>0</v>
      </c>
      <c r="J17" s="371">
        <f t="shared" si="3"/>
        <v>21482.32</v>
      </c>
      <c r="K17" s="367">
        <f t="shared" si="3"/>
        <v>0</v>
      </c>
      <c r="L17" s="370">
        <f t="shared" si="3"/>
        <v>0</v>
      </c>
      <c r="M17" s="372">
        <f t="shared" si="3"/>
        <v>18496.849999999999</v>
      </c>
      <c r="N17" s="367">
        <f t="shared" si="3"/>
        <v>0</v>
      </c>
      <c r="O17" s="368">
        <f t="shared" si="3"/>
        <v>0</v>
      </c>
      <c r="P17" s="369"/>
      <c r="Q17" s="367">
        <f>SUM(Q12:Q16)</f>
        <v>0</v>
      </c>
      <c r="R17" s="368">
        <f>SUM(R12:R16)</f>
        <v>0</v>
      </c>
      <c r="S17" s="373">
        <f>SUM(S12:S16)</f>
        <v>0</v>
      </c>
      <c r="T17" s="374"/>
      <c r="U17" s="367">
        <f>SUM(U12:U16)</f>
        <v>0</v>
      </c>
      <c r="V17" s="370">
        <f>SUM(V12:V16)</f>
        <v>0</v>
      </c>
      <c r="W17" s="375">
        <f>SUM(W12:W16)</f>
        <v>35896.19</v>
      </c>
      <c r="X17" s="376" t="s">
        <v>622</v>
      </c>
      <c r="Y17" s="96"/>
    </row>
    <row r="18" spans="1:25" s="51" customFormat="1" ht="18" customHeight="1" thickBot="1">
      <c r="A18" s="657" t="s">
        <v>623</v>
      </c>
      <c r="B18" s="657"/>
      <c r="C18" s="657"/>
      <c r="D18" s="657"/>
      <c r="E18" s="657"/>
      <c r="F18" s="657"/>
      <c r="G18" s="657"/>
      <c r="H18" s="657"/>
      <c r="I18" s="657"/>
      <c r="J18" s="657"/>
      <c r="K18" s="657"/>
      <c r="L18" s="657"/>
      <c r="M18" s="657"/>
      <c r="N18" s="657"/>
      <c r="O18" s="657"/>
      <c r="P18" s="657"/>
      <c r="Q18" s="657"/>
      <c r="R18" s="657"/>
      <c r="S18" s="657"/>
      <c r="T18" s="657"/>
      <c r="U18" s="657"/>
      <c r="V18" s="657"/>
      <c r="W18" s="377">
        <f>Materiais!K51</f>
        <v>2940.2883333333334</v>
      </c>
    </row>
    <row r="19" spans="1:25" s="51" customFormat="1" ht="20.25" customHeight="1">
      <c r="A19" s="657" t="s">
        <v>624</v>
      </c>
      <c r="B19" s="657"/>
      <c r="C19" s="657"/>
      <c r="D19" s="657"/>
      <c r="E19" s="657"/>
      <c r="F19" s="657"/>
      <c r="G19" s="657"/>
      <c r="H19" s="657"/>
      <c r="I19" s="657"/>
      <c r="J19" s="657"/>
      <c r="K19" s="657"/>
      <c r="L19" s="657"/>
      <c r="M19" s="657"/>
      <c r="N19" s="657"/>
      <c r="O19" s="657"/>
      <c r="P19" s="657"/>
      <c r="Q19" s="657"/>
      <c r="R19" s="657"/>
      <c r="S19" s="657"/>
      <c r="T19" s="657"/>
      <c r="U19" s="657"/>
      <c r="V19" s="657"/>
      <c r="W19" s="378">
        <f>W17*12</f>
        <v>430754.28</v>
      </c>
    </row>
    <row r="20" spans="1:25" s="62" customFormat="1" ht="24" customHeight="1">
      <c r="A20" s="658" t="s">
        <v>50</v>
      </c>
      <c r="B20" s="658"/>
      <c r="C20" s="658"/>
      <c r="D20" s="658"/>
      <c r="E20" s="658"/>
      <c r="F20" s="658"/>
      <c r="G20" s="658"/>
      <c r="H20" s="658"/>
      <c r="I20" s="658"/>
      <c r="J20" s="658"/>
      <c r="K20" s="658"/>
      <c r="L20" s="658"/>
      <c r="M20" s="658"/>
      <c r="N20" s="658"/>
      <c r="O20" s="658"/>
      <c r="P20" s="658"/>
      <c r="Q20" s="658"/>
      <c r="R20" s="658"/>
      <c r="S20" s="658"/>
      <c r="T20" s="658"/>
      <c r="U20" s="658"/>
      <c r="V20" s="658"/>
      <c r="W20" s="658"/>
    </row>
    <row r="21" spans="1:25" s="51" customFormat="1" ht="13.8">
      <c r="A21" s="659" t="str">
        <f>CONCATENATE("1. Nas FÉRIAS SEM SUBSTITUIÇÃO DA SERVENTE INSALUBRE, quando o trabalho de limpeza de banheiros públicos ou de grande circulação for efetuado por outra servente do quadro, deverá ser acrescentado o valor de R$",T13," por dia em que este fato ocorrer.")</f>
        <v>1. Nas FÉRIAS SEM SUBSTITUIÇÃO DA SERVENTE INSALUBRE, quando o trabalho de limpeza de banheiros públicos ou de grande circulação for efetuado por outra servente do quadro, deverá ser acrescentado o valor de R$41.63 por dia em que este fato ocorrer.</v>
      </c>
      <c r="B21" s="659"/>
      <c r="C21" s="659"/>
      <c r="D21" s="659"/>
      <c r="E21" s="659"/>
      <c r="F21" s="659"/>
      <c r="G21" s="659"/>
      <c r="H21" s="659"/>
      <c r="I21" s="659"/>
      <c r="J21" s="659"/>
      <c r="K21" s="659"/>
      <c r="L21" s="659"/>
      <c r="M21" s="659"/>
      <c r="N21" s="659"/>
      <c r="O21" s="659"/>
      <c r="P21" s="659"/>
      <c r="Q21" s="659"/>
      <c r="R21" s="659"/>
      <c r="S21" s="659"/>
      <c r="T21" s="659"/>
      <c r="U21" s="659"/>
      <c r="V21" s="659"/>
      <c r="W21" s="659"/>
    </row>
    <row r="22" spans="1:25" s="379" customFormat="1" ht="18.75" customHeight="1">
      <c r="A22" s="660" t="s">
        <v>625</v>
      </c>
      <c r="B22" s="660"/>
      <c r="C22" s="660"/>
      <c r="D22" s="660"/>
      <c r="E22" s="660"/>
      <c r="F22" s="660"/>
      <c r="G22" s="660"/>
      <c r="H22" s="660"/>
      <c r="I22" s="660"/>
      <c r="J22" s="660"/>
      <c r="K22" s="660"/>
      <c r="L22" s="660"/>
      <c r="M22" s="660"/>
      <c r="N22" s="660"/>
      <c r="O22" s="660"/>
      <c r="P22" s="660"/>
      <c r="Q22" s="660"/>
      <c r="R22" s="660"/>
      <c r="S22" s="660"/>
      <c r="T22" s="660"/>
      <c r="U22" s="660"/>
      <c r="V22" s="660"/>
      <c r="W22" s="660"/>
    </row>
    <row r="23" spans="1:25">
      <c r="A23" s="655"/>
      <c r="B23" s="655"/>
      <c r="C23" s="655"/>
      <c r="D23" s="655"/>
      <c r="E23" s="655"/>
      <c r="F23" s="655"/>
      <c r="G23" s="655"/>
      <c r="H23" s="655"/>
      <c r="I23" s="655"/>
      <c r="J23" s="655"/>
      <c r="K23" s="655"/>
      <c r="L23" s="655"/>
      <c r="M23" s="655"/>
      <c r="N23" s="655"/>
      <c r="O23" s="655"/>
      <c r="P23" s="655"/>
      <c r="Q23" s="655"/>
      <c r="R23" s="655"/>
      <c r="S23" s="655"/>
      <c r="T23" s="655"/>
      <c r="U23" s="655"/>
      <c r="V23" s="655"/>
      <c r="W23" s="655"/>
    </row>
    <row r="24" spans="1:25">
      <c r="A24" s="655"/>
      <c r="B24" s="655"/>
      <c r="C24" s="655"/>
      <c r="D24" s="655"/>
      <c r="E24" s="655"/>
      <c r="F24" s="655"/>
      <c r="G24" s="655"/>
      <c r="H24" s="655"/>
      <c r="I24" s="655"/>
      <c r="J24" s="655"/>
      <c r="K24" s="655"/>
      <c r="L24" s="655"/>
      <c r="M24" s="655"/>
      <c r="N24" s="655"/>
      <c r="O24" s="655"/>
      <c r="P24" s="655"/>
      <c r="Q24" s="655"/>
      <c r="R24" s="655"/>
      <c r="S24" s="655"/>
      <c r="T24" s="655"/>
      <c r="U24" s="655"/>
      <c r="V24" s="655"/>
      <c r="W24" s="655"/>
    </row>
  </sheetData>
  <sheetProtection algorithmName="SHA-512" hashValue="IJC4/ehSlV8O6V35rBA7Jypds/P9ZstuZqLPEAXtqmTMcpMKwvHKlB08YvHS7qnQ0hyIwOzzpPnToWlAlBJQZA==" saltValue="KYxV5u75ueKD+ybf1o0WXw==" spinCount="100000" sheet="1" objects="1" scenarios="1"/>
  <mergeCells count="30">
    <mergeCell ref="T10:V10"/>
    <mergeCell ref="A4:W4"/>
    <mergeCell ref="A5:W5"/>
    <mergeCell ref="A6:W6"/>
    <mergeCell ref="S7:W7"/>
    <mergeCell ref="A8:A11"/>
    <mergeCell ref="B8:C10"/>
    <mergeCell ref="D8:V8"/>
    <mergeCell ref="W8:W11"/>
    <mergeCell ref="D9:F9"/>
    <mergeCell ref="G9:I9"/>
    <mergeCell ref="J9:O9"/>
    <mergeCell ref="P9:R9"/>
    <mergeCell ref="T9:V9"/>
    <mergeCell ref="D10:F10"/>
    <mergeCell ref="S10:S11"/>
    <mergeCell ref="G10:G11"/>
    <mergeCell ref="A12:A15"/>
    <mergeCell ref="J10:L10"/>
    <mergeCell ref="M10:O10"/>
    <mergeCell ref="P10:R10"/>
    <mergeCell ref="H10:I10"/>
    <mergeCell ref="A24:W24"/>
    <mergeCell ref="A17:C17"/>
    <mergeCell ref="A18:V18"/>
    <mergeCell ref="A19:V19"/>
    <mergeCell ref="A20:W20"/>
    <mergeCell ref="A21:W21"/>
    <mergeCell ref="A22:W22"/>
    <mergeCell ref="A23:W23"/>
  </mergeCells>
  <printOptions horizontalCentered="1" verticalCentered="1"/>
  <pageMargins left="0.51180555555555596" right="0.51180555555555596" top="0.78749999999999998" bottom="0.78749999999999998" header="0.511811023622047" footer="0.511811023622047"/>
  <pageSetup paperSize="9" scale="27" fitToHeight="2" orientation="portrait" horizontalDpi="300" verticalDpi="300" r:id="rId1"/>
  <colBreaks count="1" manualBreakCount="1">
    <brk id="23" max="1048575" man="1"/>
  </colBreaks>
  <drawing r:id="rId2"/>
</worksheet>
</file>

<file path=xl/worksheets/sheet15.xml><?xml version="1.0" encoding="utf-8"?>
<worksheet xmlns="http://schemas.openxmlformats.org/spreadsheetml/2006/main" xmlns:r="http://schemas.openxmlformats.org/officeDocument/2006/relationships">
  <sheetPr>
    <pageSetUpPr fitToPage="1"/>
  </sheetPr>
  <dimension ref="A1:AI23"/>
  <sheetViews>
    <sheetView showGridLines="0" view="pageBreakPreview" zoomScale="140" zoomScaleNormal="100" zoomScalePageLayoutView="140" workbookViewId="0"/>
  </sheetViews>
  <sheetFormatPr defaultColWidth="8.6640625" defaultRowHeight="14.4"/>
  <cols>
    <col min="1" max="1" width="7.88671875" customWidth="1"/>
    <col min="2" max="2" width="7.33203125" customWidth="1"/>
    <col min="3" max="3" width="4.44140625" customWidth="1"/>
    <col min="4" max="4" width="7.5546875" customWidth="1"/>
    <col min="5" max="5" width="5.44140625" customWidth="1"/>
    <col min="6" max="6" width="8.33203125" customWidth="1"/>
    <col min="7" max="7" width="7.44140625" customWidth="1"/>
    <col min="8" max="8" width="3.33203125" customWidth="1"/>
    <col min="9" max="9" width="7.33203125" customWidth="1"/>
    <col min="10" max="10" width="4.44140625" customWidth="1"/>
    <col min="11" max="11" width="7.5546875" customWidth="1"/>
    <col min="12" max="12" width="5.44140625" customWidth="1"/>
    <col min="13" max="13" width="8.33203125" customWidth="1"/>
    <col min="14" max="14" width="7.44140625" customWidth="1"/>
    <col min="15" max="15" width="3" customWidth="1"/>
    <col min="16" max="16" width="7.33203125" customWidth="1"/>
    <col min="17" max="17" width="4.44140625" customWidth="1"/>
    <col min="18" max="18" width="7.5546875" customWidth="1"/>
    <col min="19" max="19" width="5.44140625" customWidth="1"/>
    <col min="20" max="20" width="8.33203125" customWidth="1"/>
    <col min="21" max="21" width="7.44140625" customWidth="1"/>
    <col min="22" max="22" width="3" customWidth="1"/>
    <col min="23" max="23" width="7.33203125" customWidth="1"/>
    <col min="24" max="24" width="4.44140625" customWidth="1"/>
    <col min="25" max="25" width="7.5546875" customWidth="1"/>
    <col min="26" max="26" width="5.44140625" customWidth="1"/>
    <col min="27" max="27" width="8.33203125" customWidth="1"/>
    <col min="28" max="28" width="7.44140625" customWidth="1"/>
    <col min="29" max="29" width="3" customWidth="1"/>
    <col min="30" max="30" width="7.33203125" customWidth="1"/>
    <col min="31" max="31" width="4.44140625" customWidth="1"/>
    <col min="257" max="257" width="1.44140625" customWidth="1"/>
    <col min="258" max="258" width="7.33203125" customWidth="1"/>
    <col min="259" max="259" width="4.44140625" customWidth="1"/>
    <col min="260" max="260" width="7.5546875" customWidth="1"/>
    <col min="261" max="261" width="5.44140625" customWidth="1"/>
    <col min="262" max="262" width="8.33203125" customWidth="1"/>
    <col min="263" max="263" width="7.44140625" customWidth="1"/>
    <col min="264" max="264" width="3.33203125" customWidth="1"/>
    <col min="265" max="265" width="7.33203125" customWidth="1"/>
    <col min="266" max="266" width="4.44140625" customWidth="1"/>
    <col min="267" max="267" width="7.5546875" customWidth="1"/>
    <col min="268" max="268" width="5.44140625" customWidth="1"/>
    <col min="269" max="269" width="8.33203125" customWidth="1"/>
    <col min="270" max="270" width="7.44140625" customWidth="1"/>
    <col min="271" max="271" width="3" customWidth="1"/>
    <col min="272" max="272" width="7.33203125" customWidth="1"/>
    <col min="273" max="273" width="4.44140625" customWidth="1"/>
    <col min="274" max="274" width="7.5546875" customWidth="1"/>
    <col min="275" max="275" width="5.44140625" customWidth="1"/>
    <col min="276" max="276" width="8.33203125" customWidth="1"/>
    <col min="277" max="277" width="7.44140625" customWidth="1"/>
    <col min="278" max="278" width="3" customWidth="1"/>
    <col min="279" max="279" width="7.33203125" customWidth="1"/>
    <col min="280" max="280" width="4.44140625" customWidth="1"/>
    <col min="281" max="281" width="7.5546875" customWidth="1"/>
    <col min="282" max="282" width="5.44140625" customWidth="1"/>
    <col min="283" max="283" width="8.33203125" customWidth="1"/>
    <col min="284" max="284" width="7.44140625" customWidth="1"/>
    <col min="285" max="285" width="3" customWidth="1"/>
    <col min="286" max="286" width="7.33203125" customWidth="1"/>
    <col min="287" max="287" width="4.44140625" customWidth="1"/>
    <col min="513" max="513" width="1.44140625" customWidth="1"/>
    <col min="514" max="514" width="7.33203125" customWidth="1"/>
    <col min="515" max="515" width="4.44140625" customWidth="1"/>
    <col min="516" max="516" width="7.5546875" customWidth="1"/>
    <col min="517" max="517" width="5.44140625" customWidth="1"/>
    <col min="518" max="518" width="8.33203125" customWidth="1"/>
    <col min="519" max="519" width="7.44140625" customWidth="1"/>
    <col min="520" max="520" width="3.33203125" customWidth="1"/>
    <col min="521" max="521" width="7.33203125" customWidth="1"/>
    <col min="522" max="522" width="4.44140625" customWidth="1"/>
    <col min="523" max="523" width="7.5546875" customWidth="1"/>
    <col min="524" max="524" width="5.44140625" customWidth="1"/>
    <col min="525" max="525" width="8.33203125" customWidth="1"/>
    <col min="526" max="526" width="7.44140625" customWidth="1"/>
    <col min="527" max="527" width="3" customWidth="1"/>
    <col min="528" max="528" width="7.33203125" customWidth="1"/>
    <col min="529" max="529" width="4.44140625" customWidth="1"/>
    <col min="530" max="530" width="7.5546875" customWidth="1"/>
    <col min="531" max="531" width="5.44140625" customWidth="1"/>
    <col min="532" max="532" width="8.33203125" customWidth="1"/>
    <col min="533" max="533" width="7.44140625" customWidth="1"/>
    <col min="534" max="534" width="3" customWidth="1"/>
    <col min="535" max="535" width="7.33203125" customWidth="1"/>
    <col min="536" max="536" width="4.44140625" customWidth="1"/>
    <col min="537" max="537" width="7.5546875" customWidth="1"/>
    <col min="538" max="538" width="5.44140625" customWidth="1"/>
    <col min="539" max="539" width="8.33203125" customWidth="1"/>
    <col min="540" max="540" width="7.44140625" customWidth="1"/>
    <col min="541" max="541" width="3" customWidth="1"/>
    <col min="542" max="542" width="7.33203125" customWidth="1"/>
    <col min="543" max="543" width="4.44140625" customWidth="1"/>
    <col min="769" max="769" width="1.44140625" customWidth="1"/>
    <col min="770" max="770" width="7.33203125" customWidth="1"/>
    <col min="771" max="771" width="4.44140625" customWidth="1"/>
    <col min="772" max="772" width="7.5546875" customWidth="1"/>
    <col min="773" max="773" width="5.44140625" customWidth="1"/>
    <col min="774" max="774" width="8.33203125" customWidth="1"/>
    <col min="775" max="775" width="7.44140625" customWidth="1"/>
    <col min="776" max="776" width="3.33203125" customWidth="1"/>
    <col min="777" max="777" width="7.33203125" customWidth="1"/>
    <col min="778" max="778" width="4.44140625" customWidth="1"/>
    <col min="779" max="779" width="7.5546875" customWidth="1"/>
    <col min="780" max="780" width="5.44140625" customWidth="1"/>
    <col min="781" max="781" width="8.33203125" customWidth="1"/>
    <col min="782" max="782" width="7.44140625" customWidth="1"/>
    <col min="783" max="783" width="3" customWidth="1"/>
    <col min="784" max="784" width="7.33203125" customWidth="1"/>
    <col min="785" max="785" width="4.44140625" customWidth="1"/>
    <col min="786" max="786" width="7.5546875" customWidth="1"/>
    <col min="787" max="787" width="5.44140625" customWidth="1"/>
    <col min="788" max="788" width="8.33203125" customWidth="1"/>
    <col min="789" max="789" width="7.44140625" customWidth="1"/>
    <col min="790" max="790" width="3" customWidth="1"/>
    <col min="791" max="791" width="7.33203125" customWidth="1"/>
    <col min="792" max="792" width="4.44140625" customWidth="1"/>
    <col min="793" max="793" width="7.5546875" customWidth="1"/>
    <col min="794" max="794" width="5.44140625" customWidth="1"/>
    <col min="795" max="795" width="8.33203125" customWidth="1"/>
    <col min="796" max="796" width="7.44140625" customWidth="1"/>
    <col min="797" max="797" width="3" customWidth="1"/>
    <col min="798" max="798" width="7.33203125" customWidth="1"/>
    <col min="799" max="799" width="4.44140625" customWidth="1"/>
  </cols>
  <sheetData>
    <row r="1" spans="1:35">
      <c r="A1" s="91"/>
      <c r="B1" s="91" t="s">
        <v>88</v>
      </c>
    </row>
    <row r="2" spans="1:35">
      <c r="A2" s="91"/>
      <c r="B2" s="91" t="s">
        <v>89</v>
      </c>
    </row>
    <row r="3" spans="1:35">
      <c r="A3" s="300"/>
      <c r="B3" s="62" t="s">
        <v>626</v>
      </c>
    </row>
    <row r="4" spans="1:35" ht="6" customHeight="1"/>
    <row r="5" spans="1:35" ht="6" customHeight="1"/>
    <row r="6" spans="1:35" ht="15.75" customHeight="1">
      <c r="B6" s="683" t="s">
        <v>259</v>
      </c>
      <c r="C6" s="683"/>
      <c r="D6" s="683"/>
      <c r="E6" s="683"/>
      <c r="F6" s="683"/>
      <c r="G6" s="683"/>
      <c r="I6" s="683" t="s">
        <v>263</v>
      </c>
      <c r="J6" s="683"/>
      <c r="K6" s="683"/>
      <c r="L6" s="683"/>
      <c r="M6" s="683"/>
      <c r="N6" s="683"/>
      <c r="P6" s="683" t="s">
        <v>264</v>
      </c>
      <c r="Q6" s="683"/>
      <c r="R6" s="683"/>
      <c r="S6" s="683"/>
      <c r="T6" s="683"/>
      <c r="U6" s="683"/>
      <c r="W6" s="683" t="s">
        <v>265</v>
      </c>
      <c r="X6" s="683"/>
      <c r="Y6" s="683"/>
      <c r="Z6" s="683"/>
      <c r="AA6" s="683"/>
      <c r="AB6" s="683"/>
      <c r="AD6" s="683" t="s">
        <v>266</v>
      </c>
      <c r="AE6" s="683"/>
      <c r="AF6" s="683"/>
      <c r="AG6" s="683"/>
      <c r="AH6" s="683"/>
      <c r="AI6" s="683"/>
    </row>
    <row r="7" spans="1:35">
      <c r="B7" s="385" t="s">
        <v>627</v>
      </c>
      <c r="C7" s="682"/>
      <c r="D7" s="682"/>
      <c r="E7" s="682"/>
      <c r="F7" s="682"/>
      <c r="G7" s="682"/>
      <c r="I7" s="385" t="s">
        <v>627</v>
      </c>
      <c r="J7" s="682"/>
      <c r="K7" s="682"/>
      <c r="L7" s="682"/>
      <c r="M7" s="682"/>
      <c r="N7" s="682"/>
      <c r="P7" s="385" t="s">
        <v>627</v>
      </c>
      <c r="Q7" s="682"/>
      <c r="R7" s="682"/>
      <c r="S7" s="682"/>
      <c r="T7" s="682"/>
      <c r="U7" s="682"/>
      <c r="W7" s="385" t="s">
        <v>627</v>
      </c>
      <c r="X7" s="682"/>
      <c r="Y7" s="682"/>
      <c r="Z7" s="682"/>
      <c r="AA7" s="682"/>
      <c r="AB7" s="682"/>
      <c r="AD7" s="385" t="s">
        <v>627</v>
      </c>
      <c r="AE7" s="682"/>
      <c r="AF7" s="682"/>
      <c r="AG7" s="682"/>
      <c r="AH7" s="682"/>
      <c r="AI7" s="682"/>
    </row>
    <row r="8" spans="1:35" ht="25.5" customHeight="1">
      <c r="B8" s="588" t="s">
        <v>628</v>
      </c>
      <c r="C8" s="588"/>
      <c r="D8" s="198" t="s">
        <v>629</v>
      </c>
      <c r="E8" s="198" t="s">
        <v>630</v>
      </c>
      <c r="F8" s="198" t="s">
        <v>631</v>
      </c>
      <c r="G8" s="198" t="s">
        <v>632</v>
      </c>
      <c r="I8" s="588" t="s">
        <v>628</v>
      </c>
      <c r="J8" s="588"/>
      <c r="K8" s="198" t="s">
        <v>629</v>
      </c>
      <c r="L8" s="198" t="s">
        <v>630</v>
      </c>
      <c r="M8" s="198" t="s">
        <v>631</v>
      </c>
      <c r="N8" s="198" t="s">
        <v>632</v>
      </c>
      <c r="P8" s="588" t="s">
        <v>628</v>
      </c>
      <c r="Q8" s="588"/>
      <c r="R8" s="198" t="s">
        <v>629</v>
      </c>
      <c r="S8" s="198" t="s">
        <v>630</v>
      </c>
      <c r="T8" s="198" t="s">
        <v>631</v>
      </c>
      <c r="U8" s="198" t="s">
        <v>632</v>
      </c>
      <c r="W8" s="588" t="s">
        <v>628</v>
      </c>
      <c r="X8" s="588"/>
      <c r="Y8" s="198" t="s">
        <v>629</v>
      </c>
      <c r="Z8" s="198" t="s">
        <v>630</v>
      </c>
      <c r="AA8" s="198" t="s">
        <v>631</v>
      </c>
      <c r="AB8" s="198" t="s">
        <v>632</v>
      </c>
      <c r="AD8" s="588" t="s">
        <v>628</v>
      </c>
      <c r="AE8" s="588"/>
      <c r="AF8" s="198" t="s">
        <v>629</v>
      </c>
      <c r="AG8" s="198" t="s">
        <v>630</v>
      </c>
      <c r="AH8" s="198" t="s">
        <v>631</v>
      </c>
      <c r="AI8" s="198" t="s">
        <v>632</v>
      </c>
    </row>
    <row r="9" spans="1:35">
      <c r="B9" s="386" t="s">
        <v>633</v>
      </c>
      <c r="C9" s="386" t="s">
        <v>634</v>
      </c>
      <c r="D9" s="386" t="s">
        <v>635</v>
      </c>
      <c r="E9" s="386"/>
      <c r="F9" s="386" t="s">
        <v>636</v>
      </c>
      <c r="G9" s="387">
        <v>100</v>
      </c>
      <c r="I9" s="386" t="s">
        <v>633</v>
      </c>
      <c r="J9" s="386" t="s">
        <v>634</v>
      </c>
      <c r="K9" s="386" t="s">
        <v>635</v>
      </c>
      <c r="L9" s="386"/>
      <c r="M9" s="386" t="s">
        <v>636</v>
      </c>
      <c r="N9" s="387">
        <v>100</v>
      </c>
      <c r="P9" s="386" t="s">
        <v>633</v>
      </c>
      <c r="Q9" s="386" t="s">
        <v>634</v>
      </c>
      <c r="R9" s="386" t="s">
        <v>635</v>
      </c>
      <c r="S9" s="386"/>
      <c r="T9" s="386" t="s">
        <v>636</v>
      </c>
      <c r="U9" s="387">
        <v>100</v>
      </c>
      <c r="W9" s="386" t="s">
        <v>633</v>
      </c>
      <c r="X9" s="386" t="s">
        <v>634</v>
      </c>
      <c r="Y9" s="386" t="s">
        <v>635</v>
      </c>
      <c r="Z9" s="386"/>
      <c r="AA9" s="386" t="s">
        <v>636</v>
      </c>
      <c r="AB9" s="387">
        <v>100</v>
      </c>
      <c r="AD9" s="386" t="s">
        <v>633</v>
      </c>
      <c r="AE9" s="386" t="s">
        <v>634</v>
      </c>
      <c r="AF9" s="386" t="s">
        <v>635</v>
      </c>
      <c r="AG9" s="386"/>
      <c r="AH9" s="386" t="s">
        <v>636</v>
      </c>
      <c r="AI9" s="387">
        <v>100</v>
      </c>
    </row>
    <row r="10" spans="1:35">
      <c r="B10" s="386">
        <v>2023</v>
      </c>
      <c r="C10" s="388" t="s">
        <v>637</v>
      </c>
      <c r="D10" s="389"/>
      <c r="E10" s="390">
        <v>25</v>
      </c>
      <c r="F10" s="389">
        <f t="shared" ref="F10:F22" si="0">D10/30*E10</f>
        <v>0</v>
      </c>
      <c r="G10" s="391">
        <f t="shared" ref="G10:G22" si="1">(G9*F10)+G9</f>
        <v>100</v>
      </c>
      <c r="I10" s="386">
        <f t="shared" ref="I10:I22" si="2">B10+1</f>
        <v>2024</v>
      </c>
      <c r="J10" s="388" t="str">
        <f>$C$10</f>
        <v>AGO</v>
      </c>
      <c r="K10" s="389"/>
      <c r="L10" s="390">
        <f>$E$10</f>
        <v>25</v>
      </c>
      <c r="M10" s="389">
        <f t="shared" ref="M10:M22" si="3">K10/30*L10</f>
        <v>0</v>
      </c>
      <c r="N10" s="391">
        <f t="shared" ref="N10:N22" si="4">(N9*M10)+N9</f>
        <v>100</v>
      </c>
      <c r="P10" s="386">
        <f t="shared" ref="P10:P22" si="5">I10+1</f>
        <v>2025</v>
      </c>
      <c r="Q10" s="388" t="str">
        <f>$C$10</f>
        <v>AGO</v>
      </c>
      <c r="R10" s="389"/>
      <c r="S10" s="390">
        <f>$E$10</f>
        <v>25</v>
      </c>
      <c r="T10" s="389">
        <f t="shared" ref="T10:T22" si="6">R10/30*S10</f>
        <v>0</v>
      </c>
      <c r="U10" s="391">
        <f t="shared" ref="U10:U22" si="7">(U9*T10)+U9</f>
        <v>100</v>
      </c>
      <c r="W10" s="386">
        <f t="shared" ref="W10:W22" si="8">P10+1</f>
        <v>2026</v>
      </c>
      <c r="X10" s="388" t="str">
        <f>$C$10</f>
        <v>AGO</v>
      </c>
      <c r="Y10" s="389"/>
      <c r="Z10" s="390">
        <f>$E$10</f>
        <v>25</v>
      </c>
      <c r="AA10" s="389">
        <f t="shared" ref="AA10:AA22" si="9">Y10/30*Z10</f>
        <v>0</v>
      </c>
      <c r="AB10" s="391">
        <f t="shared" ref="AB10:AB22" si="10">(AB9*AA10)+AB9</f>
        <v>100</v>
      </c>
      <c r="AD10" s="386">
        <f t="shared" ref="AD10:AD22" si="11">W10+1</f>
        <v>2027</v>
      </c>
      <c r="AE10" s="388" t="str">
        <f>$C$10</f>
        <v>AGO</v>
      </c>
      <c r="AF10" s="389"/>
      <c r="AG10" s="390">
        <f>$E$10</f>
        <v>25</v>
      </c>
      <c r="AH10" s="389">
        <f t="shared" ref="AH10:AH22" si="12">AF10/30*AG10</f>
        <v>0</v>
      </c>
      <c r="AI10" s="391">
        <f t="shared" ref="AI10:AI22" si="13">(AI9*AH10)+AI9</f>
        <v>100</v>
      </c>
    </row>
    <row r="11" spans="1:35">
      <c r="B11" s="386">
        <v>2023</v>
      </c>
      <c r="C11" s="388" t="s">
        <v>638</v>
      </c>
      <c r="D11" s="389"/>
      <c r="E11" s="390"/>
      <c r="F11" s="389">
        <f t="shared" si="0"/>
        <v>0</v>
      </c>
      <c r="G11" s="391">
        <f t="shared" si="1"/>
        <v>100</v>
      </c>
      <c r="I11" s="386">
        <f t="shared" si="2"/>
        <v>2024</v>
      </c>
      <c r="J11" s="388" t="str">
        <f>$C$11</f>
        <v>SET</v>
      </c>
      <c r="K11" s="389"/>
      <c r="L11" s="390"/>
      <c r="M11" s="389">
        <f t="shared" si="3"/>
        <v>0</v>
      </c>
      <c r="N11" s="391">
        <f t="shared" si="4"/>
        <v>100</v>
      </c>
      <c r="P11" s="386">
        <f t="shared" si="5"/>
        <v>2025</v>
      </c>
      <c r="Q11" s="388" t="str">
        <f>$C$11</f>
        <v>SET</v>
      </c>
      <c r="R11" s="389"/>
      <c r="S11" s="390"/>
      <c r="T11" s="389">
        <f t="shared" si="6"/>
        <v>0</v>
      </c>
      <c r="U11" s="391">
        <f t="shared" si="7"/>
        <v>100</v>
      </c>
      <c r="W11" s="386">
        <f t="shared" si="8"/>
        <v>2026</v>
      </c>
      <c r="X11" s="388" t="str">
        <f>$C$11</f>
        <v>SET</v>
      </c>
      <c r="Y11" s="389"/>
      <c r="Z11" s="390"/>
      <c r="AA11" s="389">
        <f t="shared" si="9"/>
        <v>0</v>
      </c>
      <c r="AB11" s="391">
        <f t="shared" si="10"/>
        <v>100</v>
      </c>
      <c r="AD11" s="386">
        <f t="shared" si="11"/>
        <v>2027</v>
      </c>
      <c r="AE11" s="388" t="str">
        <f>$C$11</f>
        <v>SET</v>
      </c>
      <c r="AF11" s="389"/>
      <c r="AG11" s="390"/>
      <c r="AH11" s="389">
        <f t="shared" si="12"/>
        <v>0</v>
      </c>
      <c r="AI11" s="391">
        <f t="shared" si="13"/>
        <v>100</v>
      </c>
    </row>
    <row r="12" spans="1:35">
      <c r="B12" s="386">
        <v>2023</v>
      </c>
      <c r="C12" s="388" t="s">
        <v>639</v>
      </c>
      <c r="D12" s="389"/>
      <c r="E12" s="390"/>
      <c r="F12" s="389">
        <f t="shared" si="0"/>
        <v>0</v>
      </c>
      <c r="G12" s="391">
        <f t="shared" si="1"/>
        <v>100</v>
      </c>
      <c r="I12" s="386">
        <f t="shared" si="2"/>
        <v>2024</v>
      </c>
      <c r="J12" s="388" t="str">
        <f>$C$12</f>
        <v>OUT</v>
      </c>
      <c r="K12" s="389"/>
      <c r="L12" s="390"/>
      <c r="M12" s="389">
        <f t="shared" si="3"/>
        <v>0</v>
      </c>
      <c r="N12" s="391">
        <f t="shared" si="4"/>
        <v>100</v>
      </c>
      <c r="P12" s="386">
        <f t="shared" si="5"/>
        <v>2025</v>
      </c>
      <c r="Q12" s="388" t="str">
        <f>$C$12</f>
        <v>OUT</v>
      </c>
      <c r="R12" s="389"/>
      <c r="S12" s="390"/>
      <c r="T12" s="389">
        <f t="shared" si="6"/>
        <v>0</v>
      </c>
      <c r="U12" s="391">
        <f t="shared" si="7"/>
        <v>100</v>
      </c>
      <c r="W12" s="386">
        <f t="shared" si="8"/>
        <v>2026</v>
      </c>
      <c r="X12" s="388" t="str">
        <f>$C$12</f>
        <v>OUT</v>
      </c>
      <c r="Y12" s="389"/>
      <c r="Z12" s="390"/>
      <c r="AA12" s="389">
        <f t="shared" si="9"/>
        <v>0</v>
      </c>
      <c r="AB12" s="391">
        <f t="shared" si="10"/>
        <v>100</v>
      </c>
      <c r="AD12" s="386">
        <f t="shared" si="11"/>
        <v>2027</v>
      </c>
      <c r="AE12" s="388" t="str">
        <f>$C$12</f>
        <v>OUT</v>
      </c>
      <c r="AF12" s="389"/>
      <c r="AG12" s="390"/>
      <c r="AH12" s="389">
        <f t="shared" si="12"/>
        <v>0</v>
      </c>
      <c r="AI12" s="391">
        <f t="shared" si="13"/>
        <v>100</v>
      </c>
    </row>
    <row r="13" spans="1:35">
      <c r="B13" s="386">
        <v>2023</v>
      </c>
      <c r="C13" s="388" t="s">
        <v>640</v>
      </c>
      <c r="D13" s="389"/>
      <c r="E13" s="390"/>
      <c r="F13" s="389">
        <f t="shared" si="0"/>
        <v>0</v>
      </c>
      <c r="G13" s="391">
        <f t="shared" si="1"/>
        <v>100</v>
      </c>
      <c r="I13" s="386">
        <f t="shared" si="2"/>
        <v>2024</v>
      </c>
      <c r="J13" s="388" t="str">
        <f>$C$13</f>
        <v>NOV</v>
      </c>
      <c r="K13" s="389"/>
      <c r="L13" s="390"/>
      <c r="M13" s="389">
        <f t="shared" si="3"/>
        <v>0</v>
      </c>
      <c r="N13" s="391">
        <f t="shared" si="4"/>
        <v>100</v>
      </c>
      <c r="P13" s="386">
        <f t="shared" si="5"/>
        <v>2025</v>
      </c>
      <c r="Q13" s="388" t="str">
        <f>$C$13</f>
        <v>NOV</v>
      </c>
      <c r="R13" s="389"/>
      <c r="S13" s="390"/>
      <c r="T13" s="389">
        <f t="shared" si="6"/>
        <v>0</v>
      </c>
      <c r="U13" s="391">
        <f t="shared" si="7"/>
        <v>100</v>
      </c>
      <c r="W13" s="386">
        <f t="shared" si="8"/>
        <v>2026</v>
      </c>
      <c r="X13" s="388" t="str">
        <f>$C$13</f>
        <v>NOV</v>
      </c>
      <c r="Y13" s="389"/>
      <c r="Z13" s="390"/>
      <c r="AA13" s="389">
        <f t="shared" si="9"/>
        <v>0</v>
      </c>
      <c r="AB13" s="391">
        <f t="shared" si="10"/>
        <v>100</v>
      </c>
      <c r="AD13" s="386">
        <f t="shared" si="11"/>
        <v>2027</v>
      </c>
      <c r="AE13" s="388" t="str">
        <f>$C$13</f>
        <v>NOV</v>
      </c>
      <c r="AF13" s="389"/>
      <c r="AG13" s="390"/>
      <c r="AH13" s="389">
        <f t="shared" si="12"/>
        <v>0</v>
      </c>
      <c r="AI13" s="391">
        <f t="shared" si="13"/>
        <v>100</v>
      </c>
    </row>
    <row r="14" spans="1:35">
      <c r="B14" s="386">
        <v>2023</v>
      </c>
      <c r="C14" s="388" t="s">
        <v>641</v>
      </c>
      <c r="D14" s="389"/>
      <c r="E14" s="390"/>
      <c r="F14" s="389">
        <f t="shared" si="0"/>
        <v>0</v>
      </c>
      <c r="G14" s="391">
        <f t="shared" si="1"/>
        <v>100</v>
      </c>
      <c r="I14" s="386">
        <f t="shared" si="2"/>
        <v>2024</v>
      </c>
      <c r="J14" s="388" t="str">
        <f>$C$14</f>
        <v>DEZ</v>
      </c>
      <c r="K14" s="389"/>
      <c r="L14" s="390"/>
      <c r="M14" s="389">
        <f t="shared" si="3"/>
        <v>0</v>
      </c>
      <c r="N14" s="391">
        <f t="shared" si="4"/>
        <v>100</v>
      </c>
      <c r="P14" s="386">
        <f t="shared" si="5"/>
        <v>2025</v>
      </c>
      <c r="Q14" s="388" t="str">
        <f>$C$14</f>
        <v>DEZ</v>
      </c>
      <c r="R14" s="389"/>
      <c r="S14" s="390"/>
      <c r="T14" s="389">
        <f t="shared" si="6"/>
        <v>0</v>
      </c>
      <c r="U14" s="391">
        <f t="shared" si="7"/>
        <v>100</v>
      </c>
      <c r="W14" s="386">
        <f t="shared" si="8"/>
        <v>2026</v>
      </c>
      <c r="X14" s="388" t="str">
        <f>$C$14</f>
        <v>DEZ</v>
      </c>
      <c r="Y14" s="389"/>
      <c r="Z14" s="390"/>
      <c r="AA14" s="389">
        <f t="shared" si="9"/>
        <v>0</v>
      </c>
      <c r="AB14" s="391">
        <f t="shared" si="10"/>
        <v>100</v>
      </c>
      <c r="AD14" s="386">
        <f t="shared" si="11"/>
        <v>2027</v>
      </c>
      <c r="AE14" s="388" t="str">
        <f>$C$14</f>
        <v>DEZ</v>
      </c>
      <c r="AF14" s="389"/>
      <c r="AG14" s="390"/>
      <c r="AH14" s="389">
        <f t="shared" si="12"/>
        <v>0</v>
      </c>
      <c r="AI14" s="391">
        <f t="shared" si="13"/>
        <v>100</v>
      </c>
    </row>
    <row r="15" spans="1:35">
      <c r="B15" s="386">
        <v>2023</v>
      </c>
      <c r="C15" s="388" t="s">
        <v>641</v>
      </c>
      <c r="D15" s="389"/>
      <c r="E15" s="390"/>
      <c r="F15" s="389">
        <f t="shared" si="0"/>
        <v>0</v>
      </c>
      <c r="G15" s="391">
        <f t="shared" si="1"/>
        <v>100</v>
      </c>
      <c r="I15" s="386">
        <f t="shared" si="2"/>
        <v>2024</v>
      </c>
      <c r="J15" s="388" t="str">
        <f>$C$15</f>
        <v>DEZ</v>
      </c>
      <c r="K15" s="389"/>
      <c r="L15" s="390"/>
      <c r="M15" s="389">
        <f t="shared" si="3"/>
        <v>0</v>
      </c>
      <c r="N15" s="391">
        <f t="shared" si="4"/>
        <v>100</v>
      </c>
      <c r="P15" s="386">
        <f t="shared" si="5"/>
        <v>2025</v>
      </c>
      <c r="Q15" s="388" t="str">
        <f>$C$15</f>
        <v>DEZ</v>
      </c>
      <c r="R15" s="389"/>
      <c r="S15" s="390"/>
      <c r="T15" s="389">
        <f t="shared" si="6"/>
        <v>0</v>
      </c>
      <c r="U15" s="391">
        <f t="shared" si="7"/>
        <v>100</v>
      </c>
      <c r="W15" s="386">
        <f t="shared" si="8"/>
        <v>2026</v>
      </c>
      <c r="X15" s="388" t="str">
        <f>$C$15</f>
        <v>DEZ</v>
      </c>
      <c r="Y15" s="389"/>
      <c r="Z15" s="390"/>
      <c r="AA15" s="389">
        <f t="shared" si="9"/>
        <v>0</v>
      </c>
      <c r="AB15" s="391">
        <f t="shared" si="10"/>
        <v>100</v>
      </c>
      <c r="AD15" s="386">
        <f t="shared" si="11"/>
        <v>2027</v>
      </c>
      <c r="AE15" s="388" t="str">
        <f>$C$15</f>
        <v>DEZ</v>
      </c>
      <c r="AF15" s="389"/>
      <c r="AG15" s="390"/>
      <c r="AH15" s="389">
        <f t="shared" si="12"/>
        <v>0</v>
      </c>
      <c r="AI15" s="391">
        <f t="shared" si="13"/>
        <v>100</v>
      </c>
    </row>
    <row r="16" spans="1:35">
      <c r="B16" s="386">
        <v>2024</v>
      </c>
      <c r="C16" s="392" t="s">
        <v>642</v>
      </c>
      <c r="D16" s="393"/>
      <c r="E16" s="394"/>
      <c r="F16" s="389">
        <f t="shared" si="0"/>
        <v>0</v>
      </c>
      <c r="G16" s="391">
        <f t="shared" si="1"/>
        <v>100</v>
      </c>
      <c r="I16" s="386">
        <f t="shared" si="2"/>
        <v>2025</v>
      </c>
      <c r="J16" s="388" t="str">
        <f>$C$16</f>
        <v>JAN</v>
      </c>
      <c r="K16" s="393"/>
      <c r="L16" s="390"/>
      <c r="M16" s="389">
        <f t="shared" si="3"/>
        <v>0</v>
      </c>
      <c r="N16" s="391">
        <f t="shared" si="4"/>
        <v>100</v>
      </c>
      <c r="P16" s="386">
        <f t="shared" si="5"/>
        <v>2026</v>
      </c>
      <c r="Q16" s="388" t="str">
        <f>$C$16</f>
        <v>JAN</v>
      </c>
      <c r="R16" s="393"/>
      <c r="S16" s="390"/>
      <c r="T16" s="389">
        <f t="shared" si="6"/>
        <v>0</v>
      </c>
      <c r="U16" s="391">
        <f t="shared" si="7"/>
        <v>100</v>
      </c>
      <c r="W16" s="386">
        <f t="shared" si="8"/>
        <v>2027</v>
      </c>
      <c r="X16" s="388" t="str">
        <f>$C$16</f>
        <v>JAN</v>
      </c>
      <c r="Y16" s="393"/>
      <c r="Z16" s="390"/>
      <c r="AA16" s="389">
        <f t="shared" si="9"/>
        <v>0</v>
      </c>
      <c r="AB16" s="391">
        <f t="shared" si="10"/>
        <v>100</v>
      </c>
      <c r="AD16" s="386">
        <f t="shared" si="11"/>
        <v>2028</v>
      </c>
      <c r="AE16" s="388" t="str">
        <f>$C$16</f>
        <v>JAN</v>
      </c>
      <c r="AF16" s="393"/>
      <c r="AG16" s="390"/>
      <c r="AH16" s="389">
        <f t="shared" si="12"/>
        <v>0</v>
      </c>
      <c r="AI16" s="391">
        <f t="shared" si="13"/>
        <v>100</v>
      </c>
    </row>
    <row r="17" spans="2:35">
      <c r="B17" s="386">
        <v>2024</v>
      </c>
      <c r="C17" s="388" t="s">
        <v>643</v>
      </c>
      <c r="D17" s="389"/>
      <c r="E17" s="390"/>
      <c r="F17" s="389">
        <f t="shared" si="0"/>
        <v>0</v>
      </c>
      <c r="G17" s="391">
        <f t="shared" si="1"/>
        <v>100</v>
      </c>
      <c r="I17" s="386">
        <f t="shared" si="2"/>
        <v>2025</v>
      </c>
      <c r="J17" s="388" t="str">
        <f>$C$17</f>
        <v>FEV</v>
      </c>
      <c r="K17" s="389"/>
      <c r="L17" s="390"/>
      <c r="M17" s="389">
        <f t="shared" si="3"/>
        <v>0</v>
      </c>
      <c r="N17" s="391">
        <f t="shared" si="4"/>
        <v>100</v>
      </c>
      <c r="P17" s="386">
        <f t="shared" si="5"/>
        <v>2026</v>
      </c>
      <c r="Q17" s="388" t="str">
        <f>$C$17</f>
        <v>FEV</v>
      </c>
      <c r="R17" s="389"/>
      <c r="S17" s="390"/>
      <c r="T17" s="389">
        <f t="shared" si="6"/>
        <v>0</v>
      </c>
      <c r="U17" s="391">
        <f t="shared" si="7"/>
        <v>100</v>
      </c>
      <c r="W17" s="386">
        <f t="shared" si="8"/>
        <v>2027</v>
      </c>
      <c r="X17" s="388" t="str">
        <f>$C$17</f>
        <v>FEV</v>
      </c>
      <c r="Y17" s="389"/>
      <c r="Z17" s="390"/>
      <c r="AA17" s="389">
        <f t="shared" si="9"/>
        <v>0</v>
      </c>
      <c r="AB17" s="391">
        <f t="shared" si="10"/>
        <v>100</v>
      </c>
      <c r="AD17" s="386">
        <f t="shared" si="11"/>
        <v>2028</v>
      </c>
      <c r="AE17" s="388" t="str">
        <f>$C$17</f>
        <v>FEV</v>
      </c>
      <c r="AF17" s="389"/>
      <c r="AG17" s="390"/>
      <c r="AH17" s="389">
        <f t="shared" si="12"/>
        <v>0</v>
      </c>
      <c r="AI17" s="391">
        <f t="shared" si="13"/>
        <v>100</v>
      </c>
    </row>
    <row r="18" spans="2:35">
      <c r="B18" s="386">
        <v>2024</v>
      </c>
      <c r="C18" s="392" t="s">
        <v>644</v>
      </c>
      <c r="D18" s="389"/>
      <c r="E18" s="390"/>
      <c r="F18" s="389">
        <f t="shared" si="0"/>
        <v>0</v>
      </c>
      <c r="G18" s="391">
        <f t="shared" si="1"/>
        <v>100</v>
      </c>
      <c r="I18" s="386">
        <f t="shared" si="2"/>
        <v>2025</v>
      </c>
      <c r="J18" s="388" t="str">
        <f>$C$18</f>
        <v>MAR</v>
      </c>
      <c r="K18" s="389"/>
      <c r="L18" s="390"/>
      <c r="M18" s="389">
        <f t="shared" si="3"/>
        <v>0</v>
      </c>
      <c r="N18" s="391">
        <f t="shared" si="4"/>
        <v>100</v>
      </c>
      <c r="P18" s="386">
        <f t="shared" si="5"/>
        <v>2026</v>
      </c>
      <c r="Q18" s="388" t="str">
        <f>$C$18</f>
        <v>MAR</v>
      </c>
      <c r="R18" s="389"/>
      <c r="S18" s="390"/>
      <c r="T18" s="389">
        <f t="shared" si="6"/>
        <v>0</v>
      </c>
      <c r="U18" s="391">
        <f t="shared" si="7"/>
        <v>100</v>
      </c>
      <c r="W18" s="386">
        <f t="shared" si="8"/>
        <v>2027</v>
      </c>
      <c r="X18" s="388" t="str">
        <f>$C$18</f>
        <v>MAR</v>
      </c>
      <c r="Y18" s="389"/>
      <c r="Z18" s="390"/>
      <c r="AA18" s="389">
        <f t="shared" si="9"/>
        <v>0</v>
      </c>
      <c r="AB18" s="391">
        <f t="shared" si="10"/>
        <v>100</v>
      </c>
      <c r="AD18" s="386">
        <f t="shared" si="11"/>
        <v>2028</v>
      </c>
      <c r="AE18" s="388" t="str">
        <f>$C$18</f>
        <v>MAR</v>
      </c>
      <c r="AF18" s="389"/>
      <c r="AG18" s="390"/>
      <c r="AH18" s="389">
        <f t="shared" si="12"/>
        <v>0</v>
      </c>
      <c r="AI18" s="391">
        <f t="shared" si="13"/>
        <v>100</v>
      </c>
    </row>
    <row r="19" spans="2:35">
      <c r="B19" s="386">
        <v>2024</v>
      </c>
      <c r="C19" s="388" t="s">
        <v>645</v>
      </c>
      <c r="D19" s="389"/>
      <c r="E19" s="390"/>
      <c r="F19" s="389">
        <f t="shared" si="0"/>
        <v>0</v>
      </c>
      <c r="G19" s="391">
        <f t="shared" si="1"/>
        <v>100</v>
      </c>
      <c r="I19" s="386">
        <f t="shared" si="2"/>
        <v>2025</v>
      </c>
      <c r="J19" s="388" t="str">
        <f>$C$19</f>
        <v>ABR</v>
      </c>
      <c r="K19" s="389"/>
      <c r="L19" s="390"/>
      <c r="M19" s="389">
        <f t="shared" si="3"/>
        <v>0</v>
      </c>
      <c r="N19" s="391">
        <f t="shared" si="4"/>
        <v>100</v>
      </c>
      <c r="P19" s="386">
        <f t="shared" si="5"/>
        <v>2026</v>
      </c>
      <c r="Q19" s="388" t="str">
        <f>$C$19</f>
        <v>ABR</v>
      </c>
      <c r="R19" s="389"/>
      <c r="S19" s="390"/>
      <c r="T19" s="389">
        <f t="shared" si="6"/>
        <v>0</v>
      </c>
      <c r="U19" s="391">
        <f t="shared" si="7"/>
        <v>100</v>
      </c>
      <c r="W19" s="386">
        <f t="shared" si="8"/>
        <v>2027</v>
      </c>
      <c r="X19" s="388" t="str">
        <f>$C$19</f>
        <v>ABR</v>
      </c>
      <c r="Y19" s="389"/>
      <c r="Z19" s="390"/>
      <c r="AA19" s="389">
        <f t="shared" si="9"/>
        <v>0</v>
      </c>
      <c r="AB19" s="391">
        <f t="shared" si="10"/>
        <v>100</v>
      </c>
      <c r="AD19" s="386">
        <f t="shared" si="11"/>
        <v>2028</v>
      </c>
      <c r="AE19" s="388" t="str">
        <f>$C$19</f>
        <v>ABR</v>
      </c>
      <c r="AF19" s="389"/>
      <c r="AG19" s="390"/>
      <c r="AH19" s="389">
        <f t="shared" si="12"/>
        <v>0</v>
      </c>
      <c r="AI19" s="391">
        <f t="shared" si="13"/>
        <v>100</v>
      </c>
    </row>
    <row r="20" spans="2:35">
      <c r="B20" s="386">
        <v>2024</v>
      </c>
      <c r="C20" s="392" t="s">
        <v>646</v>
      </c>
      <c r="D20" s="389"/>
      <c r="E20" s="390"/>
      <c r="F20" s="389">
        <f t="shared" si="0"/>
        <v>0</v>
      </c>
      <c r="G20" s="391">
        <f t="shared" si="1"/>
        <v>100</v>
      </c>
      <c r="I20" s="386">
        <f t="shared" si="2"/>
        <v>2025</v>
      </c>
      <c r="J20" s="388" t="str">
        <f>$C$20</f>
        <v>MAI</v>
      </c>
      <c r="K20" s="389"/>
      <c r="L20" s="390"/>
      <c r="M20" s="389">
        <f t="shared" si="3"/>
        <v>0</v>
      </c>
      <c r="N20" s="391">
        <f t="shared" si="4"/>
        <v>100</v>
      </c>
      <c r="P20" s="386">
        <f t="shared" si="5"/>
        <v>2026</v>
      </c>
      <c r="Q20" s="388" t="str">
        <f>$C$20</f>
        <v>MAI</v>
      </c>
      <c r="R20" s="389"/>
      <c r="S20" s="390"/>
      <c r="T20" s="389">
        <f t="shared" si="6"/>
        <v>0</v>
      </c>
      <c r="U20" s="391">
        <f t="shared" si="7"/>
        <v>100</v>
      </c>
      <c r="W20" s="386">
        <f t="shared" si="8"/>
        <v>2027</v>
      </c>
      <c r="X20" s="388" t="str">
        <f>$C$20</f>
        <v>MAI</v>
      </c>
      <c r="Y20" s="389"/>
      <c r="Z20" s="390"/>
      <c r="AA20" s="389">
        <f t="shared" si="9"/>
        <v>0</v>
      </c>
      <c r="AB20" s="391">
        <f t="shared" si="10"/>
        <v>100</v>
      </c>
      <c r="AD20" s="386">
        <f t="shared" si="11"/>
        <v>2028</v>
      </c>
      <c r="AE20" s="388" t="str">
        <f>$C$20</f>
        <v>MAI</v>
      </c>
      <c r="AF20" s="389"/>
      <c r="AG20" s="390"/>
      <c r="AH20" s="389">
        <f t="shared" si="12"/>
        <v>0</v>
      </c>
      <c r="AI20" s="391">
        <f t="shared" si="13"/>
        <v>100</v>
      </c>
    </row>
    <row r="21" spans="2:35">
      <c r="B21" s="386">
        <v>2024</v>
      </c>
      <c r="C21" s="388" t="s">
        <v>647</v>
      </c>
      <c r="D21" s="389"/>
      <c r="E21" s="390"/>
      <c r="F21" s="389">
        <f t="shared" si="0"/>
        <v>0</v>
      </c>
      <c r="G21" s="391">
        <f t="shared" si="1"/>
        <v>100</v>
      </c>
      <c r="I21" s="386">
        <f t="shared" si="2"/>
        <v>2025</v>
      </c>
      <c r="J21" s="388" t="str">
        <f>$C$21</f>
        <v>JUN</v>
      </c>
      <c r="K21" s="389"/>
      <c r="L21" s="390"/>
      <c r="M21" s="389">
        <f t="shared" si="3"/>
        <v>0</v>
      </c>
      <c r="N21" s="391">
        <f t="shared" si="4"/>
        <v>100</v>
      </c>
      <c r="P21" s="386">
        <f t="shared" si="5"/>
        <v>2026</v>
      </c>
      <c r="Q21" s="388" t="str">
        <f>$C$21</f>
        <v>JUN</v>
      </c>
      <c r="R21" s="389"/>
      <c r="S21" s="390"/>
      <c r="T21" s="389">
        <f t="shared" si="6"/>
        <v>0</v>
      </c>
      <c r="U21" s="391">
        <f t="shared" si="7"/>
        <v>100</v>
      </c>
      <c r="W21" s="386">
        <f t="shared" si="8"/>
        <v>2027</v>
      </c>
      <c r="X21" s="388" t="str">
        <f>$C$21</f>
        <v>JUN</v>
      </c>
      <c r="Y21" s="389"/>
      <c r="Z21" s="390"/>
      <c r="AA21" s="389">
        <f t="shared" si="9"/>
        <v>0</v>
      </c>
      <c r="AB21" s="391">
        <f t="shared" si="10"/>
        <v>100</v>
      </c>
      <c r="AD21" s="386">
        <f t="shared" si="11"/>
        <v>2028</v>
      </c>
      <c r="AE21" s="388" t="str">
        <f>$C$21</f>
        <v>JUN</v>
      </c>
      <c r="AF21" s="389"/>
      <c r="AG21" s="390"/>
      <c r="AH21" s="389">
        <f t="shared" si="12"/>
        <v>0</v>
      </c>
      <c r="AI21" s="391">
        <f t="shared" si="13"/>
        <v>100</v>
      </c>
    </row>
    <row r="22" spans="2:35">
      <c r="B22" s="386">
        <v>2024</v>
      </c>
      <c r="C22" s="392" t="s">
        <v>648</v>
      </c>
      <c r="D22" s="389"/>
      <c r="E22" s="390">
        <v>5</v>
      </c>
      <c r="F22" s="389">
        <f t="shared" si="0"/>
        <v>0</v>
      </c>
      <c r="G22" s="391">
        <f t="shared" si="1"/>
        <v>100</v>
      </c>
      <c r="I22" s="386">
        <f t="shared" si="2"/>
        <v>2025</v>
      </c>
      <c r="J22" s="388" t="str">
        <f>$C$22</f>
        <v>JUL</v>
      </c>
      <c r="K22" s="389"/>
      <c r="L22" s="390">
        <f>$E$22</f>
        <v>5</v>
      </c>
      <c r="M22" s="389">
        <f t="shared" si="3"/>
        <v>0</v>
      </c>
      <c r="N22" s="391">
        <f t="shared" si="4"/>
        <v>100</v>
      </c>
      <c r="P22" s="386">
        <f t="shared" si="5"/>
        <v>2026</v>
      </c>
      <c r="Q22" s="388" t="str">
        <f>$C$22</f>
        <v>JUL</v>
      </c>
      <c r="R22" s="389"/>
      <c r="S22" s="390">
        <f>$E$22</f>
        <v>5</v>
      </c>
      <c r="T22" s="389">
        <f t="shared" si="6"/>
        <v>0</v>
      </c>
      <c r="U22" s="391">
        <f t="shared" si="7"/>
        <v>100</v>
      </c>
      <c r="W22" s="386">
        <f t="shared" si="8"/>
        <v>2027</v>
      </c>
      <c r="X22" s="388" t="str">
        <f>$C$22</f>
        <v>JUL</v>
      </c>
      <c r="Y22" s="389"/>
      <c r="Z22" s="390">
        <f>$E$22</f>
        <v>5</v>
      </c>
      <c r="AA22" s="389">
        <f t="shared" si="9"/>
        <v>0</v>
      </c>
      <c r="AB22" s="391">
        <f t="shared" si="10"/>
        <v>100</v>
      </c>
      <c r="AD22" s="386">
        <f t="shared" si="11"/>
        <v>2028</v>
      </c>
      <c r="AE22" s="388" t="str">
        <f>$C$22</f>
        <v>JUL</v>
      </c>
      <c r="AF22" s="389"/>
      <c r="AG22" s="390">
        <f>$E$22</f>
        <v>5</v>
      </c>
      <c r="AH22" s="389">
        <f t="shared" si="12"/>
        <v>0</v>
      </c>
      <c r="AI22" s="391">
        <f t="shared" si="13"/>
        <v>100</v>
      </c>
    </row>
    <row r="23" spans="2:35">
      <c r="B23" s="681" t="s">
        <v>649</v>
      </c>
      <c r="C23" s="681"/>
      <c r="D23" s="681"/>
      <c r="E23" s="681"/>
      <c r="F23" s="681"/>
      <c r="G23" s="395">
        <f>ROUND(((G22-G9)/G9),4)</f>
        <v>0</v>
      </c>
      <c r="I23" s="681" t="s">
        <v>649</v>
      </c>
      <c r="J23" s="681"/>
      <c r="K23" s="681"/>
      <c r="L23" s="681"/>
      <c r="M23" s="681"/>
      <c r="N23" s="395">
        <f>ROUND(((N22-N9)/N9),4)</f>
        <v>0</v>
      </c>
      <c r="P23" s="681" t="s">
        <v>649</v>
      </c>
      <c r="Q23" s="681"/>
      <c r="R23" s="681"/>
      <c r="S23" s="681"/>
      <c r="T23" s="681"/>
      <c r="U23" s="395">
        <f>ROUND(((U22-U9)/U9),4)</f>
        <v>0</v>
      </c>
      <c r="W23" s="681" t="s">
        <v>649</v>
      </c>
      <c r="X23" s="681"/>
      <c r="Y23" s="681"/>
      <c r="Z23" s="681"/>
      <c r="AA23" s="681"/>
      <c r="AB23" s="395">
        <f>ROUND(((AB22-AB9)/AB9),4)</f>
        <v>0</v>
      </c>
      <c r="AD23" s="681" t="s">
        <v>649</v>
      </c>
      <c r="AE23" s="681"/>
      <c r="AF23" s="681"/>
      <c r="AG23" s="681"/>
      <c r="AH23" s="681"/>
      <c r="AI23" s="395">
        <f>ROUND(((AI22-AI9)/AI9),4)</f>
        <v>0</v>
      </c>
    </row>
  </sheetData>
  <sheetProtection sheet="1" objects="1" scenarios="1"/>
  <mergeCells count="20">
    <mergeCell ref="B6:G6"/>
    <mergeCell ref="I6:N6"/>
    <mergeCell ref="P6:U6"/>
    <mergeCell ref="W6:AB6"/>
    <mergeCell ref="AD6:AI6"/>
    <mergeCell ref="C7:G7"/>
    <mergeCell ref="J7:N7"/>
    <mergeCell ref="Q7:U7"/>
    <mergeCell ref="X7:AB7"/>
    <mergeCell ref="AE7:AI7"/>
    <mergeCell ref="B8:C8"/>
    <mergeCell ref="I8:J8"/>
    <mergeCell ref="P8:Q8"/>
    <mergeCell ref="W8:X8"/>
    <mergeCell ref="AD8:AE8"/>
    <mergeCell ref="B23:F23"/>
    <mergeCell ref="I23:M23"/>
    <mergeCell ref="P23:T23"/>
    <mergeCell ref="W23:AA23"/>
    <mergeCell ref="AD23:AH23"/>
  </mergeCells>
  <pageMargins left="0.51180555555555596" right="0.51180555555555596" top="0.78749999999999998" bottom="0.78749999999999998" header="0.511811023622047" footer="0.511811023622047"/>
  <pageSetup paperSize="9" scale="5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AMK78"/>
  <sheetViews>
    <sheetView showGridLines="0" tabSelected="1" zoomScaleNormal="100" zoomScaleSheetLayoutView="130" zoomScalePageLayoutView="140" workbookViewId="0">
      <selection activeCell="A4" sqref="A4:X4"/>
    </sheetView>
  </sheetViews>
  <sheetFormatPr defaultColWidth="8.6640625" defaultRowHeight="14.4"/>
  <cols>
    <col min="1" max="1" width="6.33203125" style="57" customWidth="1"/>
    <col min="2" max="2" width="8.6640625" style="87"/>
    <col min="3" max="3" width="4" style="62" customWidth="1"/>
    <col min="4" max="23" width="9.109375" style="62" customWidth="1"/>
    <col min="24" max="24" width="10.6640625" style="62" customWidth="1"/>
    <col min="25" max="256" width="9.109375" style="62" customWidth="1"/>
    <col min="257" max="257" width="4.5546875" style="62" customWidth="1"/>
    <col min="258" max="258" width="11.109375" style="62" customWidth="1"/>
    <col min="259" max="259" width="4" style="62" customWidth="1"/>
    <col min="260" max="512" width="9.109375" style="62" customWidth="1"/>
    <col min="513" max="513" width="4.5546875" style="62" customWidth="1"/>
    <col min="514" max="514" width="11.109375" style="62" customWidth="1"/>
    <col min="515" max="515" width="4" style="62" customWidth="1"/>
    <col min="516" max="768" width="9.109375" style="62" customWidth="1"/>
    <col min="769" max="769" width="4.5546875" style="62" customWidth="1"/>
    <col min="770" max="770" width="11.109375" style="62" customWidth="1"/>
    <col min="771" max="771" width="4" style="62" customWidth="1"/>
    <col min="772" max="1025" width="9.109375" style="62" customWidth="1"/>
  </cols>
  <sheetData>
    <row r="1" spans="1:24">
      <c r="A1" s="88"/>
      <c r="B1" s="89" t="s">
        <v>88</v>
      </c>
    </row>
    <row r="2" spans="1:24">
      <c r="A2" s="90"/>
      <c r="B2" s="91" t="s">
        <v>89</v>
      </c>
    </row>
    <row r="3" spans="1:24">
      <c r="A3" s="90"/>
      <c r="B3" s="62" t="s">
        <v>90</v>
      </c>
    </row>
    <row r="4" spans="1:24" s="17" customFormat="1" ht="15.6">
      <c r="A4" s="542" t="s">
        <v>91</v>
      </c>
      <c r="B4" s="542"/>
      <c r="C4" s="542"/>
      <c r="D4" s="542"/>
      <c r="E4" s="542"/>
      <c r="F4" s="542"/>
      <c r="G4" s="542"/>
      <c r="H4" s="542"/>
      <c r="I4" s="542"/>
      <c r="J4" s="542"/>
      <c r="K4" s="542"/>
      <c r="L4" s="542"/>
      <c r="M4" s="542"/>
      <c r="N4" s="542"/>
      <c r="O4" s="542"/>
      <c r="P4" s="542"/>
      <c r="Q4" s="542"/>
      <c r="R4" s="542"/>
      <c r="S4" s="542"/>
      <c r="T4" s="542"/>
      <c r="U4" s="542"/>
      <c r="V4" s="542"/>
      <c r="W4" s="542"/>
      <c r="X4" s="542"/>
    </row>
    <row r="5" spans="1:24" ht="12" customHeight="1"/>
    <row r="6" spans="1:24">
      <c r="A6" s="92" t="s">
        <v>92</v>
      </c>
      <c r="B6" s="93" t="s">
        <v>93</v>
      </c>
    </row>
    <row r="7" spans="1:24" ht="7.5" customHeight="1"/>
    <row r="8" spans="1:24">
      <c r="B8" s="94"/>
      <c r="C8" s="87" t="s">
        <v>94</v>
      </c>
    </row>
    <row r="10" spans="1:24">
      <c r="A10" s="92" t="s">
        <v>95</v>
      </c>
      <c r="B10" s="87" t="s">
        <v>96</v>
      </c>
    </row>
    <row r="12" spans="1:24">
      <c r="A12" s="92" t="s">
        <v>97</v>
      </c>
      <c r="B12" s="87" t="s">
        <v>98</v>
      </c>
    </row>
    <row r="13" spans="1:24">
      <c r="A13" s="92"/>
      <c r="B13" s="87" t="s">
        <v>99</v>
      </c>
    </row>
    <row r="14" spans="1:24" s="96" customFormat="1" ht="17.25" customHeight="1">
      <c r="A14" s="92"/>
      <c r="B14" s="95" t="s">
        <v>100</v>
      </c>
    </row>
    <row r="15" spans="1:24" ht="7.5" customHeight="1"/>
    <row r="16" spans="1:24">
      <c r="B16" s="97" t="s">
        <v>101</v>
      </c>
      <c r="C16" s="98" t="s">
        <v>102</v>
      </c>
      <c r="D16" s="98"/>
      <c r="E16" s="98"/>
      <c r="F16" s="98"/>
      <c r="G16" s="98"/>
    </row>
    <row r="18" spans="3:4">
      <c r="C18" s="99" t="s">
        <v>103</v>
      </c>
      <c r="D18" s="99" t="s">
        <v>104</v>
      </c>
    </row>
    <row r="19" spans="3:4">
      <c r="D19" s="62" t="s">
        <v>105</v>
      </c>
    </row>
    <row r="20" spans="3:4">
      <c r="D20" s="62" t="s">
        <v>106</v>
      </c>
    </row>
    <row r="21" spans="3:4">
      <c r="C21" s="99"/>
      <c r="D21" s="62" t="s">
        <v>107</v>
      </c>
    </row>
    <row r="22" spans="3:4">
      <c r="D22" s="62" t="s">
        <v>108</v>
      </c>
    </row>
    <row r="23" spans="3:4">
      <c r="D23" s="62" t="s">
        <v>109</v>
      </c>
    </row>
    <row r="24" spans="3:4">
      <c r="D24" s="62" t="s">
        <v>110</v>
      </c>
    </row>
    <row r="25" spans="3:4">
      <c r="D25" s="62" t="s">
        <v>111</v>
      </c>
    </row>
    <row r="26" spans="3:4">
      <c r="D26" s="62" t="s">
        <v>112</v>
      </c>
    </row>
    <row r="27" spans="3:4">
      <c r="D27" s="62" t="s">
        <v>113</v>
      </c>
    </row>
    <row r="28" spans="3:4">
      <c r="D28" s="62" t="s">
        <v>114</v>
      </c>
    </row>
    <row r="29" spans="3:4">
      <c r="D29" s="62" t="s">
        <v>115</v>
      </c>
    </row>
    <row r="30" spans="3:4">
      <c r="D30" s="62" t="s">
        <v>116</v>
      </c>
    </row>
    <row r="31" spans="3:4">
      <c r="D31" s="62" t="s">
        <v>117</v>
      </c>
    </row>
    <row r="32" spans="3:4">
      <c r="D32" s="62" t="s">
        <v>118</v>
      </c>
    </row>
    <row r="33" spans="3:8">
      <c r="D33" s="62" t="s">
        <v>119</v>
      </c>
    </row>
    <row r="34" spans="3:8">
      <c r="D34" s="62" t="s">
        <v>120</v>
      </c>
    </row>
    <row r="35" spans="3:8">
      <c r="D35" s="62" t="s">
        <v>121</v>
      </c>
    </row>
    <row r="36" spans="3:8">
      <c r="D36" s="62" t="s">
        <v>122</v>
      </c>
    </row>
    <row r="37" spans="3:8">
      <c r="D37" s="62" t="s">
        <v>123</v>
      </c>
    </row>
    <row r="38" spans="3:8">
      <c r="D38" s="62" t="s">
        <v>124</v>
      </c>
    </row>
    <row r="39" spans="3:8">
      <c r="D39" s="62" t="s">
        <v>125</v>
      </c>
    </row>
    <row r="40" spans="3:8">
      <c r="D40" s="62" t="s">
        <v>126</v>
      </c>
    </row>
    <row r="41" spans="3:8">
      <c r="D41" s="62" t="s">
        <v>127</v>
      </c>
    </row>
    <row r="42" spans="3:8">
      <c r="D42" s="98" t="s">
        <v>128</v>
      </c>
      <c r="E42" s="98"/>
      <c r="F42" s="98"/>
      <c r="G42" s="98"/>
      <c r="H42" s="98"/>
    </row>
    <row r="44" spans="3:8">
      <c r="C44" s="99" t="s">
        <v>129</v>
      </c>
      <c r="D44" s="99" t="s">
        <v>130</v>
      </c>
    </row>
    <row r="45" spans="3:8">
      <c r="D45" s="62" t="s">
        <v>131</v>
      </c>
    </row>
    <row r="46" spans="3:8">
      <c r="D46" s="62" t="s">
        <v>132</v>
      </c>
    </row>
    <row r="47" spans="3:8">
      <c r="D47" s="98" t="s">
        <v>128</v>
      </c>
      <c r="E47" s="98"/>
      <c r="F47" s="98"/>
      <c r="G47" s="98"/>
      <c r="H47" s="98"/>
    </row>
    <row r="49" spans="3:8">
      <c r="C49" s="99" t="s">
        <v>133</v>
      </c>
      <c r="D49" s="99" t="s">
        <v>134</v>
      </c>
    </row>
    <row r="50" spans="3:8">
      <c r="D50" s="62" t="s">
        <v>135</v>
      </c>
    </row>
    <row r="51" spans="3:8">
      <c r="D51" s="62" t="s">
        <v>136</v>
      </c>
    </row>
    <row r="52" spans="3:8">
      <c r="E52" s="62" t="s">
        <v>137</v>
      </c>
    </row>
    <row r="53" spans="3:8">
      <c r="D53" s="62" t="s">
        <v>138</v>
      </c>
    </row>
    <row r="54" spans="3:8">
      <c r="D54" s="98" t="s">
        <v>128</v>
      </c>
      <c r="E54" s="98"/>
      <c r="F54" s="98"/>
      <c r="G54" s="98"/>
      <c r="H54" s="98"/>
    </row>
    <row r="56" spans="3:8">
      <c r="C56" s="99" t="s">
        <v>139</v>
      </c>
      <c r="D56" s="99" t="s">
        <v>140</v>
      </c>
    </row>
    <row r="57" spans="3:8">
      <c r="D57" s="62" t="s">
        <v>141</v>
      </c>
    </row>
    <row r="58" spans="3:8">
      <c r="D58" s="98" t="s">
        <v>128</v>
      </c>
      <c r="E58" s="98"/>
      <c r="F58" s="98"/>
      <c r="G58" s="98"/>
      <c r="H58" s="98"/>
    </row>
    <row r="60" spans="3:8">
      <c r="C60" s="99" t="s">
        <v>142</v>
      </c>
      <c r="D60" s="99" t="s">
        <v>143</v>
      </c>
    </row>
    <row r="61" spans="3:8">
      <c r="D61" s="62" t="s">
        <v>144</v>
      </c>
    </row>
    <row r="62" spans="3:8">
      <c r="D62" s="62" t="s">
        <v>145</v>
      </c>
    </row>
    <row r="63" spans="3:8">
      <c r="D63" s="62" t="s">
        <v>146</v>
      </c>
    </row>
    <row r="64" spans="3:8">
      <c r="D64" s="98" t="s">
        <v>128</v>
      </c>
      <c r="E64" s="98"/>
      <c r="F64" s="98"/>
      <c r="G64" s="98"/>
      <c r="H64" s="98"/>
    </row>
    <row r="65" spans="1:7" ht="24.75" customHeight="1"/>
    <row r="66" spans="1:7">
      <c r="A66" s="92" t="s">
        <v>147</v>
      </c>
      <c r="B66" s="87" t="s">
        <v>148</v>
      </c>
    </row>
    <row r="67" spans="1:7">
      <c r="A67" s="92"/>
      <c r="B67" s="87" t="s">
        <v>99</v>
      </c>
    </row>
    <row r="68" spans="1:7" s="96" customFormat="1" ht="18" customHeight="1">
      <c r="A68" s="57"/>
      <c r="B68" s="92" t="s">
        <v>149</v>
      </c>
      <c r="C68" s="96" t="s">
        <v>150</v>
      </c>
    </row>
    <row r="69" spans="1:7">
      <c r="B69" s="97" t="s">
        <v>151</v>
      </c>
      <c r="C69" s="100" t="s">
        <v>152</v>
      </c>
      <c r="D69" s="100"/>
      <c r="E69" s="100"/>
      <c r="F69" s="100"/>
      <c r="G69" s="100"/>
    </row>
    <row r="70" spans="1:7" ht="24.75" customHeight="1"/>
    <row r="71" spans="1:7" s="96" customFormat="1" ht="15" customHeight="1">
      <c r="A71" s="92" t="s">
        <v>153</v>
      </c>
      <c r="B71" s="54" t="s">
        <v>154</v>
      </c>
    </row>
    <row r="72" spans="1:7" s="96" customFormat="1" ht="15.75" customHeight="1">
      <c r="A72" s="57"/>
      <c r="B72" s="92" t="s">
        <v>155</v>
      </c>
      <c r="C72" s="51" t="s">
        <v>156</v>
      </c>
    </row>
    <row r="73" spans="1:7">
      <c r="B73" s="97" t="s">
        <v>157</v>
      </c>
      <c r="C73" s="101" t="s">
        <v>158</v>
      </c>
      <c r="D73" s="101"/>
      <c r="E73" s="101"/>
      <c r="F73" s="101"/>
    </row>
    <row r="74" spans="1:7" ht="24.75" customHeight="1"/>
    <row r="75" spans="1:7">
      <c r="A75" s="92" t="s">
        <v>159</v>
      </c>
      <c r="B75" s="87" t="s">
        <v>160</v>
      </c>
    </row>
    <row r="76" spans="1:7" s="96" customFormat="1" ht="16.5" customHeight="1">
      <c r="A76" s="57"/>
      <c r="B76" s="92" t="s">
        <v>161</v>
      </c>
      <c r="C76" s="51" t="s">
        <v>162</v>
      </c>
    </row>
    <row r="77" spans="1:7" s="96" customFormat="1" ht="14.25" customHeight="1">
      <c r="A77" s="57"/>
      <c r="B77" s="92" t="s">
        <v>163</v>
      </c>
      <c r="C77" s="102" t="s">
        <v>152</v>
      </c>
      <c r="D77" s="102"/>
      <c r="E77" s="102"/>
      <c r="F77" s="102"/>
      <c r="G77" s="102"/>
    </row>
    <row r="78" spans="1:7" s="96" customFormat="1" ht="23.25" customHeight="1">
      <c r="A78" s="57"/>
      <c r="B78" s="92"/>
      <c r="C78" s="103"/>
      <c r="D78" s="103"/>
      <c r="E78" s="103"/>
      <c r="F78" s="103"/>
      <c r="G78" s="103"/>
    </row>
  </sheetData>
  <mergeCells count="1">
    <mergeCell ref="A4:X4"/>
  </mergeCells>
  <printOptions horizontalCentered="1" verticalCentered="1"/>
  <pageMargins left="0.51180555555555596" right="0.51180555555555596" top="0.78749999999999998" bottom="0.78749999999999998" header="0.511811023622047" footer="0.511811023622047"/>
  <pageSetup paperSize="9" scale="43"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tabColor rgb="FFFFC000"/>
    <pageSetUpPr fitToPage="1"/>
  </sheetPr>
  <dimension ref="A1:AML207"/>
  <sheetViews>
    <sheetView showGridLines="0" zoomScaleNormal="100" zoomScaleSheetLayoutView="100" zoomScalePageLayoutView="140" workbookViewId="0">
      <selection activeCell="J9" sqref="J9"/>
    </sheetView>
  </sheetViews>
  <sheetFormatPr defaultColWidth="8.6640625" defaultRowHeight="14.4"/>
  <cols>
    <col min="1" max="1" width="9.88671875" style="1" customWidth="1"/>
    <col min="2" max="2" width="10.44140625" style="1" customWidth="1"/>
    <col min="3" max="3" width="45.6640625" style="1" customWidth="1"/>
    <col min="4" max="4" width="12" style="1" customWidth="1"/>
    <col min="5" max="5" width="15.6640625" style="1" customWidth="1"/>
    <col min="6" max="6" width="14.88671875" style="1" customWidth="1"/>
    <col min="7" max="7" width="14" style="1" customWidth="1"/>
    <col min="8" max="8" width="13.5546875" style="1" customWidth="1"/>
    <col min="9" max="9" width="13.44140625" style="1" customWidth="1"/>
    <col min="10" max="10" width="13.5546875" style="2" customWidth="1"/>
    <col min="11" max="11" width="18.33203125" style="2" customWidth="1"/>
    <col min="12" max="12" width="13.33203125" style="1" customWidth="1"/>
    <col min="13" max="13" width="15.109375" style="1" customWidth="1"/>
    <col min="14" max="14" width="9.6640625" style="1" customWidth="1"/>
    <col min="15" max="15" width="12.6640625" style="1" customWidth="1"/>
    <col min="16" max="19" width="13.5546875" style="1" customWidth="1"/>
    <col min="20" max="20" width="15" style="1" customWidth="1"/>
    <col min="21" max="256" width="9.109375" style="1" customWidth="1"/>
    <col min="257" max="257" width="9.88671875" style="1" customWidth="1"/>
    <col min="258" max="258" width="10.44140625" style="1" customWidth="1"/>
    <col min="259" max="259" width="39.33203125" style="1" customWidth="1"/>
    <col min="260" max="260" width="15" style="1" customWidth="1"/>
    <col min="261" max="261" width="11" style="1" customWidth="1"/>
    <col min="262" max="262" width="11.109375" style="1" customWidth="1"/>
    <col min="263" max="263" width="12.88671875" style="1" customWidth="1"/>
    <col min="264" max="264" width="13.109375" style="1" customWidth="1"/>
    <col min="265" max="268" width="14.109375" style="1" customWidth="1"/>
    <col min="269" max="269" width="14.44140625" style="1" customWidth="1"/>
    <col min="270" max="270" width="9.6640625" style="1" customWidth="1"/>
    <col min="271" max="271" width="12.6640625" style="1" customWidth="1"/>
    <col min="272" max="274" width="13.5546875" style="1" customWidth="1"/>
    <col min="275" max="275" width="12.109375" style="1" customWidth="1"/>
    <col min="276" max="276" width="15" style="1" customWidth="1"/>
    <col min="277" max="512" width="9.109375" style="1" customWidth="1"/>
    <col min="513" max="513" width="9.88671875" style="1" customWidth="1"/>
    <col min="514" max="514" width="10.44140625" style="1" customWidth="1"/>
    <col min="515" max="515" width="39.33203125" style="1" customWidth="1"/>
    <col min="516" max="516" width="15" style="1" customWidth="1"/>
    <col min="517" max="517" width="11" style="1" customWidth="1"/>
    <col min="518" max="518" width="11.109375" style="1" customWidth="1"/>
    <col min="519" max="519" width="12.88671875" style="1" customWidth="1"/>
    <col min="520" max="520" width="13.109375" style="1" customWidth="1"/>
    <col min="521" max="524" width="14.109375" style="1" customWidth="1"/>
    <col min="525" max="525" width="14.44140625" style="1" customWidth="1"/>
    <col min="526" max="526" width="9.6640625" style="1" customWidth="1"/>
    <col min="527" max="527" width="12.6640625" style="1" customWidth="1"/>
    <col min="528" max="530" width="13.5546875" style="1" customWidth="1"/>
    <col min="531" max="531" width="12.109375" style="1" customWidth="1"/>
    <col min="532" max="532" width="15" style="1" customWidth="1"/>
    <col min="533" max="768" width="9.109375" style="1" customWidth="1"/>
    <col min="769" max="769" width="9.88671875" style="1" customWidth="1"/>
    <col min="770" max="770" width="10.44140625" style="1" customWidth="1"/>
    <col min="771" max="771" width="39.33203125" style="1" customWidth="1"/>
    <col min="772" max="772" width="15" style="1" customWidth="1"/>
    <col min="773" max="773" width="11" style="1" customWidth="1"/>
    <col min="774" max="774" width="11.109375" style="1" customWidth="1"/>
    <col min="775" max="775" width="12.88671875" style="1" customWidth="1"/>
    <col min="776" max="776" width="13.109375" style="1" customWidth="1"/>
    <col min="777" max="780" width="14.109375" style="1" customWidth="1"/>
    <col min="781" max="781" width="14.44140625" style="1" customWidth="1"/>
    <col min="782" max="782" width="9.6640625" style="1" customWidth="1"/>
    <col min="783" max="783" width="12.6640625" style="1" customWidth="1"/>
    <col min="784" max="786" width="13.5546875" style="1" customWidth="1"/>
    <col min="787" max="787" width="12.109375" style="1" customWidth="1"/>
    <col min="788" max="788" width="15" style="1" customWidth="1"/>
    <col min="789" max="1024" width="9.109375" style="1" customWidth="1"/>
    <col min="1025" max="1026" width="9.88671875" style="1" customWidth="1"/>
  </cols>
  <sheetData>
    <row r="1" spans="1:22">
      <c r="A1" s="104"/>
      <c r="B1" s="91" t="str">
        <f>INSTRUÇÕES!B1</f>
        <v>Tribunal Regional Federal da 6ª Região</v>
      </c>
      <c r="D1" s="62"/>
      <c r="E1" s="62"/>
      <c r="F1" s="62"/>
      <c r="G1" s="62"/>
      <c r="H1" s="62"/>
      <c r="I1" s="62"/>
      <c r="J1" s="105"/>
      <c r="K1" s="105"/>
      <c r="L1" s="62"/>
      <c r="M1" s="62"/>
      <c r="N1" s="62"/>
    </row>
    <row r="2" spans="1:22">
      <c r="A2" s="104"/>
      <c r="B2" s="91" t="str">
        <f>INSTRUÇÕES!B2</f>
        <v>Seção Judiciária de Minas Gerais</v>
      </c>
      <c r="D2" s="62"/>
      <c r="E2" s="62"/>
      <c r="F2" s="62"/>
      <c r="G2" s="62"/>
      <c r="H2" s="62"/>
      <c r="I2" s="62"/>
      <c r="J2" s="105"/>
      <c r="K2" s="105"/>
      <c r="L2" s="62"/>
      <c r="M2" s="62"/>
      <c r="N2" s="62"/>
    </row>
    <row r="3" spans="1:22" ht="18">
      <c r="A3" s="104"/>
      <c r="B3" s="91" t="str">
        <f>INSTRUÇÕES!B3</f>
        <v>Subseção Judiciária de Varginha</v>
      </c>
      <c r="D3" s="62"/>
      <c r="E3" s="106" t="s">
        <v>164</v>
      </c>
      <c r="F3" s="62"/>
      <c r="G3" s="62"/>
      <c r="H3" s="62"/>
      <c r="I3" s="62"/>
      <c r="J3" s="105"/>
      <c r="K3" s="105"/>
      <c r="L3" s="62"/>
      <c r="M3" s="62"/>
      <c r="N3" s="62"/>
      <c r="S3" s="62"/>
    </row>
    <row r="4" spans="1:22" s="17" customFormat="1" ht="24.75" customHeight="1">
      <c r="A4" s="107" t="str">
        <f>CONCATENATE("Sindicato utilizado - ",E15,". Vigência: ",E17,". Sendo a data base da categoria ",E18,". Com número de registro no MTE ",E16,".")</f>
        <v>Sindicato utilizado - SEAC x SIEAP. Vigência: 2024. Sendo a data base da categoria 01° de Janeiro. Com número de registro no MTE MG000705/2024.</v>
      </c>
      <c r="B4" s="107"/>
      <c r="C4" s="108"/>
      <c r="D4" s="1"/>
      <c r="E4" s="107"/>
      <c r="F4" s="109"/>
      <c r="G4" s="109"/>
      <c r="H4" s="109"/>
      <c r="I4" s="109"/>
      <c r="J4" s="109"/>
      <c r="K4" s="109"/>
      <c r="L4" s="109"/>
      <c r="M4" s="109"/>
      <c r="N4" s="109"/>
      <c r="O4" s="109"/>
      <c r="P4" s="109"/>
      <c r="Q4" s="109"/>
      <c r="R4" s="109"/>
      <c r="S4" s="109"/>
      <c r="T4" s="109"/>
    </row>
    <row r="5" spans="1:22" s="17" customFormat="1" ht="66.75" customHeight="1">
      <c r="A5" s="559" t="s">
        <v>165</v>
      </c>
      <c r="B5" s="559" t="s">
        <v>166</v>
      </c>
      <c r="C5" s="559" t="s">
        <v>25</v>
      </c>
      <c r="D5" s="559" t="s">
        <v>167</v>
      </c>
      <c r="E5" s="559" t="s">
        <v>168</v>
      </c>
      <c r="F5" s="559" t="s">
        <v>169</v>
      </c>
      <c r="G5" s="559" t="s">
        <v>170</v>
      </c>
      <c r="H5" s="559" t="s">
        <v>171</v>
      </c>
      <c r="I5" s="559" t="s">
        <v>172</v>
      </c>
      <c r="J5" s="559" t="s">
        <v>173</v>
      </c>
      <c r="K5" s="559" t="s">
        <v>174</v>
      </c>
      <c r="L5" s="559" t="s">
        <v>175</v>
      </c>
      <c r="M5" s="552" t="s">
        <v>176</v>
      </c>
      <c r="N5" s="110" t="s">
        <v>177</v>
      </c>
      <c r="O5" s="110" t="s">
        <v>178</v>
      </c>
      <c r="P5" s="110" t="s">
        <v>179</v>
      </c>
      <c r="Q5" s="110" t="s">
        <v>180</v>
      </c>
      <c r="R5" s="110" t="s">
        <v>181</v>
      </c>
      <c r="S5" s="110" t="s">
        <v>182</v>
      </c>
      <c r="T5" s="559" t="s">
        <v>183</v>
      </c>
      <c r="V5" s="112"/>
    </row>
    <row r="6" spans="1:22" s="17" customFormat="1" ht="28.8">
      <c r="A6" s="559"/>
      <c r="B6" s="559"/>
      <c r="C6" s="559"/>
      <c r="D6" s="559"/>
      <c r="E6" s="559"/>
      <c r="F6" s="559"/>
      <c r="G6" s="559"/>
      <c r="H6" s="559"/>
      <c r="I6" s="559"/>
      <c r="J6" s="559"/>
      <c r="K6" s="559"/>
      <c r="L6" s="559"/>
      <c r="M6" s="552"/>
      <c r="N6" s="113" t="s">
        <v>184</v>
      </c>
      <c r="O6" s="114">
        <v>5</v>
      </c>
      <c r="P6" s="114">
        <f>B9</f>
        <v>1</v>
      </c>
      <c r="Q6" s="114">
        <f>B10</f>
        <v>1</v>
      </c>
      <c r="R6" s="114"/>
      <c r="S6" s="114">
        <v>3</v>
      </c>
      <c r="T6" s="559"/>
      <c r="V6" s="112"/>
    </row>
    <row r="7" spans="1:22" s="17" customFormat="1" ht="24.75" customHeight="1">
      <c r="A7" s="560">
        <v>333903702</v>
      </c>
      <c r="B7" s="114">
        <v>1</v>
      </c>
      <c r="C7" s="115" t="s">
        <v>185</v>
      </c>
      <c r="D7" s="114">
        <v>200</v>
      </c>
      <c r="E7" s="116">
        <v>1491.84</v>
      </c>
      <c r="F7" s="117">
        <f t="shared" ref="F7:F10" si="0">ROUND(((E7/220)*D7),2)</f>
        <v>1356.22</v>
      </c>
      <c r="G7" s="118">
        <v>0.4</v>
      </c>
      <c r="H7" s="117">
        <f>G7*G28</f>
        <v>564.80000000000007</v>
      </c>
      <c r="I7" s="36">
        <v>0</v>
      </c>
      <c r="J7" s="36">
        <v>0</v>
      </c>
      <c r="K7" s="36"/>
      <c r="L7" s="36">
        <v>0</v>
      </c>
      <c r="M7" s="119">
        <f t="shared" ref="M7:M11" si="1">F7+H7+L7</f>
        <v>1921.02</v>
      </c>
      <c r="N7" s="117">
        <f>Uniformes!H13</f>
        <v>30.27</v>
      </c>
      <c r="O7" s="117">
        <f>ROUND((Materiais!K51/$O$6),2)</f>
        <v>588.05999999999995</v>
      </c>
      <c r="P7" s="117"/>
      <c r="Q7" s="119"/>
      <c r="R7" s="401">
        <f>EPI!F10/6</f>
        <v>3.4750000000000001</v>
      </c>
      <c r="S7" s="117"/>
      <c r="T7" s="120">
        <v>2</v>
      </c>
      <c r="V7" s="112"/>
    </row>
    <row r="8" spans="1:22" s="17" customFormat="1" ht="21" customHeight="1">
      <c r="A8" s="561"/>
      <c r="B8" s="114">
        <v>3</v>
      </c>
      <c r="C8" s="115" t="s">
        <v>186</v>
      </c>
      <c r="D8" s="114">
        <v>200</v>
      </c>
      <c r="E8" s="116">
        <v>1491.84</v>
      </c>
      <c r="F8" s="117">
        <f t="shared" si="0"/>
        <v>1356.22</v>
      </c>
      <c r="G8" s="121">
        <v>0</v>
      </c>
      <c r="H8" s="36">
        <v>0</v>
      </c>
      <c r="I8" s="36">
        <v>0</v>
      </c>
      <c r="J8" s="36">
        <v>0</v>
      </c>
      <c r="K8" s="36"/>
      <c r="L8" s="36">
        <v>0</v>
      </c>
      <c r="M8" s="119">
        <f t="shared" si="1"/>
        <v>1356.22</v>
      </c>
      <c r="N8" s="117">
        <f>Uniformes!H13</f>
        <v>30.27</v>
      </c>
      <c r="O8" s="117">
        <f>ROUND((Materiais!K51/$O$6),2)</f>
        <v>588.05999999999995</v>
      </c>
      <c r="P8" s="117"/>
      <c r="Q8" s="119"/>
      <c r="R8" s="401">
        <f>EPI!F10/6</f>
        <v>3.4750000000000001</v>
      </c>
      <c r="S8" s="117"/>
      <c r="T8" s="120">
        <v>2</v>
      </c>
      <c r="V8" s="112"/>
    </row>
    <row r="9" spans="1:22" s="17" customFormat="1" ht="24" customHeight="1">
      <c r="A9" s="561"/>
      <c r="B9" s="114">
        <v>1</v>
      </c>
      <c r="C9" s="115" t="s">
        <v>653</v>
      </c>
      <c r="D9" s="114">
        <v>200</v>
      </c>
      <c r="E9" s="116">
        <v>1491.84</v>
      </c>
      <c r="F9" s="117">
        <f t="shared" si="0"/>
        <v>1356.22</v>
      </c>
      <c r="G9" s="121">
        <v>0</v>
      </c>
      <c r="H9" s="36">
        <v>0</v>
      </c>
      <c r="I9" s="122">
        <v>0.12</v>
      </c>
      <c r="J9" s="118">
        <v>0.25</v>
      </c>
      <c r="K9" s="116">
        <f>F9</f>
        <v>1356.22</v>
      </c>
      <c r="L9" s="123">
        <f>ROUND((K9*I9*J9),2)</f>
        <v>40.69</v>
      </c>
      <c r="M9" s="119">
        <f t="shared" si="1"/>
        <v>1396.91</v>
      </c>
      <c r="N9" s="117">
        <f>Uniformes!H19+Uniformes!H13</f>
        <v>37.9</v>
      </c>
      <c r="O9" s="117">
        <f>ROUND((Materiais!K51/$O$6),2)</f>
        <v>588.05999999999995</v>
      </c>
      <c r="P9" s="117"/>
      <c r="Q9" s="119"/>
      <c r="R9" s="401">
        <f>EPI!F10/6</f>
        <v>3.4750000000000001</v>
      </c>
      <c r="S9" s="117"/>
      <c r="T9" s="120">
        <v>5</v>
      </c>
      <c r="V9" s="112"/>
    </row>
    <row r="10" spans="1:22" ht="21" customHeight="1">
      <c r="A10" s="562"/>
      <c r="B10" s="114">
        <v>1</v>
      </c>
      <c r="C10" s="115" t="s">
        <v>187</v>
      </c>
      <c r="D10" s="114">
        <v>220</v>
      </c>
      <c r="E10" s="116">
        <v>2117.46</v>
      </c>
      <c r="F10" s="117">
        <f t="shared" si="0"/>
        <v>2117.46</v>
      </c>
      <c r="G10" s="121">
        <v>0</v>
      </c>
      <c r="H10" s="36">
        <v>0</v>
      </c>
      <c r="I10" s="492"/>
      <c r="J10" s="492"/>
      <c r="K10" s="493"/>
      <c r="L10" s="494"/>
      <c r="M10" s="119">
        <f t="shared" si="1"/>
        <v>2117.46</v>
      </c>
      <c r="N10" s="117">
        <f>Uniformes!H26</f>
        <v>36.47</v>
      </c>
      <c r="O10" s="124"/>
      <c r="P10" s="117"/>
      <c r="Q10" s="117"/>
      <c r="R10" s="401">
        <f>EPI!F13</f>
        <v>4.17</v>
      </c>
      <c r="S10" s="117"/>
      <c r="T10" s="120">
        <v>2</v>
      </c>
    </row>
    <row r="11" spans="1:22" ht="21" customHeight="1">
      <c r="A11" s="490">
        <v>333903701</v>
      </c>
      <c r="B11" s="114">
        <v>2</v>
      </c>
      <c r="C11" s="115" t="s">
        <v>652</v>
      </c>
      <c r="D11" s="114">
        <v>150</v>
      </c>
      <c r="E11" s="116">
        <v>1754.8</v>
      </c>
      <c r="F11" s="117">
        <f>ROUND(((E11/220)*D11),2)</f>
        <v>1196.45</v>
      </c>
      <c r="G11" s="121"/>
      <c r="H11" s="36"/>
      <c r="I11" s="492"/>
      <c r="J11" s="492"/>
      <c r="K11" s="493"/>
      <c r="L11" s="494"/>
      <c r="M11" s="119">
        <f t="shared" si="1"/>
        <v>1196.45</v>
      </c>
      <c r="N11" s="117">
        <f>Uniformes!H33</f>
        <v>44.69</v>
      </c>
      <c r="O11" s="124"/>
      <c r="P11" s="117"/>
      <c r="Q11" s="117"/>
      <c r="R11" s="401"/>
      <c r="S11" s="117"/>
      <c r="T11" s="120">
        <v>1</v>
      </c>
    </row>
    <row r="12" spans="1:22" ht="34.5" customHeight="1">
      <c r="A12" s="125" t="s">
        <v>188</v>
      </c>
      <c r="B12" s="2"/>
      <c r="C12" s="2"/>
      <c r="D12" s="125"/>
      <c r="F12" s="125"/>
      <c r="G12" s="125" t="s">
        <v>189</v>
      </c>
      <c r="H12" s="125"/>
      <c r="I12" s="125"/>
      <c r="J12" s="125"/>
      <c r="K12" s="107"/>
      <c r="L12" s="126" t="s">
        <v>190</v>
      </c>
      <c r="M12" s="127">
        <f>SUM(M7:M11)</f>
        <v>7988.0599999999995</v>
      </c>
      <c r="N12" s="107"/>
      <c r="O12" s="107"/>
      <c r="P12" s="107"/>
      <c r="Q12" s="107"/>
      <c r="R12" s="107"/>
      <c r="S12" s="107"/>
      <c r="T12" s="107"/>
    </row>
    <row r="13" spans="1:22" ht="24.75" customHeight="1">
      <c r="A13" s="555" t="s">
        <v>191</v>
      </c>
      <c r="B13" s="555"/>
      <c r="C13" s="555"/>
      <c r="D13" s="555"/>
      <c r="E13" s="555"/>
      <c r="F13" s="555"/>
      <c r="G13" s="555"/>
      <c r="N13" s="107"/>
      <c r="O13" s="107"/>
      <c r="P13" s="107"/>
      <c r="Q13" s="107"/>
      <c r="R13" s="107"/>
      <c r="S13" s="107"/>
      <c r="T13" s="107"/>
    </row>
    <row r="14" spans="1:22" ht="24" customHeight="1">
      <c r="A14" s="129">
        <v>1</v>
      </c>
      <c r="B14" s="549" t="s">
        <v>192</v>
      </c>
      <c r="C14" s="549"/>
      <c r="D14" s="549"/>
      <c r="E14" s="556" t="s">
        <v>193</v>
      </c>
      <c r="F14" s="556"/>
      <c r="G14" s="556"/>
      <c r="H14" s="14" t="s">
        <v>194</v>
      </c>
      <c r="N14" s="107"/>
      <c r="O14" s="107"/>
      <c r="P14" s="107"/>
      <c r="Q14" s="107"/>
      <c r="R14" s="107"/>
      <c r="S14" s="107"/>
      <c r="T14" s="51"/>
    </row>
    <row r="15" spans="1:22" ht="24" customHeight="1">
      <c r="A15" s="129">
        <v>2</v>
      </c>
      <c r="B15" s="549" t="s">
        <v>195</v>
      </c>
      <c r="C15" s="549"/>
      <c r="D15" s="549"/>
      <c r="E15" s="556" t="s">
        <v>196</v>
      </c>
      <c r="F15" s="556"/>
      <c r="G15" s="556"/>
      <c r="H15" s="14" t="s">
        <v>197</v>
      </c>
      <c r="N15" s="107"/>
      <c r="O15" s="107"/>
      <c r="P15" s="107"/>
      <c r="Q15" s="107"/>
      <c r="R15" s="107"/>
      <c r="S15" s="107"/>
      <c r="T15" s="51"/>
    </row>
    <row r="16" spans="1:22" ht="24" customHeight="1">
      <c r="A16" s="129">
        <v>3</v>
      </c>
      <c r="B16" s="549" t="s">
        <v>198</v>
      </c>
      <c r="C16" s="549"/>
      <c r="D16" s="549"/>
      <c r="E16" s="556" t="s">
        <v>199</v>
      </c>
      <c r="F16" s="556"/>
      <c r="G16" s="556"/>
      <c r="H16" s="14" t="s">
        <v>200</v>
      </c>
      <c r="N16" s="107"/>
      <c r="O16" s="107"/>
      <c r="P16" s="107"/>
      <c r="Q16" s="107"/>
      <c r="R16" s="107"/>
      <c r="S16" s="107"/>
      <c r="T16" s="51"/>
    </row>
    <row r="17" spans="1:20" ht="24" customHeight="1">
      <c r="A17" s="129">
        <v>4</v>
      </c>
      <c r="B17" s="549" t="s">
        <v>201</v>
      </c>
      <c r="C17" s="549"/>
      <c r="D17" s="549"/>
      <c r="E17" s="556">
        <v>2024</v>
      </c>
      <c r="F17" s="556"/>
      <c r="G17" s="556"/>
      <c r="H17" s="14" t="s">
        <v>202</v>
      </c>
      <c r="N17" s="107"/>
      <c r="O17" s="107"/>
      <c r="P17" s="107"/>
      <c r="Q17" s="107"/>
      <c r="R17" s="107"/>
      <c r="S17" s="107"/>
      <c r="T17" s="51"/>
    </row>
    <row r="18" spans="1:20" ht="24" customHeight="1">
      <c r="A18" s="129">
        <v>5</v>
      </c>
      <c r="B18" s="549" t="s">
        <v>203</v>
      </c>
      <c r="C18" s="549"/>
      <c r="D18" s="549"/>
      <c r="E18" s="556" t="s">
        <v>204</v>
      </c>
      <c r="F18" s="556"/>
      <c r="G18" s="556"/>
      <c r="H18" s="14" t="s">
        <v>205</v>
      </c>
      <c r="N18" s="107"/>
      <c r="O18" s="107"/>
      <c r="P18" s="107"/>
      <c r="Q18" s="107"/>
      <c r="R18" s="107"/>
      <c r="S18" s="107"/>
      <c r="T18" s="51"/>
    </row>
    <row r="19" spans="1:20" s="1" customFormat="1" ht="12.75" customHeight="1">
      <c r="A19" s="130"/>
      <c r="H19" s="14"/>
    </row>
    <row r="20" spans="1:20" s="51" customFormat="1" ht="24.75" customHeight="1">
      <c r="A20" s="555" t="s">
        <v>206</v>
      </c>
      <c r="B20" s="555"/>
      <c r="C20" s="555"/>
      <c r="D20" s="555"/>
      <c r="E20" s="555"/>
      <c r="F20" s="555"/>
      <c r="G20" s="555"/>
      <c r="H20" s="14"/>
      <c r="I20" s="107"/>
      <c r="J20" s="107"/>
      <c r="K20" s="107"/>
      <c r="L20" s="107"/>
      <c r="M20" s="107"/>
      <c r="N20" s="107"/>
      <c r="O20" s="107"/>
      <c r="P20" s="107"/>
      <c r="Q20" s="107"/>
      <c r="R20" s="107"/>
      <c r="S20" s="107"/>
    </row>
    <row r="21" spans="1:20" s="1" customFormat="1" ht="24" customHeight="1">
      <c r="A21" s="129" t="s">
        <v>207</v>
      </c>
      <c r="B21" s="549" t="s">
        <v>208</v>
      </c>
      <c r="C21" s="549"/>
      <c r="D21" s="549"/>
      <c r="E21" s="549"/>
      <c r="F21" s="549"/>
      <c r="G21" s="118">
        <f>Encargos!C57</f>
        <v>0.76400000000000001</v>
      </c>
      <c r="H21" s="14"/>
    </row>
    <row r="22" spans="1:20" s="1" customFormat="1" ht="12.75" customHeight="1">
      <c r="A22" s="130"/>
      <c r="G22" s="2"/>
      <c r="H22" s="14"/>
    </row>
    <row r="23" spans="1:20" s="1" customFormat="1" ht="24.75" customHeight="1">
      <c r="A23" s="85">
        <v>1</v>
      </c>
      <c r="B23" s="549" t="s">
        <v>209</v>
      </c>
      <c r="C23" s="549"/>
      <c r="D23" s="549"/>
      <c r="E23" s="549"/>
      <c r="F23" s="549"/>
      <c r="G23" s="131">
        <f>G24*G25</f>
        <v>0.06</v>
      </c>
      <c r="H23" s="14"/>
    </row>
    <row r="24" spans="1:20" s="1" customFormat="1" ht="24.75" customHeight="1">
      <c r="A24" s="85">
        <v>2</v>
      </c>
      <c r="B24" s="549" t="s">
        <v>210</v>
      </c>
      <c r="C24" s="549"/>
      <c r="D24" s="549"/>
      <c r="E24" s="549"/>
      <c r="F24" s="549"/>
      <c r="G24" s="122">
        <v>0.03</v>
      </c>
      <c r="H24" s="14" t="s">
        <v>211</v>
      </c>
    </row>
    <row r="25" spans="1:20" s="1" customFormat="1" ht="24.75" customHeight="1">
      <c r="A25" s="85">
        <v>3</v>
      </c>
      <c r="B25" s="549" t="s">
        <v>212</v>
      </c>
      <c r="C25" s="549"/>
      <c r="D25" s="549"/>
      <c r="E25" s="549"/>
      <c r="F25" s="549"/>
      <c r="G25" s="132">
        <v>2</v>
      </c>
      <c r="H25" s="14" t="s">
        <v>213</v>
      </c>
    </row>
    <row r="26" spans="1:20" s="1" customFormat="1" ht="12.75" customHeight="1">
      <c r="A26" s="130"/>
      <c r="B26" s="107"/>
      <c r="C26" s="107"/>
      <c r="D26" s="107"/>
      <c r="E26" s="107"/>
      <c r="F26" s="107"/>
      <c r="H26" s="14"/>
    </row>
    <row r="27" spans="1:20" s="1" customFormat="1" ht="24.75" customHeight="1">
      <c r="A27" s="555" t="s">
        <v>214</v>
      </c>
      <c r="B27" s="555"/>
      <c r="C27" s="555"/>
      <c r="D27" s="555"/>
      <c r="E27" s="555"/>
      <c r="F27" s="555"/>
      <c r="G27" s="555"/>
      <c r="H27" s="14"/>
    </row>
    <row r="28" spans="1:20" s="1" customFormat="1" ht="24.75" customHeight="1">
      <c r="A28" s="85">
        <v>1</v>
      </c>
      <c r="B28" s="549" t="s">
        <v>215</v>
      </c>
      <c r="C28" s="549"/>
      <c r="D28" s="549"/>
      <c r="E28" s="549"/>
      <c r="F28" s="549"/>
      <c r="G28" s="116">
        <v>1412</v>
      </c>
      <c r="H28" s="14" t="s">
        <v>216</v>
      </c>
    </row>
    <row r="29" spans="1:20" s="1" customFormat="1" ht="12.75" customHeight="1">
      <c r="A29" s="133"/>
      <c r="B29" s="134"/>
      <c r="C29" s="134"/>
      <c r="D29" s="134"/>
      <c r="E29" s="134"/>
      <c r="F29" s="134"/>
      <c r="G29" s="135"/>
      <c r="H29" s="14"/>
    </row>
    <row r="30" spans="1:20" s="51" customFormat="1" ht="24.75" customHeight="1">
      <c r="A30" s="555" t="s">
        <v>217</v>
      </c>
      <c r="B30" s="555"/>
      <c r="C30" s="555"/>
      <c r="D30" s="555"/>
      <c r="E30" s="555"/>
      <c r="F30" s="555"/>
      <c r="G30" s="555"/>
      <c r="H30" s="14"/>
      <c r="I30" s="1"/>
      <c r="J30" s="1"/>
      <c r="K30" s="107"/>
      <c r="L30" s="107"/>
      <c r="M30" s="107"/>
      <c r="N30" s="107"/>
      <c r="O30" s="107"/>
      <c r="P30" s="107"/>
      <c r="Q30" s="107"/>
      <c r="R30" s="107"/>
      <c r="S30" s="107"/>
    </row>
    <row r="31" spans="1:20" s="1" customFormat="1" ht="26.25" customHeight="1">
      <c r="A31" s="129">
        <v>1</v>
      </c>
      <c r="B31" s="549" t="s">
        <v>218</v>
      </c>
      <c r="C31" s="549"/>
      <c r="D31" s="549"/>
      <c r="E31" s="549"/>
      <c r="F31" s="549"/>
      <c r="G31" s="132">
        <v>7.2</v>
      </c>
      <c r="H31" s="14" t="s">
        <v>219</v>
      </c>
    </row>
    <row r="32" spans="1:20" s="1" customFormat="1" ht="26.25" customHeight="1">
      <c r="A32" s="136">
        <v>2</v>
      </c>
      <c r="B32" s="549" t="s">
        <v>220</v>
      </c>
      <c r="C32" s="549"/>
      <c r="D32" s="549"/>
      <c r="E32" s="549"/>
      <c r="F32" s="549"/>
      <c r="G32" s="132">
        <v>48.43</v>
      </c>
      <c r="H32" s="14" t="s">
        <v>219</v>
      </c>
    </row>
    <row r="33" spans="1:19" s="1" customFormat="1" ht="26.25" customHeight="1">
      <c r="A33" s="548">
        <v>3</v>
      </c>
      <c r="B33" s="557" t="s">
        <v>221</v>
      </c>
      <c r="C33" s="557"/>
      <c r="D33" s="549" t="s">
        <v>222</v>
      </c>
      <c r="E33" s="549"/>
      <c r="F33" s="549"/>
      <c r="G33" s="137">
        <v>5</v>
      </c>
      <c r="H33" s="14" t="s">
        <v>223</v>
      </c>
      <c r="I33" s="107"/>
      <c r="O33" s="53"/>
    </row>
    <row r="34" spans="1:19" s="1" customFormat="1" ht="26.25" customHeight="1">
      <c r="A34" s="548"/>
      <c r="B34" s="557"/>
      <c r="C34" s="557"/>
      <c r="D34" s="549" t="s">
        <v>224</v>
      </c>
      <c r="E34" s="549"/>
      <c r="F34" s="549"/>
      <c r="G34" s="137">
        <v>2</v>
      </c>
      <c r="H34" s="14" t="s">
        <v>225</v>
      </c>
      <c r="I34" s="107"/>
      <c r="O34" s="53"/>
    </row>
    <row r="35" spans="1:19" s="1" customFormat="1" ht="26.25" customHeight="1">
      <c r="A35" s="548"/>
      <c r="B35" s="557"/>
      <c r="C35" s="557"/>
      <c r="D35" s="549" t="s">
        <v>226</v>
      </c>
      <c r="E35" s="549"/>
      <c r="F35" s="549"/>
      <c r="G35" s="138">
        <v>22</v>
      </c>
      <c r="H35" s="14" t="s">
        <v>227</v>
      </c>
      <c r="I35" s="107"/>
      <c r="O35" s="53"/>
    </row>
    <row r="36" spans="1:19" ht="26.25" customHeight="1">
      <c r="A36" s="548"/>
      <c r="B36" s="557"/>
      <c r="C36" s="557"/>
      <c r="D36" s="558" t="s">
        <v>228</v>
      </c>
      <c r="E36" s="558"/>
      <c r="F36" s="558"/>
      <c r="G36" s="139">
        <v>0.06</v>
      </c>
      <c r="H36" s="14" t="s">
        <v>229</v>
      </c>
      <c r="O36" s="53"/>
    </row>
    <row r="37" spans="1:19" s="1" customFormat="1" ht="26.25" customHeight="1">
      <c r="A37" s="548">
        <v>4</v>
      </c>
      <c r="B37" s="557" t="s">
        <v>230</v>
      </c>
      <c r="C37" s="557"/>
      <c r="D37" s="549" t="s">
        <v>231</v>
      </c>
      <c r="E37" s="549"/>
      <c r="F37" s="549"/>
      <c r="G37" s="132">
        <v>27.24</v>
      </c>
      <c r="H37" s="14" t="s">
        <v>232</v>
      </c>
      <c r="I37" s="107"/>
    </row>
    <row r="38" spans="1:19" ht="26.25" customHeight="1">
      <c r="A38" s="548"/>
      <c r="B38" s="557"/>
      <c r="C38" s="557"/>
      <c r="D38" s="549" t="s">
        <v>226</v>
      </c>
      <c r="E38" s="549"/>
      <c r="F38" s="549"/>
      <c r="G38" s="138">
        <f>G35</f>
        <v>22</v>
      </c>
      <c r="H38" s="14" t="s">
        <v>227</v>
      </c>
      <c r="I38" s="140"/>
      <c r="J38" s="140"/>
      <c r="K38" s="107"/>
      <c r="O38" s="53"/>
      <c r="Q38" s="53"/>
      <c r="R38" s="53"/>
    </row>
    <row r="39" spans="1:19" s="1" customFormat="1" ht="26.25" customHeight="1">
      <c r="A39" s="548"/>
      <c r="B39" s="557"/>
      <c r="C39" s="557"/>
      <c r="D39" s="558" t="s">
        <v>228</v>
      </c>
      <c r="E39" s="558"/>
      <c r="F39" s="558"/>
      <c r="G39" s="122">
        <v>0.2</v>
      </c>
      <c r="H39" s="14" t="s">
        <v>229</v>
      </c>
      <c r="O39" s="53"/>
    </row>
    <row r="40" spans="1:19" s="1" customFormat="1" ht="26.25" customHeight="1">
      <c r="A40" s="129">
        <v>5</v>
      </c>
      <c r="B40" s="554" t="s">
        <v>233</v>
      </c>
      <c r="C40" s="554"/>
      <c r="D40" s="554"/>
      <c r="E40" s="554"/>
      <c r="F40" s="554"/>
      <c r="G40" s="132">
        <v>0</v>
      </c>
      <c r="H40" s="14" t="s">
        <v>234</v>
      </c>
      <c r="O40" s="53"/>
    </row>
    <row r="41" spans="1:19" s="1" customFormat="1" ht="26.25" customHeight="1">
      <c r="A41" s="129">
        <v>6</v>
      </c>
      <c r="B41" s="554" t="s">
        <v>233</v>
      </c>
      <c r="C41" s="554"/>
      <c r="D41" s="554"/>
      <c r="E41" s="554"/>
      <c r="F41" s="554"/>
      <c r="G41" s="132">
        <v>0</v>
      </c>
      <c r="H41" s="14" t="s">
        <v>234</v>
      </c>
    </row>
    <row r="42" spans="1:19" s="1" customFormat="1" ht="12.75" customHeight="1">
      <c r="H42" s="14"/>
    </row>
    <row r="43" spans="1:19" s="51" customFormat="1" ht="24.75" customHeight="1">
      <c r="A43" s="555" t="s">
        <v>235</v>
      </c>
      <c r="B43" s="555"/>
      <c r="C43" s="555"/>
      <c r="D43" s="555"/>
      <c r="E43" s="555"/>
      <c r="F43" s="555"/>
      <c r="G43" s="555"/>
      <c r="H43" s="14"/>
      <c r="I43" s="107"/>
      <c r="J43" s="107"/>
      <c r="K43" s="107"/>
      <c r="L43" s="107"/>
      <c r="M43" s="107"/>
      <c r="N43" s="107"/>
      <c r="O43" s="107"/>
      <c r="P43" s="107"/>
      <c r="Q43" s="107"/>
      <c r="R43" s="107"/>
      <c r="S43" s="107"/>
    </row>
    <row r="44" spans="1:19" s="1" customFormat="1" ht="24.75" customHeight="1">
      <c r="A44" s="129">
        <v>1</v>
      </c>
      <c r="B44" s="549" t="s">
        <v>236</v>
      </c>
      <c r="C44" s="549"/>
      <c r="D44" s="549"/>
      <c r="E44" s="549"/>
      <c r="F44" s="549"/>
      <c r="G44" s="122">
        <v>0.03</v>
      </c>
      <c r="H44" s="14" t="s">
        <v>237</v>
      </c>
    </row>
    <row r="45" spans="1:19" s="1" customFormat="1" ht="24.75" customHeight="1">
      <c r="A45" s="129">
        <v>2</v>
      </c>
      <c r="B45" s="549" t="s">
        <v>238</v>
      </c>
      <c r="C45" s="549"/>
      <c r="D45" s="549"/>
      <c r="E45" s="549"/>
      <c r="F45" s="549"/>
      <c r="G45" s="122">
        <v>6.7900000000000002E-2</v>
      </c>
      <c r="H45" s="14" t="s">
        <v>237</v>
      </c>
    </row>
    <row r="46" spans="1:19" s="1" customFormat="1" ht="12.75" customHeight="1">
      <c r="H46" s="14"/>
    </row>
    <row r="47" spans="1:19" s="51" customFormat="1" ht="24.75" customHeight="1">
      <c r="A47" s="555" t="s">
        <v>239</v>
      </c>
      <c r="B47" s="555"/>
      <c r="C47" s="555"/>
      <c r="D47" s="555"/>
      <c r="E47" s="555"/>
      <c r="F47" s="555"/>
      <c r="G47" s="555"/>
      <c r="H47" s="14"/>
      <c r="I47" s="107"/>
      <c r="J47" s="107"/>
      <c r="K47" s="107"/>
      <c r="L47" s="107"/>
      <c r="M47" s="107"/>
      <c r="N47" s="107"/>
      <c r="O47" s="107"/>
      <c r="P47" s="107"/>
      <c r="Q47" s="107"/>
      <c r="R47" s="107"/>
      <c r="S47" s="107"/>
    </row>
    <row r="48" spans="1:19" s="51" customFormat="1" ht="24.75" customHeight="1">
      <c r="A48" s="552" t="s">
        <v>240</v>
      </c>
      <c r="B48" s="552" t="str">
        <f>IF(F51="LUCRO REAL","INFORMAR ALÍQUOTAS MÉDIAS DE RECOLHIMENTO DOS ÚLTIMOS 12 (DOZE) MESES.",IF(F51="LUCRO PRESUMIDO","ALÍQUOTAS FIXAS - PIS: 0,65%; COFINS: 3,00%.",IF(F51="SIMPLES NACIONAL","NECESSÁRIO COMUNICAR A EXCLUSÃO DO SIMPLES NACIONAL - REGIME DE CONTRATAÇÃO INCOMPATÍVEL COM A LEI 123/2003. DEFINIR OUTRO REGIME TRIBUTÁRIO PARA O PRESENTE PROCESSO, OU APRESENTAR AS JUSTIFICATIVAS LEGAIS.","INFORMAR ALÍQUOTA E APRESENTAR AS JUSTIFICATIVAS LEGAIS.")))</f>
        <v>INFORMAR ALÍQUOTAS MÉDIAS DE RECOLHIMENTO DOS ÚLTIMOS 12 (DOZE) MESES.</v>
      </c>
      <c r="C48" s="552"/>
      <c r="D48" s="552"/>
      <c r="E48" s="552"/>
      <c r="F48" s="552"/>
      <c r="G48" s="552"/>
      <c r="H48" s="14"/>
      <c r="I48" s="107"/>
      <c r="J48" s="107"/>
      <c r="K48" s="107"/>
      <c r="L48" s="107"/>
      <c r="M48" s="107"/>
      <c r="N48" s="107"/>
      <c r="O48" s="107"/>
      <c r="P48" s="107"/>
      <c r="Q48" s="107"/>
      <c r="R48" s="107"/>
      <c r="S48" s="107"/>
    </row>
    <row r="49" spans="1:19" s="51" customFormat="1" ht="24.75" customHeight="1">
      <c r="A49" s="552"/>
      <c r="B49" s="552"/>
      <c r="C49" s="552"/>
      <c r="D49" s="552"/>
      <c r="E49" s="552"/>
      <c r="F49" s="552"/>
      <c r="G49" s="552"/>
      <c r="H49" s="14"/>
      <c r="I49" s="107"/>
      <c r="J49" s="107"/>
      <c r="K49" s="107"/>
      <c r="L49" s="107"/>
      <c r="M49" s="107"/>
      <c r="N49" s="107"/>
      <c r="O49" s="107"/>
      <c r="P49" s="107"/>
      <c r="Q49" s="107"/>
      <c r="R49" s="107"/>
      <c r="S49" s="107"/>
    </row>
    <row r="50" spans="1:19" s="51" customFormat="1" ht="24.75" customHeight="1">
      <c r="A50" s="552"/>
      <c r="B50" s="552"/>
      <c r="C50" s="552"/>
      <c r="D50" s="552"/>
      <c r="E50" s="552"/>
      <c r="F50" s="552"/>
      <c r="G50" s="552"/>
      <c r="H50" s="14"/>
      <c r="I50" s="107"/>
      <c r="J50" s="107"/>
      <c r="K50" s="107"/>
      <c r="L50" s="107"/>
      <c r="M50" s="107"/>
      <c r="N50" s="107"/>
      <c r="O50" s="107"/>
      <c r="P50" s="107"/>
      <c r="Q50" s="107"/>
      <c r="R50" s="107"/>
      <c r="S50" s="107"/>
    </row>
    <row r="51" spans="1:19" s="1" customFormat="1" ht="24" customHeight="1">
      <c r="A51" s="129">
        <v>1</v>
      </c>
      <c r="B51" s="549" t="s">
        <v>241</v>
      </c>
      <c r="C51" s="549"/>
      <c r="D51" s="549"/>
      <c r="E51" s="549"/>
      <c r="F51" s="556" t="s">
        <v>242</v>
      </c>
      <c r="G51" s="556"/>
      <c r="H51" s="14" t="s">
        <v>243</v>
      </c>
      <c r="S51" s="141"/>
    </row>
    <row r="52" spans="1:19" s="1" customFormat="1" ht="24" customHeight="1">
      <c r="A52" s="129">
        <v>2</v>
      </c>
      <c r="B52" s="549" t="s">
        <v>244</v>
      </c>
      <c r="C52" s="549"/>
      <c r="D52" s="549"/>
      <c r="E52" s="549"/>
      <c r="F52" s="549"/>
      <c r="G52" s="122">
        <v>7.5999999999999998E-2</v>
      </c>
      <c r="H52" s="14" t="s">
        <v>245</v>
      </c>
    </row>
    <row r="53" spans="1:19" s="1" customFormat="1" ht="24" customHeight="1">
      <c r="A53" s="129">
        <v>3</v>
      </c>
      <c r="B53" s="549" t="s">
        <v>246</v>
      </c>
      <c r="C53" s="549"/>
      <c r="D53" s="549"/>
      <c r="E53" s="549"/>
      <c r="F53" s="549"/>
      <c r="G53" s="122">
        <v>1.6500000000000001E-2</v>
      </c>
      <c r="H53" s="14" t="s">
        <v>245</v>
      </c>
    </row>
    <row r="54" spans="1:19" s="1" customFormat="1" ht="24" customHeight="1">
      <c r="A54" s="129">
        <v>4</v>
      </c>
      <c r="B54" s="549" t="s">
        <v>247</v>
      </c>
      <c r="C54" s="549"/>
      <c r="D54" s="549"/>
      <c r="E54" s="549"/>
      <c r="F54" s="549"/>
      <c r="G54" s="122">
        <v>0.03</v>
      </c>
      <c r="H54" s="14" t="s">
        <v>248</v>
      </c>
    </row>
    <row r="55" spans="1:19" s="1" customFormat="1" ht="24" customHeight="1">
      <c r="A55" s="129">
        <v>5</v>
      </c>
      <c r="B55" s="554" t="s">
        <v>233</v>
      </c>
      <c r="C55" s="554"/>
      <c r="D55" s="554"/>
      <c r="E55" s="554"/>
      <c r="F55" s="554"/>
      <c r="G55" s="122">
        <v>0</v>
      </c>
      <c r="H55" s="14" t="s">
        <v>249</v>
      </c>
    </row>
    <row r="56" spans="1:19" s="1" customFormat="1" ht="21.75" customHeight="1">
      <c r="A56" s="129">
        <v>6</v>
      </c>
      <c r="B56" s="549" t="s">
        <v>250</v>
      </c>
      <c r="C56" s="549"/>
      <c r="D56" s="549"/>
      <c r="E56" s="549"/>
      <c r="F56" s="549"/>
      <c r="G56" s="118">
        <f>SUM(G52:G55)</f>
        <v>0.1225</v>
      </c>
      <c r="H56" s="14"/>
    </row>
    <row r="57" spans="1:19" ht="12.75" customHeight="1"/>
    <row r="58" spans="1:19" s="1" customFormat="1"/>
    <row r="60" spans="1:19" ht="66.75" hidden="1" customHeight="1">
      <c r="A60" s="552" t="s">
        <v>251</v>
      </c>
      <c r="B60" s="552"/>
      <c r="C60" s="552"/>
      <c r="D60" s="552"/>
      <c r="E60" s="552"/>
      <c r="F60" s="552"/>
      <c r="G60" s="552"/>
      <c r="H60" s="552"/>
      <c r="I60" s="128" t="s">
        <v>252</v>
      </c>
      <c r="J60" s="111" t="s">
        <v>253</v>
      </c>
      <c r="K60" s="128" t="s">
        <v>254</v>
      </c>
      <c r="L60" s="128" t="s">
        <v>252</v>
      </c>
      <c r="M60" s="128" t="s">
        <v>255</v>
      </c>
      <c r="N60" s="552" t="s">
        <v>256</v>
      </c>
      <c r="O60" s="552"/>
      <c r="P60" s="552" t="s">
        <v>257</v>
      </c>
      <c r="Q60" s="552"/>
      <c r="R60" s="111"/>
      <c r="S60" s="111" t="s">
        <v>258</v>
      </c>
    </row>
    <row r="61" spans="1:19" ht="15" hidden="1" customHeight="1">
      <c r="A61" s="548" t="s">
        <v>259</v>
      </c>
      <c r="B61" s="548"/>
      <c r="C61" s="129" t="s">
        <v>260</v>
      </c>
      <c r="D61" s="142">
        <f>IPCA!G23</f>
        <v>0</v>
      </c>
      <c r="E61" s="549" t="s">
        <v>261</v>
      </c>
      <c r="F61" s="549"/>
      <c r="G61" s="549"/>
      <c r="H61" s="549"/>
      <c r="I61" s="143" t="s">
        <v>262</v>
      </c>
      <c r="J61" s="143" t="s">
        <v>262</v>
      </c>
      <c r="K61" s="143" t="s">
        <v>262</v>
      </c>
      <c r="L61" s="143" t="s">
        <v>262</v>
      </c>
      <c r="M61" s="143" t="s">
        <v>262</v>
      </c>
      <c r="N61" s="550">
        <f>ROUND((100%+D61),2)</f>
        <v>1</v>
      </c>
      <c r="O61" s="550"/>
      <c r="P61" s="551"/>
      <c r="Q61" s="551"/>
      <c r="R61" s="396"/>
      <c r="S61" s="144"/>
    </row>
    <row r="62" spans="1:19" ht="15" hidden="1" customHeight="1">
      <c r="A62" s="548" t="s">
        <v>263</v>
      </c>
      <c r="B62" s="548"/>
      <c r="C62" s="129" t="s">
        <v>260</v>
      </c>
      <c r="D62" s="142">
        <f>IPCA!N23</f>
        <v>0</v>
      </c>
      <c r="E62" s="549" t="s">
        <v>261</v>
      </c>
      <c r="F62" s="549"/>
      <c r="G62" s="549"/>
      <c r="H62" s="549"/>
      <c r="I62" s="143" t="s">
        <v>262</v>
      </c>
      <c r="J62" s="143" t="s">
        <v>262</v>
      </c>
      <c r="K62" s="143" t="s">
        <v>262</v>
      </c>
      <c r="L62" s="143" t="s">
        <v>262</v>
      </c>
      <c r="M62" s="143" t="s">
        <v>262</v>
      </c>
      <c r="N62" s="550">
        <f>ROUND((100%+D62),2)</f>
        <v>1</v>
      </c>
      <c r="O62" s="550"/>
      <c r="P62" s="551"/>
      <c r="Q62" s="551"/>
      <c r="R62" s="396"/>
      <c r="S62" s="144"/>
    </row>
    <row r="63" spans="1:19" ht="15" hidden="1" customHeight="1">
      <c r="A63" s="548" t="s">
        <v>264</v>
      </c>
      <c r="B63" s="548"/>
      <c r="C63" s="129" t="s">
        <v>260</v>
      </c>
      <c r="D63" s="142">
        <f>IPCA!U23</f>
        <v>0</v>
      </c>
      <c r="E63" s="549" t="s">
        <v>261</v>
      </c>
      <c r="F63" s="549"/>
      <c r="G63" s="549"/>
      <c r="H63" s="549"/>
      <c r="I63" s="143" t="s">
        <v>262</v>
      </c>
      <c r="J63" s="143" t="s">
        <v>262</v>
      </c>
      <c r="K63" s="143" t="s">
        <v>262</v>
      </c>
      <c r="L63" s="143" t="s">
        <v>262</v>
      </c>
      <c r="M63" s="143" t="s">
        <v>262</v>
      </c>
      <c r="N63" s="550">
        <f>ROUND((100%+D63),2)</f>
        <v>1</v>
      </c>
      <c r="O63" s="550"/>
      <c r="P63" s="551"/>
      <c r="Q63" s="551"/>
      <c r="R63" s="396"/>
      <c r="S63" s="144"/>
    </row>
    <row r="64" spans="1:19" ht="15" hidden="1" customHeight="1">
      <c r="A64" s="548" t="s">
        <v>265</v>
      </c>
      <c r="B64" s="548"/>
      <c r="C64" s="129" t="s">
        <v>260</v>
      </c>
      <c r="D64" s="142">
        <f>IPCA!AB23</f>
        <v>0</v>
      </c>
      <c r="E64" s="549" t="s">
        <v>261</v>
      </c>
      <c r="F64" s="549"/>
      <c r="G64" s="549"/>
      <c r="H64" s="549"/>
      <c r="I64" s="143" t="s">
        <v>262</v>
      </c>
      <c r="J64" s="143" t="s">
        <v>262</v>
      </c>
      <c r="K64" s="143" t="s">
        <v>262</v>
      </c>
      <c r="L64" s="143" t="s">
        <v>262</v>
      </c>
      <c r="M64" s="143" t="s">
        <v>262</v>
      </c>
      <c r="N64" s="550">
        <f>ROUND((100%+D64),2)</f>
        <v>1</v>
      </c>
      <c r="O64" s="550"/>
      <c r="P64" s="551"/>
      <c r="Q64" s="551"/>
      <c r="R64" s="396"/>
      <c r="S64" s="144"/>
    </row>
    <row r="65" spans="1:19" ht="15" hidden="1" customHeight="1">
      <c r="A65" s="548" t="s">
        <v>266</v>
      </c>
      <c r="B65" s="548"/>
      <c r="C65" s="129" t="s">
        <v>260</v>
      </c>
      <c r="D65" s="142">
        <f>IPCA!AI23</f>
        <v>0</v>
      </c>
      <c r="E65" s="549" t="s">
        <v>261</v>
      </c>
      <c r="F65" s="549"/>
      <c r="G65" s="549"/>
      <c r="H65" s="549"/>
      <c r="I65" s="143" t="s">
        <v>262</v>
      </c>
      <c r="J65" s="143" t="s">
        <v>262</v>
      </c>
      <c r="K65" s="143" t="s">
        <v>262</v>
      </c>
      <c r="L65" s="143" t="s">
        <v>262</v>
      </c>
      <c r="M65" s="143" t="s">
        <v>262</v>
      </c>
      <c r="N65" s="550">
        <f>ROUND((100%+D65),2)</f>
        <v>1</v>
      </c>
      <c r="O65" s="550"/>
      <c r="P65" s="551"/>
      <c r="Q65" s="551"/>
      <c r="R65" s="396"/>
      <c r="S65" s="144"/>
    </row>
    <row r="66" spans="1:19" hidden="1">
      <c r="B66" s="145"/>
      <c r="C66" s="145"/>
      <c r="D66" s="145"/>
      <c r="E66" s="145"/>
    </row>
    <row r="67" spans="1:19" ht="30" hidden="1" customHeight="1">
      <c r="A67" s="552" t="s">
        <v>267</v>
      </c>
      <c r="B67" s="552"/>
      <c r="C67" s="552"/>
      <c r="D67" s="111" t="s">
        <v>268</v>
      </c>
      <c r="E67" s="145"/>
    </row>
    <row r="68" spans="1:19" ht="15.75" hidden="1" customHeight="1">
      <c r="A68" s="552"/>
      <c r="B68" s="552"/>
      <c r="C68" s="552"/>
      <c r="D68" s="143" t="s">
        <v>269</v>
      </c>
      <c r="E68" s="145"/>
    </row>
    <row r="69" spans="1:19" ht="30" hidden="1" customHeight="1">
      <c r="A69" s="552" t="s">
        <v>270</v>
      </c>
      <c r="B69" s="552"/>
      <c r="C69" s="552"/>
      <c r="D69" s="111" t="s">
        <v>268</v>
      </c>
      <c r="E69" s="145"/>
    </row>
    <row r="70" spans="1:19" ht="15.75" hidden="1" customHeight="1">
      <c r="A70" s="552"/>
      <c r="B70" s="552"/>
      <c r="C70" s="552"/>
      <c r="D70" s="143" t="s">
        <v>269</v>
      </c>
      <c r="E70" s="145"/>
    </row>
    <row r="71" spans="1:19" ht="30" hidden="1" customHeight="1">
      <c r="A71" s="552" t="s">
        <v>271</v>
      </c>
      <c r="B71" s="552"/>
      <c r="C71" s="552"/>
      <c r="D71" s="111" t="s">
        <v>268</v>
      </c>
      <c r="E71" s="145"/>
    </row>
    <row r="72" spans="1:19" ht="15.75" hidden="1" customHeight="1">
      <c r="A72" s="552"/>
      <c r="B72" s="552"/>
      <c r="C72" s="552"/>
      <c r="D72" s="143" t="s">
        <v>269</v>
      </c>
      <c r="E72" s="145"/>
    </row>
    <row r="73" spans="1:19" ht="42.75" hidden="1" customHeight="1">
      <c r="A73" s="552" t="s">
        <v>272</v>
      </c>
      <c r="B73" s="552"/>
      <c r="C73" s="552"/>
      <c r="D73" s="111" t="s">
        <v>268</v>
      </c>
      <c r="E73" s="146" t="s">
        <v>273</v>
      </c>
      <c r="F73" s="111" t="s">
        <v>274</v>
      </c>
      <c r="G73" s="111" t="s">
        <v>275</v>
      </c>
      <c r="H73" s="111" t="s">
        <v>276</v>
      </c>
      <c r="I73" s="111" t="s">
        <v>277</v>
      </c>
      <c r="J73" s="111" t="s">
        <v>278</v>
      </c>
      <c r="K73" s="145"/>
    </row>
    <row r="74" spans="1:19" ht="15.75" hidden="1" customHeight="1">
      <c r="A74" s="552"/>
      <c r="B74" s="552"/>
      <c r="C74" s="552"/>
      <c r="D74" s="143" t="s">
        <v>269</v>
      </c>
      <c r="E74" s="143">
        <v>1.55</v>
      </c>
      <c r="F74" s="129">
        <f>ROUND(IF(Dados!$M$61="SIM",E74*Dados!$N$61,E74),2)</f>
        <v>1.55</v>
      </c>
      <c r="G74" s="129">
        <f>ROUND(IF(Dados!$M$62="SIM",F74*Dados!$N$62,F74),2)</f>
        <v>1.55</v>
      </c>
      <c r="H74" s="129">
        <f>ROUND(IF(Dados!$M$63="SIM",G74*Dados!$N$63,G74),2)</f>
        <v>1.55</v>
      </c>
      <c r="I74" s="129">
        <f>ROUND(IF(Dados!$M$64="SIM",H74*Dados!$N$64,H74),2)</f>
        <v>1.55</v>
      </c>
      <c r="J74" s="129">
        <f>ROUND(IF(Dados!$M$65="SIM",I74*Dados!$N$65,I74),2)</f>
        <v>1.55</v>
      </c>
    </row>
    <row r="75" spans="1:19" hidden="1">
      <c r="E75" s="145"/>
    </row>
    <row r="76" spans="1:19" ht="15.75" hidden="1" customHeight="1">
      <c r="A76" s="553" t="s">
        <v>279</v>
      </c>
      <c r="B76" s="553"/>
      <c r="C76" s="553"/>
      <c r="D76" s="553"/>
      <c r="E76" s="553"/>
      <c r="F76" s="553"/>
      <c r="G76" s="553"/>
      <c r="H76" s="553"/>
    </row>
    <row r="77" spans="1:19" hidden="1">
      <c r="A77" s="546" t="s">
        <v>280</v>
      </c>
      <c r="B77" s="546"/>
      <c r="C77" s="546"/>
      <c r="D77" s="546"/>
      <c r="E77" s="546"/>
      <c r="F77" s="544" t="s">
        <v>281</v>
      </c>
      <c r="G77" s="544"/>
      <c r="H77" s="147"/>
    </row>
    <row r="78" spans="1:19" ht="43.5" hidden="1" customHeight="1">
      <c r="A78" s="545" t="s">
        <v>282</v>
      </c>
      <c r="B78" s="545"/>
      <c r="C78" s="545"/>
      <c r="D78" s="545"/>
      <c r="E78" s="545"/>
      <c r="F78" s="545"/>
      <c r="G78" s="545"/>
      <c r="H78" s="545"/>
    </row>
    <row r="79" spans="1:19" hidden="1">
      <c r="A79" s="546" t="s">
        <v>283</v>
      </c>
      <c r="B79" s="546"/>
      <c r="C79" s="546"/>
      <c r="D79" s="546"/>
      <c r="E79" s="546"/>
      <c r="F79" s="544" t="s">
        <v>281</v>
      </c>
      <c r="G79" s="544"/>
      <c r="H79" s="147"/>
    </row>
    <row r="80" spans="1:19" ht="43.5" hidden="1" customHeight="1">
      <c r="A80" s="547" t="s">
        <v>284</v>
      </c>
      <c r="B80" s="547"/>
      <c r="C80" s="547"/>
      <c r="D80" s="547"/>
      <c r="E80" s="547"/>
      <c r="F80" s="547"/>
      <c r="G80" s="547"/>
      <c r="H80" s="547"/>
    </row>
    <row r="81" spans="1:8" hidden="1">
      <c r="A81" s="546" t="s">
        <v>285</v>
      </c>
      <c r="B81" s="546"/>
      <c r="C81" s="546"/>
      <c r="D81" s="546"/>
      <c r="E81" s="546"/>
      <c r="F81" s="544" t="s">
        <v>281</v>
      </c>
      <c r="G81" s="544"/>
      <c r="H81" s="147"/>
    </row>
    <row r="82" spans="1:8" ht="43.5" hidden="1" customHeight="1">
      <c r="A82" s="545" t="s">
        <v>286</v>
      </c>
      <c r="B82" s="545"/>
      <c r="C82" s="545"/>
      <c r="D82" s="545"/>
      <c r="E82" s="545"/>
      <c r="F82" s="545"/>
      <c r="G82" s="545"/>
      <c r="H82" s="545"/>
    </row>
    <row r="83" spans="1:8" hidden="1">
      <c r="A83" s="543" t="s">
        <v>287</v>
      </c>
      <c r="B83" s="543"/>
      <c r="C83" s="543"/>
      <c r="D83" s="543"/>
      <c r="E83" s="543"/>
      <c r="F83" s="544" t="s">
        <v>281</v>
      </c>
      <c r="G83" s="544"/>
      <c r="H83" s="148"/>
    </row>
    <row r="84" spans="1:8" ht="43.5" hidden="1" customHeight="1">
      <c r="A84" s="545" t="s">
        <v>288</v>
      </c>
      <c r="B84" s="545"/>
      <c r="C84" s="545"/>
      <c r="D84" s="545"/>
      <c r="E84" s="545"/>
      <c r="F84" s="545"/>
      <c r="G84" s="545"/>
      <c r="H84" s="545"/>
    </row>
    <row r="85" spans="1:8" hidden="1"/>
    <row r="86" spans="1:8" hidden="1"/>
    <row r="87" spans="1:8" hidden="1"/>
    <row r="88" spans="1:8" hidden="1"/>
    <row r="89" spans="1:8" hidden="1"/>
    <row r="90" spans="1:8" hidden="1"/>
    <row r="91" spans="1:8" hidden="1"/>
    <row r="92" spans="1:8" hidden="1"/>
    <row r="93" spans="1:8" hidden="1"/>
    <row r="94" spans="1:8" hidden="1"/>
    <row r="95" spans="1:8" hidden="1"/>
    <row r="96" spans="1:8"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sheetData>
  <sheetProtection algorithmName="SHA-512" hashValue="BM1qn7M9AznHVqI9T6D9ReMk8XZzufq0zcKfS5luoYy2KCMbPetVAetK0kPs6lI5UlVCLDZMYekgwA/XoCESlA==" saltValue="5EIQxKL2VhpJLBtQYmPYJQ==" spinCount="100000" sheet="1" objects="1" scenarios="1"/>
  <mergeCells count="102">
    <mergeCell ref="J5:J6"/>
    <mergeCell ref="K5:K6"/>
    <mergeCell ref="L5:L6"/>
    <mergeCell ref="M5:M6"/>
    <mergeCell ref="T5:T6"/>
    <mergeCell ref="A13:G13"/>
    <mergeCell ref="B14:D14"/>
    <mergeCell ref="E14:G14"/>
    <mergeCell ref="A5:A6"/>
    <mergeCell ref="B5:B6"/>
    <mergeCell ref="C5:C6"/>
    <mergeCell ref="D5:D6"/>
    <mergeCell ref="E5:E6"/>
    <mergeCell ref="F5:F6"/>
    <mergeCell ref="G5:G6"/>
    <mergeCell ref="H5:H6"/>
    <mergeCell ref="I5:I6"/>
    <mergeCell ref="A7:A10"/>
    <mergeCell ref="B15:D15"/>
    <mergeCell ref="E15:G15"/>
    <mergeCell ref="B16:D16"/>
    <mergeCell ref="E16:G16"/>
    <mergeCell ref="B17:D17"/>
    <mergeCell ref="E17:G17"/>
    <mergeCell ref="B18:D18"/>
    <mergeCell ref="E18:G18"/>
    <mergeCell ref="A20:G20"/>
    <mergeCell ref="B21:F21"/>
    <mergeCell ref="B23:F23"/>
    <mergeCell ref="B24:F24"/>
    <mergeCell ref="B25:F25"/>
    <mergeCell ref="A27:G27"/>
    <mergeCell ref="B28:F28"/>
    <mergeCell ref="A30:G30"/>
    <mergeCell ref="B31:F31"/>
    <mergeCell ref="B32:F32"/>
    <mergeCell ref="A33:A36"/>
    <mergeCell ref="B33:C36"/>
    <mergeCell ref="D33:F33"/>
    <mergeCell ref="D34:F34"/>
    <mergeCell ref="D35:F35"/>
    <mergeCell ref="D36:F36"/>
    <mergeCell ref="A37:A39"/>
    <mergeCell ref="B37:C39"/>
    <mergeCell ref="D37:F37"/>
    <mergeCell ref="D38:F38"/>
    <mergeCell ref="D39:F39"/>
    <mergeCell ref="B40:F40"/>
    <mergeCell ref="B41:F41"/>
    <mergeCell ref="A43:G43"/>
    <mergeCell ref="B44:F44"/>
    <mergeCell ref="B45:F45"/>
    <mergeCell ref="A47:G47"/>
    <mergeCell ref="A48:A50"/>
    <mergeCell ref="B48:G50"/>
    <mergeCell ref="B51:E51"/>
    <mergeCell ref="F51:G51"/>
    <mergeCell ref="B52:F52"/>
    <mergeCell ref="B53:F53"/>
    <mergeCell ref="B54:F54"/>
    <mergeCell ref="B55:F55"/>
    <mergeCell ref="B56:F56"/>
    <mergeCell ref="A60:H60"/>
    <mergeCell ref="N60:O60"/>
    <mergeCell ref="P60:Q60"/>
    <mergeCell ref="A61:B61"/>
    <mergeCell ref="E61:H61"/>
    <mergeCell ref="N61:O61"/>
    <mergeCell ref="P61:Q61"/>
    <mergeCell ref="A62:B62"/>
    <mergeCell ref="E62:H62"/>
    <mergeCell ref="N62:O62"/>
    <mergeCell ref="P62:Q62"/>
    <mergeCell ref="A63:B63"/>
    <mergeCell ref="E63:H63"/>
    <mergeCell ref="N63:O63"/>
    <mergeCell ref="P63:Q63"/>
    <mergeCell ref="A64:B64"/>
    <mergeCell ref="E64:H64"/>
    <mergeCell ref="N64:O64"/>
    <mergeCell ref="P64:Q64"/>
    <mergeCell ref="A65:B65"/>
    <mergeCell ref="E65:H65"/>
    <mergeCell ref="N65:O65"/>
    <mergeCell ref="P65:Q65"/>
    <mergeCell ref="A67:C68"/>
    <mergeCell ref="A69:C70"/>
    <mergeCell ref="A71:C72"/>
    <mergeCell ref="A73:C74"/>
    <mergeCell ref="A76:H76"/>
    <mergeCell ref="A83:E83"/>
    <mergeCell ref="F83:G83"/>
    <mergeCell ref="A84:H84"/>
    <mergeCell ref="A77:E77"/>
    <mergeCell ref="F77:G77"/>
    <mergeCell ref="A78:H78"/>
    <mergeCell ref="A79:E79"/>
    <mergeCell ref="F79:G79"/>
    <mergeCell ref="A80:H80"/>
    <mergeCell ref="A81:E81"/>
    <mergeCell ref="F81:G81"/>
    <mergeCell ref="A82:H82"/>
  </mergeCells>
  <dataValidations disablePrompts="1" count="3">
    <dataValidation type="list" allowBlank="1" showInputMessage="1" showErrorMessage="1" sqref="F51">
      <formula1>"LUCRO REAL,LUCRO PRESUMIDO,SIMPLES NACIONAL,OUTRO"</formula1>
      <formula2>0</formula2>
    </dataValidation>
    <dataValidation type="list" allowBlank="1" showInputMessage="1" showErrorMessage="1" sqref="I61:M65">
      <formula1>"NÃO,SIM"</formula1>
      <formula2>0</formula2>
    </dataValidation>
    <dataValidation type="list" allowBlank="1" showInputMessage="1" showErrorMessage="1" sqref="D68 D70 D72 D74">
      <formula1>"INICIAL,1º IPCA,2º IPCA,3º IPCA,4º IPCA,5º IPCA"</formula1>
      <formula2>0</formula2>
    </dataValidation>
  </dataValidations>
  <printOptions horizontalCentered="1" verticalCentered="1"/>
  <pageMargins left="0.51180555555555596" right="0.51180555555555596" top="0.78749999999999998" bottom="0.78749999999999998" header="0.511811023622047" footer="0.511811023622047"/>
  <pageSetup paperSize="9" scale="31" fitToHeight="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sheetPr>
    <tabColor rgb="FFFFC000"/>
  </sheetPr>
  <dimension ref="A1:H61"/>
  <sheetViews>
    <sheetView showGridLines="0" topLeftCell="A3" zoomScale="110" zoomScaleNormal="110" zoomScaleSheetLayoutView="100" zoomScalePageLayoutView="140" workbookViewId="0">
      <selection activeCell="E36" sqref="E36"/>
    </sheetView>
  </sheetViews>
  <sheetFormatPr defaultColWidth="8.6640625" defaultRowHeight="14.4"/>
  <cols>
    <col min="1" max="1" width="9" customWidth="1"/>
    <col min="2" max="2" width="55.5546875" customWidth="1"/>
    <col min="3" max="3" width="13.109375" customWidth="1"/>
    <col min="4" max="4" width="4.88671875" customWidth="1"/>
    <col min="5" max="5" width="41.6640625" customWidth="1"/>
    <col min="6" max="8" width="11" customWidth="1"/>
    <col min="9" max="257" width="9" customWidth="1"/>
    <col min="258" max="258" width="55.5546875" customWidth="1"/>
    <col min="259" max="259" width="13.109375" customWidth="1"/>
    <col min="260" max="260" width="9" customWidth="1"/>
    <col min="261" max="261" width="35.109375" customWidth="1"/>
    <col min="262" max="264" width="11" customWidth="1"/>
    <col min="265" max="513" width="9" customWidth="1"/>
    <col min="514" max="514" width="55.5546875" customWidth="1"/>
    <col min="515" max="515" width="13.109375" customWidth="1"/>
    <col min="516" max="516" width="9" customWidth="1"/>
    <col min="517" max="517" width="35.109375" customWidth="1"/>
    <col min="518" max="520" width="11" customWidth="1"/>
    <col min="521" max="769" width="9" customWidth="1"/>
    <col min="770" max="770" width="55.5546875" customWidth="1"/>
    <col min="771" max="771" width="13.109375" customWidth="1"/>
    <col min="772" max="772" width="9" customWidth="1"/>
    <col min="773" max="773" width="35.109375" customWidth="1"/>
    <col min="774" max="776" width="11" customWidth="1"/>
    <col min="777" max="1025" width="9" customWidth="1"/>
  </cols>
  <sheetData>
    <row r="1" spans="1:4">
      <c r="A1" s="149"/>
      <c r="B1" s="89" t="str">
        <f>INSTRUÇÕES!B1</f>
        <v>Tribunal Regional Federal da 6ª Região</v>
      </c>
      <c r="C1" s="150"/>
    </row>
    <row r="2" spans="1:4">
      <c r="A2" s="151"/>
      <c r="B2" s="91" t="str">
        <f>INSTRUÇÕES!B2</f>
        <v>Seção Judiciária de Minas Gerais</v>
      </c>
      <c r="C2" s="152"/>
    </row>
    <row r="3" spans="1:4">
      <c r="A3" s="153"/>
      <c r="B3" s="91" t="str">
        <f>INSTRUÇÕES!B3</f>
        <v>Subseção Judiciária de Varginha</v>
      </c>
      <c r="C3" s="152"/>
    </row>
    <row r="4" spans="1:4" ht="21.75" customHeight="1">
      <c r="A4" s="576" t="s">
        <v>289</v>
      </c>
      <c r="B4" s="576"/>
      <c r="C4" s="576"/>
    </row>
    <row r="5" spans="1:4" ht="21.75" customHeight="1">
      <c r="A5" s="576" t="s">
        <v>290</v>
      </c>
      <c r="B5" s="576"/>
      <c r="C5" s="576"/>
    </row>
    <row r="6" spans="1:4" ht="26.25" customHeight="1">
      <c r="A6" s="577" t="s">
        <v>291</v>
      </c>
      <c r="B6" s="577"/>
      <c r="C6" s="577"/>
    </row>
    <row r="7" spans="1:4">
      <c r="A7" s="578" t="s">
        <v>292</v>
      </c>
      <c r="B7" s="578"/>
      <c r="C7" s="578"/>
    </row>
    <row r="8" spans="1:4" ht="15.75" customHeight="1">
      <c r="A8" s="154" t="s">
        <v>59</v>
      </c>
      <c r="B8" s="155" t="s">
        <v>293</v>
      </c>
      <c r="C8" s="156" t="s">
        <v>294</v>
      </c>
    </row>
    <row r="9" spans="1:4" ht="15.75" customHeight="1">
      <c r="A9" s="157" t="s">
        <v>295</v>
      </c>
      <c r="B9" s="571" t="s">
        <v>296</v>
      </c>
      <c r="C9" s="571"/>
    </row>
    <row r="10" spans="1:4" ht="15.75" customHeight="1">
      <c r="A10" s="158">
        <v>1</v>
      </c>
      <c r="B10" s="159" t="s">
        <v>297</v>
      </c>
      <c r="C10" s="160">
        <v>0.2</v>
      </c>
    </row>
    <row r="11" spans="1:4" ht="15.75" customHeight="1">
      <c r="A11" s="158">
        <v>2</v>
      </c>
      <c r="B11" s="159" t="s">
        <v>298</v>
      </c>
      <c r="C11" s="160">
        <v>1.4999999999999999E-2</v>
      </c>
    </row>
    <row r="12" spans="1:4" ht="15.75" customHeight="1">
      <c r="A12" s="158">
        <v>3</v>
      </c>
      <c r="B12" s="159" t="s">
        <v>299</v>
      </c>
      <c r="C12" s="160">
        <v>0.01</v>
      </c>
    </row>
    <row r="13" spans="1:4" ht="15.75" customHeight="1">
      <c r="A13" s="158">
        <v>4</v>
      </c>
      <c r="B13" s="159" t="s">
        <v>300</v>
      </c>
      <c r="C13" s="160">
        <v>2E-3</v>
      </c>
    </row>
    <row r="14" spans="1:4" ht="15.75" customHeight="1">
      <c r="A14" s="158">
        <v>5</v>
      </c>
      <c r="B14" s="159" t="s">
        <v>301</v>
      </c>
      <c r="C14" s="160">
        <v>2.5000000000000001E-2</v>
      </c>
    </row>
    <row r="15" spans="1:4" ht="15.75" customHeight="1">
      <c r="A15" s="158">
        <v>6</v>
      </c>
      <c r="B15" s="159" t="s">
        <v>302</v>
      </c>
      <c r="C15" s="160">
        <v>0.08</v>
      </c>
    </row>
    <row r="16" spans="1:4" ht="15.75" customHeight="1">
      <c r="A16" s="158">
        <v>7</v>
      </c>
      <c r="B16" s="159" t="s">
        <v>303</v>
      </c>
      <c r="C16" s="161">
        <f>Dados!G23</f>
        <v>0.06</v>
      </c>
      <c r="D16" s="162" t="s">
        <v>304</v>
      </c>
    </row>
    <row r="17" spans="1:3" ht="15.75" customHeight="1">
      <c r="A17" s="158">
        <v>8</v>
      </c>
      <c r="B17" s="159" t="s">
        <v>305</v>
      </c>
      <c r="C17" s="160">
        <v>6.0000000000000001E-3</v>
      </c>
    </row>
    <row r="18" spans="1:3" ht="15.75" customHeight="1">
      <c r="A18" s="574" t="s">
        <v>306</v>
      </c>
      <c r="B18" s="574"/>
      <c r="C18" s="163">
        <f>SUM(C10:C17)</f>
        <v>0.39800000000000008</v>
      </c>
    </row>
    <row r="19" spans="1:3" ht="15.75" customHeight="1">
      <c r="A19" s="575" t="s">
        <v>307</v>
      </c>
      <c r="B19" s="575"/>
      <c r="C19" s="575"/>
    </row>
    <row r="20" spans="1:3" ht="15.75" customHeight="1">
      <c r="A20" s="575" t="s">
        <v>308</v>
      </c>
      <c r="B20" s="575"/>
      <c r="C20" s="575"/>
    </row>
    <row r="21" spans="1:3" ht="15.75" customHeight="1">
      <c r="A21" s="158">
        <v>9</v>
      </c>
      <c r="B21" s="164" t="s">
        <v>309</v>
      </c>
      <c r="C21" s="165">
        <f>ROUND((100%/11),4)</f>
        <v>9.0899999999999995E-2</v>
      </c>
    </row>
    <row r="22" spans="1:3" ht="15.75" customHeight="1">
      <c r="A22" s="158">
        <v>10</v>
      </c>
      <c r="B22" s="164" t="s">
        <v>310</v>
      </c>
      <c r="C22" s="165">
        <f>ROUND((C21/3),4)</f>
        <v>3.0300000000000001E-2</v>
      </c>
    </row>
    <row r="23" spans="1:3" ht="15.75" customHeight="1">
      <c r="A23" s="572" t="s">
        <v>311</v>
      </c>
      <c r="B23" s="572"/>
      <c r="C23" s="166">
        <f>SUM(C21:C22)</f>
        <v>0.1212</v>
      </c>
    </row>
    <row r="24" spans="1:3" ht="15.75" customHeight="1">
      <c r="A24" s="573" t="s">
        <v>312</v>
      </c>
      <c r="B24" s="573"/>
      <c r="C24" s="161">
        <f>(C18*C23)</f>
        <v>4.8237600000000012E-2</v>
      </c>
    </row>
    <row r="25" spans="1:3" ht="15.75" customHeight="1">
      <c r="A25" s="572" t="s">
        <v>313</v>
      </c>
      <c r="B25" s="572"/>
      <c r="C25" s="166">
        <f>SUM(C23:C24)</f>
        <v>0.16943760000000002</v>
      </c>
    </row>
    <row r="26" spans="1:3" ht="15.75" customHeight="1">
      <c r="A26" s="157" t="s">
        <v>314</v>
      </c>
      <c r="B26" s="571" t="s">
        <v>315</v>
      </c>
      <c r="C26" s="571"/>
    </row>
    <row r="27" spans="1:3" ht="15.75" customHeight="1">
      <c r="A27" s="158">
        <v>11</v>
      </c>
      <c r="B27" s="159" t="s">
        <v>316</v>
      </c>
      <c r="C27" s="160">
        <f>ROUND((0.0144*0.1*0.4509*6/12),4)</f>
        <v>2.9999999999999997E-4</v>
      </c>
    </row>
    <row r="28" spans="1:3" ht="15.75" customHeight="1">
      <c r="A28" s="573" t="s">
        <v>317</v>
      </c>
      <c r="B28" s="573"/>
      <c r="C28" s="167">
        <f>C18*C27</f>
        <v>1.1940000000000002E-4</v>
      </c>
    </row>
    <row r="29" spans="1:3" ht="15.75" customHeight="1">
      <c r="A29" s="572" t="s">
        <v>318</v>
      </c>
      <c r="B29" s="572"/>
      <c r="C29" s="168">
        <f>SUM(C27:C28)</f>
        <v>4.194E-4</v>
      </c>
    </row>
    <row r="30" spans="1:3" ht="15.75" customHeight="1">
      <c r="A30" s="157" t="s">
        <v>319</v>
      </c>
      <c r="B30" s="571" t="s">
        <v>320</v>
      </c>
      <c r="C30" s="571"/>
    </row>
    <row r="31" spans="1:3" ht="15.75" customHeight="1">
      <c r="A31" s="158">
        <v>12</v>
      </c>
      <c r="B31" s="159" t="s">
        <v>321</v>
      </c>
      <c r="C31" s="160">
        <f>ROUND((100%/12)*5%,4)</f>
        <v>4.1999999999999997E-3</v>
      </c>
    </row>
    <row r="32" spans="1:3" ht="15.75" customHeight="1">
      <c r="A32" s="563" t="s">
        <v>322</v>
      </c>
      <c r="B32" s="563"/>
      <c r="C32" s="161">
        <f>C15*C31</f>
        <v>3.3599999999999998E-4</v>
      </c>
    </row>
    <row r="33" spans="1:8" ht="15.75" customHeight="1">
      <c r="A33" s="158">
        <v>13</v>
      </c>
      <c r="B33" s="159" t="s">
        <v>323</v>
      </c>
      <c r="C33" s="165">
        <f>ROUND((C15*0.4*0.9*(1+1/11+1/11+(1/3*1/11))),5)</f>
        <v>3.4909999999999997E-2</v>
      </c>
    </row>
    <row r="34" spans="1:8" ht="15.75" customHeight="1">
      <c r="A34" s="158">
        <v>14</v>
      </c>
      <c r="B34" s="159" t="s">
        <v>324</v>
      </c>
      <c r="C34" s="160">
        <f>ROUND((7/30/12)*0.02*100%,4)</f>
        <v>4.0000000000000002E-4</v>
      </c>
    </row>
    <row r="35" spans="1:8" ht="15.75" customHeight="1">
      <c r="A35" s="563" t="s">
        <v>325</v>
      </c>
      <c r="B35" s="563"/>
      <c r="C35" s="161">
        <f>ROUND((C34*C18),4)</f>
        <v>2.0000000000000001E-4</v>
      </c>
    </row>
    <row r="36" spans="1:8" ht="15.75" customHeight="1">
      <c r="A36" s="158">
        <v>15</v>
      </c>
      <c r="B36" s="159" t="s">
        <v>326</v>
      </c>
      <c r="C36" s="161">
        <f>(0.4*C15/100)</f>
        <v>3.2000000000000003E-4</v>
      </c>
    </row>
    <row r="37" spans="1:8" ht="15.75" customHeight="1">
      <c r="A37" s="566" t="s">
        <v>327</v>
      </c>
      <c r="B37" s="566"/>
      <c r="C37" s="166">
        <f>SUM(C31:C36)</f>
        <v>4.0365999999999992E-2</v>
      </c>
    </row>
    <row r="38" spans="1:8" ht="15.75" customHeight="1">
      <c r="A38" s="157" t="s">
        <v>328</v>
      </c>
      <c r="B38" s="571" t="s">
        <v>329</v>
      </c>
      <c r="C38" s="571"/>
    </row>
    <row r="39" spans="1:8" ht="15.75" customHeight="1">
      <c r="A39" s="158">
        <v>16</v>
      </c>
      <c r="B39" s="159" t="s">
        <v>330</v>
      </c>
      <c r="C39" s="165">
        <f>ROUND((100%/11),4)</f>
        <v>9.0899999999999995E-2</v>
      </c>
    </row>
    <row r="40" spans="1:8" ht="15.75" customHeight="1">
      <c r="A40" s="158">
        <v>17</v>
      </c>
      <c r="B40" s="159" t="s">
        <v>331</v>
      </c>
      <c r="C40" s="160">
        <v>1.66E-2</v>
      </c>
    </row>
    <row r="41" spans="1:8" ht="15.75" customHeight="1">
      <c r="A41" s="158">
        <v>18</v>
      </c>
      <c r="B41" s="159" t="s">
        <v>332</v>
      </c>
      <c r="C41" s="160">
        <f>ROUND((5/30/12)*0.022,4)</f>
        <v>2.9999999999999997E-4</v>
      </c>
    </row>
    <row r="42" spans="1:8" ht="15.75" customHeight="1">
      <c r="A42" s="158">
        <v>19</v>
      </c>
      <c r="B42" s="159" t="s">
        <v>333</v>
      </c>
      <c r="C42" s="160">
        <f>ROUND((1/30/12),4)</f>
        <v>2.8E-3</v>
      </c>
    </row>
    <row r="43" spans="1:8" ht="15.75" customHeight="1">
      <c r="A43" s="158">
        <v>20</v>
      </c>
      <c r="B43" s="159" t="s">
        <v>334</v>
      </c>
      <c r="C43" s="160">
        <f>ROUND((15/30/12*0.0078),4)</f>
        <v>2.9999999999999997E-4</v>
      </c>
    </row>
    <row r="44" spans="1:8" ht="15.75" customHeight="1">
      <c r="A44" s="566" t="s">
        <v>311</v>
      </c>
      <c r="B44" s="566"/>
      <c r="C44" s="166">
        <f>SUM(C39:C43)</f>
        <v>0.11089999999999998</v>
      </c>
      <c r="E44" s="568" t="s">
        <v>335</v>
      </c>
      <c r="F44" s="568"/>
      <c r="G44" s="568"/>
      <c r="H44" s="568"/>
    </row>
    <row r="45" spans="1:8" ht="15.75" customHeight="1">
      <c r="A45" s="563" t="s">
        <v>336</v>
      </c>
      <c r="B45" s="563"/>
      <c r="C45" s="161">
        <f>C18*C44</f>
        <v>4.4138200000000002E-2</v>
      </c>
      <c r="E45" s="568"/>
      <c r="F45" s="568"/>
      <c r="G45" s="568"/>
      <c r="H45" s="568"/>
    </row>
    <row r="46" spans="1:8" ht="15" customHeight="1">
      <c r="A46" s="566" t="s">
        <v>337</v>
      </c>
      <c r="B46" s="566"/>
      <c r="C46" s="166">
        <f>SUM(C44:C45)</f>
        <v>0.15503819999999999</v>
      </c>
      <c r="E46" s="569" t="s">
        <v>338</v>
      </c>
      <c r="F46" s="570" t="s">
        <v>339</v>
      </c>
      <c r="G46" s="570"/>
      <c r="H46" s="570"/>
    </row>
    <row r="47" spans="1:8" ht="15.75" customHeight="1">
      <c r="A47" s="169" t="s">
        <v>340</v>
      </c>
      <c r="B47" s="170" t="s">
        <v>341</v>
      </c>
      <c r="C47" s="166" t="s">
        <v>207</v>
      </c>
      <c r="E47" s="569"/>
      <c r="F47" s="570" t="s">
        <v>342</v>
      </c>
      <c r="G47" s="570"/>
      <c r="H47" s="570"/>
    </row>
    <row r="48" spans="1:8" ht="15.75" customHeight="1">
      <c r="A48" s="158">
        <v>21</v>
      </c>
      <c r="B48" s="159" t="s">
        <v>343</v>
      </c>
      <c r="C48" s="160">
        <f>1*1%/12</f>
        <v>8.3333333333333339E-4</v>
      </c>
      <c r="E48" s="171" t="s">
        <v>344</v>
      </c>
      <c r="F48" s="172" t="s">
        <v>345</v>
      </c>
      <c r="G48" s="172" t="s">
        <v>346</v>
      </c>
      <c r="H48" s="173" t="s">
        <v>347</v>
      </c>
    </row>
    <row r="49" spans="1:8" ht="15.75" customHeight="1">
      <c r="A49" s="566" t="s">
        <v>348</v>
      </c>
      <c r="B49" s="566"/>
      <c r="C49" s="166">
        <f>SUM(C47:C48)</f>
        <v>8.3333333333333339E-4</v>
      </c>
      <c r="E49" s="171" t="s">
        <v>349</v>
      </c>
      <c r="F49" s="174">
        <v>0.34300000000000003</v>
      </c>
      <c r="G49" s="174">
        <v>0.39800000000000002</v>
      </c>
      <c r="H49" s="175">
        <f>$C$18</f>
        <v>0.39800000000000008</v>
      </c>
    </row>
    <row r="50" spans="1:8" ht="15.75" customHeight="1">
      <c r="A50" s="567" t="s">
        <v>350</v>
      </c>
      <c r="B50" s="567"/>
      <c r="C50" s="567"/>
      <c r="E50" s="171" t="s">
        <v>351</v>
      </c>
      <c r="F50" s="174">
        <v>5.0000000000000001E-3</v>
      </c>
      <c r="G50" s="174">
        <v>0.06</v>
      </c>
      <c r="H50" s="175">
        <f>$C$16</f>
        <v>0.06</v>
      </c>
    </row>
    <row r="51" spans="1:8" ht="15.75" customHeight="1">
      <c r="A51" s="563" t="s">
        <v>296</v>
      </c>
      <c r="B51" s="563"/>
      <c r="C51" s="161">
        <f>ROUND(C18,4)</f>
        <v>0.39800000000000002</v>
      </c>
      <c r="E51" s="176" t="s">
        <v>352</v>
      </c>
      <c r="F51" s="177">
        <f>$C$21</f>
        <v>9.0899999999999995E-2</v>
      </c>
      <c r="G51" s="177">
        <f>$F$51</f>
        <v>9.0899999999999995E-2</v>
      </c>
      <c r="H51" s="178">
        <f>$F$51</f>
        <v>9.0899999999999995E-2</v>
      </c>
    </row>
    <row r="52" spans="1:8" ht="15.75" customHeight="1">
      <c r="A52" s="563" t="s">
        <v>353</v>
      </c>
      <c r="B52" s="563"/>
      <c r="C52" s="161">
        <f>ROUND(C25,4)</f>
        <v>0.1694</v>
      </c>
      <c r="E52" s="176" t="s">
        <v>354</v>
      </c>
      <c r="F52" s="177">
        <f>$C$39</f>
        <v>9.0899999999999995E-2</v>
      </c>
      <c r="G52" s="177">
        <f>$F$52</f>
        <v>9.0899999999999995E-2</v>
      </c>
      <c r="H52" s="178">
        <f>$F$52</f>
        <v>9.0899999999999995E-2</v>
      </c>
    </row>
    <row r="53" spans="1:8" ht="15.75" customHeight="1">
      <c r="A53" s="563" t="s">
        <v>315</v>
      </c>
      <c r="B53" s="563"/>
      <c r="C53" s="161">
        <f>ROUND(C29,4)</f>
        <v>4.0000000000000002E-4</v>
      </c>
      <c r="E53" s="176" t="s">
        <v>355</v>
      </c>
      <c r="F53" s="177">
        <f>$C$22</f>
        <v>3.0300000000000001E-2</v>
      </c>
      <c r="G53" s="177">
        <f>$F$53</f>
        <v>3.0300000000000001E-2</v>
      </c>
      <c r="H53" s="178">
        <f>$F$53</f>
        <v>3.0300000000000001E-2</v>
      </c>
    </row>
    <row r="54" spans="1:8" ht="15.75" customHeight="1">
      <c r="A54" s="563" t="s">
        <v>356</v>
      </c>
      <c r="B54" s="563"/>
      <c r="C54" s="161">
        <f>ROUND(C37,4)</f>
        <v>4.0399999999999998E-2</v>
      </c>
      <c r="E54" s="179" t="s">
        <v>311</v>
      </c>
      <c r="F54" s="180">
        <f>SUM(F51:F53)</f>
        <v>0.21209999999999998</v>
      </c>
      <c r="G54" s="180">
        <f>SUM(G51:G53)</f>
        <v>0.21209999999999998</v>
      </c>
      <c r="H54" s="181">
        <f>ROUND((SUM(H51:H53)),4)</f>
        <v>0.21210000000000001</v>
      </c>
    </row>
    <row r="55" spans="1:8" ht="15.75" customHeight="1">
      <c r="A55" s="563" t="s">
        <v>357</v>
      </c>
      <c r="B55" s="563"/>
      <c r="C55" s="161">
        <f>ROUND(C46,4)</f>
        <v>0.155</v>
      </c>
      <c r="E55" s="176" t="s">
        <v>358</v>
      </c>
      <c r="F55" s="177">
        <f>F54*F49</f>
        <v>7.2750300000000004E-2</v>
      </c>
      <c r="G55" s="177">
        <f>G54*G49</f>
        <v>8.4415799999999999E-2</v>
      </c>
      <c r="H55" s="178">
        <f>ROUND((H54*H49),4)</f>
        <v>8.4400000000000003E-2</v>
      </c>
    </row>
    <row r="56" spans="1:8" ht="15.75" customHeight="1">
      <c r="A56" s="563" t="s">
        <v>343</v>
      </c>
      <c r="B56" s="563"/>
      <c r="C56" s="161">
        <f>ROUND(C49,4)</f>
        <v>8.0000000000000004E-4</v>
      </c>
      <c r="E56" s="176" t="s">
        <v>359</v>
      </c>
      <c r="F56" s="177">
        <v>3.4909999999999997E-2</v>
      </c>
      <c r="G56" s="177">
        <v>3.4909999999999997E-2</v>
      </c>
      <c r="H56" s="182">
        <f>C33</f>
        <v>3.4909999999999997E-2</v>
      </c>
    </row>
    <row r="57" spans="1:8" ht="15.75" customHeight="1">
      <c r="A57" s="564" t="s">
        <v>360</v>
      </c>
      <c r="B57" s="564"/>
      <c r="C57" s="163">
        <f>SUM(C51:C56)</f>
        <v>0.76400000000000001</v>
      </c>
      <c r="E57" s="183" t="s">
        <v>361</v>
      </c>
      <c r="F57" s="184">
        <f>SUM(F54:F56)</f>
        <v>0.3197603</v>
      </c>
      <c r="G57" s="184">
        <f>SUM(G54:G56)</f>
        <v>0.33142579999999999</v>
      </c>
      <c r="H57" s="185">
        <f>ROUND((SUM(H54:H56)),4)</f>
        <v>0.33139999999999997</v>
      </c>
    </row>
    <row r="58" spans="1:8" ht="24">
      <c r="A58" s="186" t="s">
        <v>50</v>
      </c>
      <c r="B58" s="187"/>
      <c r="C58" s="188"/>
      <c r="E58" s="176" t="s">
        <v>362</v>
      </c>
      <c r="F58" s="177" t="s">
        <v>207</v>
      </c>
      <c r="G58" s="177" t="s">
        <v>207</v>
      </c>
      <c r="H58" s="178" t="s">
        <v>207</v>
      </c>
    </row>
    <row r="59" spans="1:8" ht="54.75" customHeight="1">
      <c r="A59" s="565" t="s">
        <v>363</v>
      </c>
      <c r="B59" s="565"/>
      <c r="C59" s="565"/>
      <c r="E59" s="189" t="s">
        <v>364</v>
      </c>
      <c r="F59" s="190">
        <f>F57</f>
        <v>0.3197603</v>
      </c>
      <c r="G59" s="190">
        <f>G57</f>
        <v>0.33142579999999999</v>
      </c>
      <c r="H59" s="191">
        <f>ROUND((H57),4)</f>
        <v>0.33139999999999997</v>
      </c>
    </row>
    <row r="61" spans="1:8" ht="12.75" customHeight="1"/>
  </sheetData>
  <sheetProtection algorithmName="SHA-512" hashValue="ApbIgTv2HK++dSCbdF/x7uUPR8JjeEabgCiOWifsd9gGA7oRrJ0OjdA+iZ/PA3Nn8jlRElPjP/LDRgvVMVHz4A==" saltValue="+lEeem3HgPOfo0wNXSvXjw==" spinCount="100000" sheet="1" objects="1" scenarios="1"/>
  <mergeCells count="36">
    <mergeCell ref="A4:C4"/>
    <mergeCell ref="A5:C5"/>
    <mergeCell ref="A6:C6"/>
    <mergeCell ref="A7:C7"/>
    <mergeCell ref="B9:C9"/>
    <mergeCell ref="A18:B18"/>
    <mergeCell ref="A19:C19"/>
    <mergeCell ref="A20:C20"/>
    <mergeCell ref="A23:B23"/>
    <mergeCell ref="A24:B24"/>
    <mergeCell ref="A25:B25"/>
    <mergeCell ref="B26:C26"/>
    <mergeCell ref="A28:B28"/>
    <mergeCell ref="A29:B29"/>
    <mergeCell ref="B30:C30"/>
    <mergeCell ref="A32:B32"/>
    <mergeCell ref="A35:B35"/>
    <mergeCell ref="A37:B37"/>
    <mergeCell ref="B38:C38"/>
    <mergeCell ref="A44:B44"/>
    <mergeCell ref="E44:H45"/>
    <mergeCell ref="A45:B45"/>
    <mergeCell ref="A46:B46"/>
    <mergeCell ref="E46:E47"/>
    <mergeCell ref="F46:H46"/>
    <mergeCell ref="F47:H47"/>
    <mergeCell ref="A49:B49"/>
    <mergeCell ref="A50:C50"/>
    <mergeCell ref="A51:B51"/>
    <mergeCell ref="A52:B52"/>
    <mergeCell ref="A53:B53"/>
    <mergeCell ref="A54:B54"/>
    <mergeCell ref="A55:B55"/>
    <mergeCell ref="A56:B56"/>
    <mergeCell ref="A57:B57"/>
    <mergeCell ref="A59:C59"/>
  </mergeCells>
  <printOptions horizontalCentered="1" verticalCentered="1"/>
  <pageMargins left="0.51180555555555596" right="0.51180555555555596" top="0.78749999999999998" bottom="0.78749999999999998" header="0.511811023622047" footer="0.511811023622047"/>
  <pageSetup paperSize="9" scale="5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F13"/>
  <sheetViews>
    <sheetView showGridLines="0" zoomScaleNormal="100" zoomScaleSheetLayoutView="100" zoomScalePageLayoutView="140" workbookViewId="0">
      <selection activeCell="A10" sqref="A10:E10"/>
    </sheetView>
  </sheetViews>
  <sheetFormatPr defaultColWidth="8.6640625" defaultRowHeight="14.4"/>
  <cols>
    <col min="1" max="1" width="5.5546875" style="62" customWidth="1"/>
    <col min="2" max="2" width="64.6640625" style="62" customWidth="1"/>
    <col min="3" max="3" width="7.88671875" style="62" customWidth="1"/>
    <col min="4" max="5" width="13.6640625" style="62" customWidth="1"/>
    <col min="6" max="6" width="18" style="62" customWidth="1"/>
    <col min="7" max="255" width="9" customWidth="1"/>
    <col min="256" max="256" width="5.5546875" customWidth="1"/>
    <col min="257" max="257" width="45.109375" customWidth="1"/>
    <col min="258" max="258" width="6.33203125" customWidth="1"/>
    <col min="259" max="262" width="13.6640625" customWidth="1"/>
    <col min="263" max="511" width="9" customWidth="1"/>
    <col min="512" max="512" width="5.5546875" customWidth="1"/>
    <col min="513" max="513" width="45.109375" customWidth="1"/>
    <col min="514" max="514" width="6.33203125" customWidth="1"/>
    <col min="515" max="518" width="13.6640625" customWidth="1"/>
    <col min="519" max="767" width="9" customWidth="1"/>
    <col min="768" max="768" width="5.5546875" customWidth="1"/>
    <col min="769" max="769" width="45.109375" customWidth="1"/>
    <col min="770" max="770" width="6.33203125" customWidth="1"/>
    <col min="771" max="774" width="13.6640625" customWidth="1"/>
    <col min="775" max="1024" width="9" customWidth="1"/>
  </cols>
  <sheetData>
    <row r="1" spans="1:6" s="62" customFormat="1" ht="11.25" customHeight="1">
      <c r="A1" s="149"/>
      <c r="B1" s="89" t="str">
        <f>INSTRUÇÕES!B1</f>
        <v>Tribunal Regional Federal da 6ª Região</v>
      </c>
      <c r="C1" s="208"/>
      <c r="D1" s="209"/>
      <c r="E1" s="209"/>
      <c r="F1" s="210"/>
    </row>
    <row r="2" spans="1:6" s="62" customFormat="1" ht="11.25" customHeight="1">
      <c r="A2" s="151"/>
      <c r="B2" s="91" t="str">
        <f>INSTRUÇÕES!B2</f>
        <v>Seção Judiciária de Minas Gerais</v>
      </c>
      <c r="C2" s="211"/>
      <c r="D2" s="212"/>
      <c r="E2" s="212"/>
      <c r="F2" s="213"/>
    </row>
    <row r="3" spans="1:6" s="62" customFormat="1" ht="10.5" customHeight="1">
      <c r="A3" s="153"/>
      <c r="B3" s="91" t="str">
        <f>INSTRUÇÕES!B3</f>
        <v>Subseção Judiciária de Varginha</v>
      </c>
      <c r="C3" s="211"/>
      <c r="D3" s="212"/>
      <c r="E3" s="212"/>
      <c r="F3" s="213"/>
    </row>
    <row r="4" spans="1:6" s="62" customFormat="1" ht="21.75" customHeight="1">
      <c r="A4" s="579" t="s">
        <v>365</v>
      </c>
      <c r="B4" s="579"/>
      <c r="C4" s="579"/>
      <c r="D4" s="579"/>
      <c r="E4" s="579"/>
      <c r="F4" s="579"/>
    </row>
    <row r="5" spans="1:6" s="62" customFormat="1" ht="26.25" customHeight="1">
      <c r="A5" s="580" t="s">
        <v>366</v>
      </c>
      <c r="B5" s="580"/>
      <c r="C5" s="580"/>
      <c r="D5" s="580"/>
      <c r="E5" s="580"/>
      <c r="F5" s="580"/>
    </row>
    <row r="6" spans="1:6" s="62" customFormat="1" ht="15.6">
      <c r="A6" s="214"/>
      <c r="B6" s="215"/>
      <c r="C6" s="215"/>
      <c r="D6" s="215" t="s">
        <v>367</v>
      </c>
      <c r="E6" s="215"/>
      <c r="F6" s="216"/>
    </row>
    <row r="7" spans="1:6" s="62" customFormat="1" ht="13.8">
      <c r="A7" s="217" t="s">
        <v>368</v>
      </c>
      <c r="B7" s="197" t="s">
        <v>369</v>
      </c>
      <c r="C7" s="197" t="s">
        <v>370</v>
      </c>
      <c r="D7" s="218" t="s">
        <v>371</v>
      </c>
      <c r="E7" s="218" t="s">
        <v>372</v>
      </c>
      <c r="F7" s="219" t="s">
        <v>373</v>
      </c>
    </row>
    <row r="8" spans="1:6" s="62" customFormat="1" ht="13.8">
      <c r="A8" s="581" t="s">
        <v>374</v>
      </c>
      <c r="B8" s="581"/>
      <c r="C8" s="581"/>
      <c r="D8" s="581"/>
      <c r="E8" s="581"/>
      <c r="F8" s="581"/>
    </row>
    <row r="9" spans="1:6" s="62" customFormat="1" ht="55.2">
      <c r="A9" s="220">
        <v>1</v>
      </c>
      <c r="B9" s="398" t="s">
        <v>375</v>
      </c>
      <c r="C9" s="221">
        <v>5</v>
      </c>
      <c r="D9" s="222">
        <v>50.05</v>
      </c>
      <c r="E9" s="223">
        <f>ROUND((D9*C9),2)</f>
        <v>250.25</v>
      </c>
      <c r="F9" s="224">
        <f>ROUND(E9/12,2)</f>
        <v>20.85</v>
      </c>
    </row>
    <row r="10" spans="1:6" s="62" customFormat="1" ht="15" thickBot="1">
      <c r="A10" s="582" t="s">
        <v>376</v>
      </c>
      <c r="B10" s="582"/>
      <c r="C10" s="582"/>
      <c r="D10" s="582"/>
      <c r="E10" s="582"/>
      <c r="F10" s="226">
        <f>SUM(F9:F9)</f>
        <v>20.85</v>
      </c>
    </row>
    <row r="11" spans="1:6" s="62" customFormat="1" ht="13.8">
      <c r="A11" s="581" t="s">
        <v>377</v>
      </c>
      <c r="B11" s="581"/>
      <c r="C11" s="581"/>
      <c r="D11" s="581"/>
      <c r="E11" s="581"/>
      <c r="F11" s="581"/>
    </row>
    <row r="12" spans="1:6" s="62" customFormat="1" ht="55.2">
      <c r="A12" s="220">
        <v>1</v>
      </c>
      <c r="B12" s="398" t="s">
        <v>375</v>
      </c>
      <c r="C12" s="221">
        <v>1</v>
      </c>
      <c r="D12" s="225">
        <v>50.05</v>
      </c>
      <c r="E12" s="223">
        <f>ROUND((D12*C12),2)</f>
        <v>50.05</v>
      </c>
      <c r="F12" s="224">
        <f>ROUND(E12/12,2)</f>
        <v>4.17</v>
      </c>
    </row>
    <row r="13" spans="1:6" s="62" customFormat="1" ht="15.75" customHeight="1" thickBot="1">
      <c r="A13" s="582" t="s">
        <v>378</v>
      </c>
      <c r="B13" s="582"/>
      <c r="C13" s="582"/>
      <c r="D13" s="582"/>
      <c r="E13" s="582"/>
      <c r="F13" s="226">
        <f>SUM(F12:F12)</f>
        <v>4.17</v>
      </c>
    </row>
  </sheetData>
  <sheetProtection algorithmName="SHA-512" hashValue="QxXjHZH/6OtH6Co79tD6Gecu95FzRYh/t+HJ/LZ71N/ItcXyoyuCsS6aP+ejNDXe2I66X/dimMjQpH8mQJpvtQ==" saltValue="8lHINVprxXUYmrovpftb9A==" spinCount="100000" sheet="1" objects="1" scenarios="1"/>
  <mergeCells count="6">
    <mergeCell ref="A4:F4"/>
    <mergeCell ref="A5:F5"/>
    <mergeCell ref="A8:F8"/>
    <mergeCell ref="A13:E13"/>
    <mergeCell ref="A11:F11"/>
    <mergeCell ref="A10:E10"/>
  </mergeCells>
  <printOptions horizontalCentered="1" verticalCentered="1"/>
  <pageMargins left="0.51180555555555596" right="0.51180555555555596" top="0.78749999999999998" bottom="0.78749999999999998" header="0.511811023622047" footer="0.511811023622047"/>
  <pageSetup paperSize="9" scale="74" fitToHeight="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V57"/>
  <sheetViews>
    <sheetView showGridLines="0" zoomScaleNormal="100" zoomScaleSheetLayoutView="115" zoomScalePageLayoutView="140" workbookViewId="0">
      <selection activeCell="C63" sqref="C63"/>
    </sheetView>
  </sheetViews>
  <sheetFormatPr defaultColWidth="8.6640625" defaultRowHeight="14.4"/>
  <cols>
    <col min="1" max="1" width="5" style="57" customWidth="1"/>
    <col min="2" max="2" width="59.109375" style="272" customWidth="1"/>
    <col min="3" max="3" width="10.44140625" style="62" customWidth="1"/>
    <col min="4" max="4" width="12.109375" style="51" customWidth="1"/>
    <col min="5" max="5" width="12.109375" style="62" customWidth="1"/>
    <col min="6" max="6" width="11.5546875" style="62" customWidth="1"/>
    <col min="7" max="7" width="11" style="62" bestFit="1" customWidth="1"/>
    <col min="8" max="8" width="18.6640625" style="62" customWidth="1"/>
    <col min="9" max="9" width="4.33203125" customWidth="1"/>
    <col min="10" max="10" width="11.44140625" customWidth="1"/>
    <col min="11" max="11" width="12.44140625" style="62" customWidth="1"/>
    <col min="12" max="12" width="8.5546875" hidden="1" customWidth="1"/>
    <col min="13" max="13" width="9" customWidth="1"/>
    <col min="14" max="14" width="26.109375" hidden="1" customWidth="1"/>
    <col min="15" max="19" width="11.5546875" hidden="1" customWidth="1"/>
    <col min="20" max="256" width="9" customWidth="1"/>
    <col min="257" max="257" width="8.33203125" customWidth="1"/>
    <col min="258" max="258" width="44.5546875" customWidth="1"/>
    <col min="259" max="259" width="7.44140625" customWidth="1"/>
    <col min="260" max="260" width="13" customWidth="1"/>
    <col min="261" max="261" width="11.6640625" customWidth="1"/>
    <col min="262" max="262" width="10.5546875" customWidth="1"/>
    <col min="263" max="263" width="14.44140625" customWidth="1"/>
    <col min="264" max="264" width="35.44140625" customWidth="1"/>
    <col min="265" max="265" width="14" customWidth="1"/>
    <col min="266" max="266" width="11.6640625" customWidth="1"/>
    <col min="267" max="267" width="13.5546875" customWidth="1"/>
    <col min="268" max="512" width="9" customWidth="1"/>
    <col min="513" max="513" width="8.33203125" customWidth="1"/>
    <col min="514" max="514" width="44.5546875" customWidth="1"/>
    <col min="515" max="515" width="7.44140625" customWidth="1"/>
    <col min="516" max="516" width="13" customWidth="1"/>
    <col min="517" max="517" width="11.6640625" customWidth="1"/>
    <col min="518" max="518" width="10.5546875" customWidth="1"/>
    <col min="519" max="519" width="14.44140625" customWidth="1"/>
    <col min="520" max="520" width="35.44140625" customWidth="1"/>
    <col min="521" max="521" width="14" customWidth="1"/>
    <col min="522" max="522" width="11.6640625" customWidth="1"/>
    <col min="523" max="523" width="13.5546875" customWidth="1"/>
    <col min="524" max="768" width="9" customWidth="1"/>
    <col min="769" max="769" width="8.33203125" customWidth="1"/>
    <col min="770" max="770" width="44.5546875" customWidth="1"/>
    <col min="771" max="771" width="7.44140625" customWidth="1"/>
    <col min="772" max="772" width="13" customWidth="1"/>
    <col min="773" max="773" width="11.6640625" customWidth="1"/>
    <col min="774" max="774" width="10.5546875" customWidth="1"/>
    <col min="775" max="775" width="14.44140625" customWidth="1"/>
    <col min="776" max="776" width="35.44140625" customWidth="1"/>
    <col min="777" max="777" width="14" customWidth="1"/>
    <col min="778" max="778" width="11.6640625" customWidth="1"/>
    <col min="779" max="779" width="13.5546875" customWidth="1"/>
    <col min="780" max="1025" width="9" customWidth="1"/>
  </cols>
  <sheetData>
    <row r="1" spans="1:22" s="62" customFormat="1" ht="15" customHeight="1">
      <c r="A1" s="192"/>
      <c r="B1" s="406" t="str">
        <f>INSTRUÇÕES!B1</f>
        <v>Tribunal Regional Federal da 6ª Região</v>
      </c>
      <c r="C1" s="193"/>
      <c r="D1" s="293"/>
      <c r="E1" s="193"/>
      <c r="F1" s="193"/>
      <c r="G1" s="193"/>
      <c r="H1" s="193"/>
    </row>
    <row r="2" spans="1:22" s="62" customFormat="1" ht="17.25" customHeight="1">
      <c r="A2" s="194"/>
      <c r="B2" s="407" t="str">
        <f>INSTRUÇÕES!B2</f>
        <v>Seção Judiciária de Minas Gerais</v>
      </c>
      <c r="D2" s="51"/>
    </row>
    <row r="3" spans="1:22" s="62" customFormat="1" ht="16.5" customHeight="1">
      <c r="A3" s="194"/>
      <c r="B3" s="407" t="str">
        <f>INSTRUÇÕES!B3</f>
        <v>Subseção Judiciária de Varginha</v>
      </c>
      <c r="D3" s="51"/>
      <c r="N3" s="1"/>
      <c r="O3" s="1"/>
      <c r="P3" s="1"/>
      <c r="Q3" s="1"/>
      <c r="R3" s="1"/>
      <c r="S3" s="1"/>
      <c r="T3" s="1"/>
    </row>
    <row r="4" spans="1:22" s="62" customFormat="1" ht="27.75" customHeight="1">
      <c r="A4" s="584" t="s">
        <v>379</v>
      </c>
      <c r="B4" s="584"/>
      <c r="C4" s="584"/>
      <c r="D4" s="584"/>
      <c r="E4" s="584"/>
      <c r="F4" s="584"/>
      <c r="G4" s="584"/>
      <c r="H4" s="584"/>
      <c r="I4" s="195"/>
      <c r="J4" s="195"/>
      <c r="U4" s="1"/>
      <c r="V4" s="1"/>
    </row>
    <row r="5" spans="1:22" s="1" customFormat="1" ht="24" customHeight="1">
      <c r="A5" s="585" t="s">
        <v>366</v>
      </c>
      <c r="B5" s="585"/>
      <c r="C5" s="585"/>
      <c r="D5" s="585"/>
      <c r="E5" s="585"/>
      <c r="F5" s="585"/>
      <c r="G5" s="585"/>
      <c r="H5" s="585"/>
      <c r="K5" s="196"/>
      <c r="N5" s="524" t="s">
        <v>380</v>
      </c>
      <c r="O5" s="524"/>
      <c r="P5" s="524"/>
      <c r="Q5" s="524"/>
      <c r="R5" s="524"/>
      <c r="S5" s="524"/>
      <c r="T5" s="62"/>
      <c r="U5" s="62"/>
      <c r="V5" s="62"/>
    </row>
    <row r="6" spans="1:22" s="62" customFormat="1" ht="15" customHeight="1">
      <c r="A6" s="586" t="s">
        <v>59</v>
      </c>
      <c r="B6" s="587" t="s">
        <v>381</v>
      </c>
      <c r="C6" s="587"/>
      <c r="D6" s="587"/>
      <c r="E6" s="589" t="s">
        <v>382</v>
      </c>
      <c r="F6" s="589" t="s">
        <v>71</v>
      </c>
      <c r="G6" s="589" t="s">
        <v>383</v>
      </c>
      <c r="H6" s="592" t="s">
        <v>384</v>
      </c>
      <c r="I6" s="61"/>
      <c r="J6" s="61"/>
      <c r="N6" s="524"/>
      <c r="O6" s="524"/>
      <c r="P6" s="524"/>
      <c r="Q6" s="524"/>
      <c r="R6" s="524"/>
      <c r="S6" s="524"/>
    </row>
    <row r="7" spans="1:22" s="62" customFormat="1" ht="13.5" customHeight="1">
      <c r="A7" s="586"/>
      <c r="B7" s="587"/>
      <c r="C7" s="587"/>
      <c r="D7" s="587"/>
      <c r="E7" s="590"/>
      <c r="F7" s="590"/>
      <c r="G7" s="590"/>
      <c r="H7" s="593"/>
      <c r="I7" s="61"/>
      <c r="J7" s="588" t="s">
        <v>385</v>
      </c>
      <c r="K7" s="588"/>
      <c r="L7" s="588"/>
      <c r="N7" s="524"/>
      <c r="O7" s="524"/>
      <c r="P7" s="524"/>
      <c r="Q7" s="524"/>
      <c r="R7" s="524"/>
      <c r="S7" s="524"/>
    </row>
    <row r="8" spans="1:22" s="62" customFormat="1" ht="41.4">
      <c r="A8" s="586"/>
      <c r="B8" s="197" t="s">
        <v>64</v>
      </c>
      <c r="C8" s="199" t="s">
        <v>65</v>
      </c>
      <c r="D8" s="199" t="s">
        <v>66</v>
      </c>
      <c r="E8" s="591"/>
      <c r="F8" s="591"/>
      <c r="G8" s="591"/>
      <c r="H8" s="594"/>
      <c r="I8" s="61"/>
      <c r="J8" s="200" t="s">
        <v>69</v>
      </c>
      <c r="K8" s="200" t="s">
        <v>68</v>
      </c>
      <c r="L8" s="200" t="s">
        <v>386</v>
      </c>
      <c r="N8" s="201" t="s">
        <v>387</v>
      </c>
      <c r="O8" s="21" t="s">
        <v>274</v>
      </c>
      <c r="P8" s="21" t="s">
        <v>275</v>
      </c>
      <c r="Q8" s="21" t="s">
        <v>276</v>
      </c>
      <c r="R8" s="21" t="s">
        <v>277</v>
      </c>
      <c r="S8" s="23" t="s">
        <v>278</v>
      </c>
    </row>
    <row r="9" spans="1:22" s="62" customFormat="1" ht="82.8">
      <c r="A9" s="67">
        <v>1</v>
      </c>
      <c r="B9" s="499" t="s">
        <v>388</v>
      </c>
      <c r="C9" s="498" t="s">
        <v>389</v>
      </c>
      <c r="D9" s="498" t="s">
        <v>390</v>
      </c>
      <c r="E9" s="498">
        <v>1</v>
      </c>
      <c r="F9" s="498" t="s">
        <v>391</v>
      </c>
      <c r="G9" s="202">
        <v>51.61</v>
      </c>
      <c r="H9" s="202"/>
      <c r="I9" s="61"/>
      <c r="J9" s="76">
        <f>'Ocorrências Mensais - FAT'!G27</f>
        <v>1</v>
      </c>
      <c r="K9" s="403">
        <f t="shared" ref="K9:K50" si="0">J9*G9</f>
        <v>51.61</v>
      </c>
      <c r="L9" s="39">
        <f t="shared" ref="L9:L48" si="1">IF(F9="MENSAL",1,IF(F9="BIMESTRAL",2,IF(F9="TRIMESTRAL",3,IF(F9="QUADRIMESTRAL",4,IF(F9="SEMESTRAL",6,IF(F9="ANUAL",12,IF(F9="BIENAL",24,"")))))))</f>
        <v>1</v>
      </c>
      <c r="N9" s="203">
        <v>1.99</v>
      </c>
      <c r="O9" s="39">
        <f>ROUND(IF(Dados!$J$57="SIM",N9*Dados!$N$57,N9),2)</f>
        <v>1.99</v>
      </c>
      <c r="P9" s="39">
        <f>ROUND(IF(Dados!$J$58="SIM",O9*Dados!$N$58,O9),2)</f>
        <v>1.99</v>
      </c>
      <c r="Q9" s="39">
        <f>ROUND(IF(Dados!$J$59="SIM",P9*Dados!$N$59,P9),2)</f>
        <v>1.99</v>
      </c>
      <c r="R9" s="39">
        <f>ROUND(IF(Dados!$J$60="SIM",Q9*Dados!$N$60,Q9),2)</f>
        <v>1.99</v>
      </c>
      <c r="S9" s="74">
        <f>ROUND(IF(Dados!$J$61="SIM",R9*Dados!$N$61,R9),2)</f>
        <v>1.99</v>
      </c>
    </row>
    <row r="10" spans="1:22" s="62" customFormat="1" ht="41.4">
      <c r="A10" s="67">
        <v>2</v>
      </c>
      <c r="B10" s="499" t="s">
        <v>392</v>
      </c>
      <c r="C10" s="498" t="s">
        <v>65</v>
      </c>
      <c r="D10" s="498" t="s">
        <v>393</v>
      </c>
      <c r="E10" s="498">
        <v>2</v>
      </c>
      <c r="F10" s="498" t="s">
        <v>391</v>
      </c>
      <c r="G10" s="202">
        <v>6.04</v>
      </c>
      <c r="H10" s="202"/>
      <c r="I10" s="61"/>
      <c r="J10" s="76">
        <f>'Ocorrências Mensais - FAT'!G28</f>
        <v>2</v>
      </c>
      <c r="K10" s="403">
        <f t="shared" si="0"/>
        <v>12.08</v>
      </c>
      <c r="L10" s="39">
        <f t="shared" si="1"/>
        <v>1</v>
      </c>
      <c r="N10" s="203">
        <v>2</v>
      </c>
      <c r="O10" s="39">
        <f>ROUND(IF(Dados!$J$57="SIM",N10*Dados!$N$57,N10),2)</f>
        <v>2</v>
      </c>
      <c r="P10" s="39">
        <f>ROUND(IF(Dados!$J$58="SIM",O10*Dados!$N$58,O10),2)</f>
        <v>2</v>
      </c>
      <c r="Q10" s="39">
        <f>ROUND(IF(Dados!$J$59="SIM",P10*Dados!$N$59,P10),2)</f>
        <v>2</v>
      </c>
      <c r="R10" s="39">
        <f>ROUND(IF(Dados!$J$60="SIM",Q10*Dados!$N$60,Q10),2)</f>
        <v>2</v>
      </c>
      <c r="S10" s="74">
        <f>ROUND(IF(Dados!$J$61="SIM",R10*Dados!$N$61,R10),2)</f>
        <v>2</v>
      </c>
    </row>
    <row r="11" spans="1:22" s="62" customFormat="1" ht="55.2">
      <c r="A11" s="67">
        <v>3</v>
      </c>
      <c r="B11" s="499" t="s">
        <v>394</v>
      </c>
      <c r="C11" s="498" t="s">
        <v>65</v>
      </c>
      <c r="D11" s="498" t="s">
        <v>395</v>
      </c>
      <c r="E11" s="498">
        <v>1</v>
      </c>
      <c r="F11" s="498" t="s">
        <v>396</v>
      </c>
      <c r="G11" s="202">
        <v>23.28</v>
      </c>
      <c r="H11" s="202"/>
      <c r="I11" s="61"/>
      <c r="J11" s="76">
        <f>'Ocorrências Mensais - FAT'!G29</f>
        <v>0.33333333333333331</v>
      </c>
      <c r="K11" s="403">
        <f t="shared" si="0"/>
        <v>7.76</v>
      </c>
      <c r="L11" s="39">
        <f t="shared" si="1"/>
        <v>3</v>
      </c>
      <c r="N11" s="203">
        <v>6</v>
      </c>
      <c r="O11" s="39">
        <f>ROUND(IF(Dados!$J$57="SIM",N11*Dados!$N$57,N11),2)</f>
        <v>6</v>
      </c>
      <c r="P11" s="39">
        <f>ROUND(IF(Dados!$J$58="SIM",O11*Dados!$N$58,O11),2)</f>
        <v>6</v>
      </c>
      <c r="Q11" s="39">
        <f>ROUND(IF(Dados!$J$59="SIM",P11*Dados!$N$59,P11),2)</f>
        <v>6</v>
      </c>
      <c r="R11" s="39">
        <f>ROUND(IF(Dados!$J$60="SIM",Q11*Dados!$N$60,Q11),2)</f>
        <v>6</v>
      </c>
      <c r="S11" s="74">
        <f>ROUND(IF(Dados!$J$61="SIM",R11*Dados!$N$61,R11),2)</f>
        <v>6</v>
      </c>
    </row>
    <row r="12" spans="1:22" s="62" customFormat="1" ht="27.6">
      <c r="A12" s="67">
        <v>4</v>
      </c>
      <c r="B12" s="499" t="s">
        <v>397</v>
      </c>
      <c r="C12" s="498" t="s">
        <v>65</v>
      </c>
      <c r="D12" s="498" t="s">
        <v>398</v>
      </c>
      <c r="E12" s="498">
        <v>1</v>
      </c>
      <c r="F12" s="498" t="s">
        <v>396</v>
      </c>
      <c r="G12" s="202">
        <v>14.68</v>
      </c>
      <c r="H12" s="202"/>
      <c r="I12" s="61"/>
      <c r="J12" s="76">
        <f>'Ocorrências Mensais - FAT'!G30</f>
        <v>0.33333333333333331</v>
      </c>
      <c r="K12" s="403">
        <f t="shared" si="0"/>
        <v>4.8933333333333326</v>
      </c>
      <c r="L12" s="39">
        <f t="shared" si="1"/>
        <v>3</v>
      </c>
      <c r="N12" s="203">
        <v>4.0999999999999996</v>
      </c>
      <c r="O12" s="39">
        <f>ROUND(IF(Dados!$J$57="SIM",N12*Dados!$N$57,N12),2)</f>
        <v>4.0999999999999996</v>
      </c>
      <c r="P12" s="39">
        <f>ROUND(IF(Dados!$J$58="SIM",O12*Dados!$N$58,O12),2)</f>
        <v>4.0999999999999996</v>
      </c>
      <c r="Q12" s="39">
        <f>ROUND(IF(Dados!$J$59="SIM",P12*Dados!$N$59,P12),2)</f>
        <v>4.0999999999999996</v>
      </c>
      <c r="R12" s="39">
        <f>ROUND(IF(Dados!$J$60="SIM",Q12*Dados!$N$60,Q12),2)</f>
        <v>4.0999999999999996</v>
      </c>
      <c r="S12" s="74">
        <f>ROUND(IF(Dados!$J$61="SIM",R12*Dados!$N$61,R12),2)</f>
        <v>4.0999999999999996</v>
      </c>
    </row>
    <row r="13" spans="1:22" s="62" customFormat="1" ht="110.4">
      <c r="A13" s="67">
        <v>5</v>
      </c>
      <c r="B13" s="499" t="s">
        <v>399</v>
      </c>
      <c r="C13" s="498" t="s">
        <v>65</v>
      </c>
      <c r="D13" s="498" t="s">
        <v>400</v>
      </c>
      <c r="E13" s="498">
        <v>1</v>
      </c>
      <c r="F13" s="498" t="s">
        <v>391</v>
      </c>
      <c r="G13" s="202">
        <v>4.91</v>
      </c>
      <c r="H13" s="202"/>
      <c r="I13" s="61"/>
      <c r="J13" s="76">
        <f>'Ocorrências Mensais - FAT'!G31</f>
        <v>1</v>
      </c>
      <c r="K13" s="403">
        <f t="shared" si="0"/>
        <v>4.91</v>
      </c>
      <c r="L13" s="39">
        <f t="shared" si="1"/>
        <v>1</v>
      </c>
      <c r="N13" s="203">
        <v>3</v>
      </c>
      <c r="O13" s="39">
        <f>ROUND(IF(Dados!$J$57="SIM",N13*Dados!$N$57,N13),2)</f>
        <v>3</v>
      </c>
      <c r="P13" s="39">
        <f>ROUND(IF(Dados!$J$58="SIM",O13*Dados!$N$58,O13),2)</f>
        <v>3</v>
      </c>
      <c r="Q13" s="39">
        <f>ROUND(IF(Dados!$J$59="SIM",P13*Dados!$N$59,P13),2)</f>
        <v>3</v>
      </c>
      <c r="R13" s="39">
        <f>ROUND(IF(Dados!$J$60="SIM",Q13*Dados!$N$60,Q13),2)</f>
        <v>3</v>
      </c>
      <c r="S13" s="74">
        <f>ROUND(IF(Dados!$J$61="SIM",R13*Dados!$N$61,R13),2)</f>
        <v>3</v>
      </c>
    </row>
    <row r="14" spans="1:22" s="62" customFormat="1" ht="41.4">
      <c r="A14" s="67">
        <v>6</v>
      </c>
      <c r="B14" s="499" t="s">
        <v>401</v>
      </c>
      <c r="C14" s="498" t="s">
        <v>65</v>
      </c>
      <c r="D14" s="498"/>
      <c r="E14" s="498">
        <v>3</v>
      </c>
      <c r="F14" s="498" t="s">
        <v>402</v>
      </c>
      <c r="G14" s="202">
        <v>27.41</v>
      </c>
      <c r="H14" s="202"/>
      <c r="I14" s="61"/>
      <c r="J14" s="76">
        <f>'Ocorrências Mensais - FAT'!G32</f>
        <v>0.5</v>
      </c>
      <c r="K14" s="403">
        <f t="shared" si="0"/>
        <v>13.705</v>
      </c>
      <c r="L14" s="39">
        <f t="shared" si="1"/>
        <v>6</v>
      </c>
      <c r="N14" s="203">
        <v>3.8</v>
      </c>
      <c r="O14" s="39">
        <f>ROUND(IF(Dados!$J$57="SIM",N14*Dados!$N$57,N14),2)</f>
        <v>3.8</v>
      </c>
      <c r="P14" s="39">
        <f>ROUND(IF(Dados!$J$58="SIM",O14*Dados!$N$58,O14),2)</f>
        <v>3.8</v>
      </c>
      <c r="Q14" s="39">
        <f>ROUND(IF(Dados!$J$59="SIM",P14*Dados!$N$59,P14),2)</f>
        <v>3.8</v>
      </c>
      <c r="R14" s="39">
        <f>ROUND(IF(Dados!$J$60="SIM",Q14*Dados!$N$60,Q14),2)</f>
        <v>3.8</v>
      </c>
      <c r="S14" s="74">
        <f>ROUND(IF(Dados!$J$61="SIM",R14*Dados!$N$61,R14),2)</f>
        <v>3.8</v>
      </c>
    </row>
    <row r="15" spans="1:22" s="62" customFormat="1" ht="27.6">
      <c r="A15" s="67">
        <v>7</v>
      </c>
      <c r="B15" s="499" t="s">
        <v>403</v>
      </c>
      <c r="C15" s="498" t="s">
        <v>389</v>
      </c>
      <c r="D15" s="498" t="s">
        <v>404</v>
      </c>
      <c r="E15" s="498">
        <v>5</v>
      </c>
      <c r="F15" s="498" t="s">
        <v>391</v>
      </c>
      <c r="G15" s="202">
        <v>21.67</v>
      </c>
      <c r="H15" s="202"/>
      <c r="I15" s="61"/>
      <c r="J15" s="76">
        <f>'Ocorrências Mensais - FAT'!G33</f>
        <v>5</v>
      </c>
      <c r="K15" s="403">
        <f t="shared" si="0"/>
        <v>108.35000000000001</v>
      </c>
      <c r="L15" s="39">
        <f t="shared" si="1"/>
        <v>1</v>
      </c>
      <c r="N15" s="203">
        <v>4.1399999999999997</v>
      </c>
      <c r="O15" s="39">
        <f>ROUND(IF(Dados!$J$57="SIM",N15*Dados!$N$57,N15),2)</f>
        <v>4.1399999999999997</v>
      </c>
      <c r="P15" s="39">
        <f>ROUND(IF(Dados!$J$58="SIM",O15*Dados!$N$58,O15),2)</f>
        <v>4.1399999999999997</v>
      </c>
      <c r="Q15" s="39">
        <f>ROUND(IF(Dados!$J$59="SIM",P15*Dados!$N$59,P15),2)</f>
        <v>4.1399999999999997</v>
      </c>
      <c r="R15" s="39">
        <f>ROUND(IF(Dados!$J$60="SIM",Q15*Dados!$N$60,Q15),2)</f>
        <v>4.1399999999999997</v>
      </c>
      <c r="S15" s="74">
        <f>ROUND(IF(Dados!$J$61="SIM",R15*Dados!$N$61,R15),2)</f>
        <v>4.1399999999999997</v>
      </c>
    </row>
    <row r="16" spans="1:22" s="62" customFormat="1" ht="41.4">
      <c r="A16" s="67">
        <v>8</v>
      </c>
      <c r="B16" s="499" t="s">
        <v>405</v>
      </c>
      <c r="C16" s="498" t="s">
        <v>65</v>
      </c>
      <c r="D16" s="498" t="s">
        <v>406</v>
      </c>
      <c r="E16" s="498">
        <v>1</v>
      </c>
      <c r="F16" s="498" t="s">
        <v>396</v>
      </c>
      <c r="G16" s="202">
        <v>9.7200000000000006</v>
      </c>
      <c r="H16" s="202"/>
      <c r="I16" s="61"/>
      <c r="J16" s="76">
        <f>'Ocorrências Mensais - FAT'!G34</f>
        <v>0.33333333333333331</v>
      </c>
      <c r="K16" s="403">
        <f t="shared" si="0"/>
        <v>3.24</v>
      </c>
      <c r="L16" s="39">
        <f t="shared" si="1"/>
        <v>3</v>
      </c>
      <c r="N16" s="203"/>
      <c r="O16" s="39"/>
      <c r="P16" s="39"/>
      <c r="Q16" s="39"/>
      <c r="R16" s="39"/>
      <c r="S16" s="74"/>
    </row>
    <row r="17" spans="1:19" s="62" customFormat="1" ht="41.4">
      <c r="A17" s="67">
        <v>9</v>
      </c>
      <c r="B17" s="499" t="s">
        <v>407</v>
      </c>
      <c r="C17" s="498" t="s">
        <v>65</v>
      </c>
      <c r="D17" s="498" t="s">
        <v>408</v>
      </c>
      <c r="E17" s="498">
        <v>1</v>
      </c>
      <c r="F17" s="498" t="s">
        <v>402</v>
      </c>
      <c r="G17" s="202">
        <v>14.67</v>
      </c>
      <c r="H17" s="202"/>
      <c r="I17" s="61"/>
      <c r="J17" s="76">
        <f>'Ocorrências Mensais - FAT'!G35</f>
        <v>0.16666666666666666</v>
      </c>
      <c r="K17" s="403">
        <f t="shared" si="0"/>
        <v>2.4449999999999998</v>
      </c>
      <c r="L17" s="39">
        <f t="shared" si="1"/>
        <v>6</v>
      </c>
      <c r="N17" s="203">
        <v>1.4</v>
      </c>
      <c r="O17" s="39">
        <f>ROUND(IF(Dados!$J$57="SIM",N17*Dados!$N$57,N17),2)</f>
        <v>1.4</v>
      </c>
      <c r="P17" s="39">
        <f>ROUND(IF(Dados!$J$58="SIM",O17*Dados!$N$58,O17),2)</f>
        <v>1.4</v>
      </c>
      <c r="Q17" s="39">
        <f>ROUND(IF(Dados!$J$59="SIM",P17*Dados!$N$59,P17),2)</f>
        <v>1.4</v>
      </c>
      <c r="R17" s="39">
        <f>ROUND(IF(Dados!$J$60="SIM",Q17*Dados!$N$60,Q17),2)</f>
        <v>1.4</v>
      </c>
      <c r="S17" s="74">
        <f>ROUND(IF(Dados!$J$61="SIM",R17*Dados!$N$61,R17),2)</f>
        <v>1.4</v>
      </c>
    </row>
    <row r="18" spans="1:19" s="62" customFormat="1" ht="13.8">
      <c r="A18" s="67">
        <v>10</v>
      </c>
      <c r="B18" s="499" t="s">
        <v>409</v>
      </c>
      <c r="C18" s="498" t="s">
        <v>65</v>
      </c>
      <c r="D18" s="498" t="s">
        <v>410</v>
      </c>
      <c r="E18" s="498">
        <v>10</v>
      </c>
      <c r="F18" s="498" t="s">
        <v>396</v>
      </c>
      <c r="G18" s="202">
        <v>16.66</v>
      </c>
      <c r="H18" s="202"/>
      <c r="I18" s="61"/>
      <c r="J18" s="76">
        <f>'Ocorrências Mensais - FAT'!G36</f>
        <v>3.3333333333333335</v>
      </c>
      <c r="K18" s="403">
        <f t="shared" si="0"/>
        <v>55.533333333333339</v>
      </c>
      <c r="L18" s="39">
        <f t="shared" si="1"/>
        <v>3</v>
      </c>
      <c r="N18" s="203">
        <v>3.2</v>
      </c>
      <c r="O18" s="39">
        <f>ROUND(IF(Dados!$J$57="SIM",N18*Dados!$N$57,N18),2)</f>
        <v>3.2</v>
      </c>
      <c r="P18" s="39">
        <f>ROUND(IF(Dados!$J$58="SIM",O18*Dados!$N$58,O18),2)</f>
        <v>3.2</v>
      </c>
      <c r="Q18" s="39">
        <f>ROUND(IF(Dados!$J$59="SIM",P18*Dados!$N$59,P18),2)</f>
        <v>3.2</v>
      </c>
      <c r="R18" s="39">
        <f>ROUND(IF(Dados!$J$60="SIM",Q18*Dados!$N$60,Q18),2)</f>
        <v>3.2</v>
      </c>
      <c r="S18" s="74">
        <f>ROUND(IF(Dados!$J$61="SIM",R18*Dados!$N$61,R18),2)</f>
        <v>3.2</v>
      </c>
    </row>
    <row r="19" spans="1:19" s="62" customFormat="1" ht="27.6">
      <c r="A19" s="67">
        <v>11</v>
      </c>
      <c r="B19" s="499" t="s">
        <v>411</v>
      </c>
      <c r="C19" s="498" t="s">
        <v>389</v>
      </c>
      <c r="D19" s="498" t="s">
        <v>412</v>
      </c>
      <c r="E19" s="498">
        <v>8</v>
      </c>
      <c r="F19" s="498" t="s">
        <v>391</v>
      </c>
      <c r="G19" s="202">
        <v>35.270000000000003</v>
      </c>
      <c r="H19" s="202"/>
      <c r="I19" s="61"/>
      <c r="J19" s="76">
        <v>10</v>
      </c>
      <c r="K19" s="403">
        <f>J19*G19</f>
        <v>352.70000000000005</v>
      </c>
      <c r="L19" s="39">
        <f t="shared" si="1"/>
        <v>1</v>
      </c>
      <c r="N19" s="203">
        <v>4</v>
      </c>
      <c r="O19" s="39">
        <f>ROUND(IF(Dados!$J$57="SIM",N19*Dados!$N$57,N19),2)</f>
        <v>4</v>
      </c>
      <c r="P19" s="39">
        <f>ROUND(IF(Dados!$J$58="SIM",O19*Dados!$N$58,O19),2)</f>
        <v>4</v>
      </c>
      <c r="Q19" s="39">
        <f>ROUND(IF(Dados!$J$59="SIM",P19*Dados!$N$59,P19),2)</f>
        <v>4</v>
      </c>
      <c r="R19" s="39">
        <f>ROUND(IF(Dados!$J$60="SIM",Q19*Dados!$N$60,Q19),2)</f>
        <v>4</v>
      </c>
      <c r="S19" s="74">
        <f>ROUND(IF(Dados!$J$61="SIM",R19*Dados!$N$61,R19),2)</f>
        <v>4</v>
      </c>
    </row>
    <row r="20" spans="1:19" s="62" customFormat="1" ht="55.2">
      <c r="A20" s="67">
        <v>12</v>
      </c>
      <c r="B20" s="499" t="s">
        <v>413</v>
      </c>
      <c r="C20" s="498" t="s">
        <v>389</v>
      </c>
      <c r="D20" s="498" t="s">
        <v>414</v>
      </c>
      <c r="E20" s="498">
        <v>5</v>
      </c>
      <c r="F20" s="498" t="s">
        <v>391</v>
      </c>
      <c r="G20" s="202">
        <v>41.72</v>
      </c>
      <c r="H20" s="202"/>
      <c r="I20" s="61"/>
      <c r="J20" s="76">
        <f>'Ocorrências Mensais - FAT'!G38</f>
        <v>5</v>
      </c>
      <c r="K20" s="403">
        <f t="shared" si="0"/>
        <v>208.6</v>
      </c>
      <c r="L20" s="39">
        <f t="shared" si="1"/>
        <v>1</v>
      </c>
      <c r="N20" s="203">
        <v>1.2</v>
      </c>
      <c r="O20" s="39">
        <f>ROUND(IF(Dados!$J$57="SIM",N20*Dados!$N$57,N20),2)</f>
        <v>1.2</v>
      </c>
      <c r="P20" s="39">
        <f>ROUND(IF(Dados!$J$58="SIM",O20*Dados!$N$58,O20),2)</f>
        <v>1.2</v>
      </c>
      <c r="Q20" s="39">
        <f>ROUND(IF(Dados!$J$59="SIM",P20*Dados!$N$59,P20),2)</f>
        <v>1.2</v>
      </c>
      <c r="R20" s="39">
        <f>ROUND(IF(Dados!$J$60="SIM",Q20*Dados!$N$60,Q20),2)</f>
        <v>1.2</v>
      </c>
      <c r="S20" s="74">
        <f>ROUND(IF(Dados!$J$61="SIM",R20*Dados!$N$61,R20),2)</f>
        <v>1.2</v>
      </c>
    </row>
    <row r="21" spans="1:19" s="62" customFormat="1" ht="55.2">
      <c r="A21" s="67">
        <v>13</v>
      </c>
      <c r="B21" s="499" t="s">
        <v>415</v>
      </c>
      <c r="C21" s="498" t="s">
        <v>65</v>
      </c>
      <c r="D21" s="498" t="s">
        <v>416</v>
      </c>
      <c r="E21" s="498">
        <v>10</v>
      </c>
      <c r="F21" s="498" t="s">
        <v>391</v>
      </c>
      <c r="G21" s="202">
        <v>4.62</v>
      </c>
      <c r="H21" s="202"/>
      <c r="I21" s="61"/>
      <c r="J21" s="76">
        <f>'Ocorrências Mensais - FAT'!G39</f>
        <v>10</v>
      </c>
      <c r="K21" s="403">
        <f t="shared" si="0"/>
        <v>46.2</v>
      </c>
      <c r="L21" s="39">
        <f t="shared" si="1"/>
        <v>1</v>
      </c>
      <c r="N21" s="203">
        <v>1.3</v>
      </c>
      <c r="O21" s="39">
        <f>ROUND(IF(Dados!$J$57="SIM",N21*Dados!$N$57,N21),2)</f>
        <v>1.3</v>
      </c>
      <c r="P21" s="39">
        <f>ROUND(IF(Dados!$J$58="SIM",O21*Dados!$N$58,O21),2)</f>
        <v>1.3</v>
      </c>
      <c r="Q21" s="39">
        <f>ROUND(IF(Dados!$J$59="SIM",P21*Dados!$N$59,P21),2)</f>
        <v>1.3</v>
      </c>
      <c r="R21" s="39">
        <f>ROUND(IF(Dados!$J$60="SIM",Q21*Dados!$N$60,Q21),2)</f>
        <v>1.3</v>
      </c>
      <c r="S21" s="74">
        <f>ROUND(IF(Dados!$J$61="SIM",R21*Dados!$N$61,R21),2)</f>
        <v>1.3</v>
      </c>
    </row>
    <row r="22" spans="1:19" s="62" customFormat="1" ht="27.6">
      <c r="A22" s="67">
        <v>14</v>
      </c>
      <c r="B22" s="499" t="s">
        <v>417</v>
      </c>
      <c r="C22" s="498" t="s">
        <v>65</v>
      </c>
      <c r="D22" s="498" t="s">
        <v>418</v>
      </c>
      <c r="E22" s="498">
        <v>1</v>
      </c>
      <c r="F22" s="498" t="s">
        <v>419</v>
      </c>
      <c r="G22" s="202">
        <v>3.12</v>
      </c>
      <c r="H22" s="202"/>
      <c r="I22" s="61"/>
      <c r="J22" s="76">
        <f>'Ocorrências Mensais - FAT'!G40</f>
        <v>0.5</v>
      </c>
      <c r="K22" s="403">
        <f t="shared" si="0"/>
        <v>1.56</v>
      </c>
      <c r="L22" s="39">
        <f t="shared" si="1"/>
        <v>2</v>
      </c>
      <c r="N22" s="203">
        <v>1.48</v>
      </c>
      <c r="O22" s="39">
        <f>ROUND(IF(Dados!$J$57="SIM",N22*Dados!$N$57,N22),2)</f>
        <v>1.48</v>
      </c>
      <c r="P22" s="39">
        <f>ROUND(IF(Dados!$J$58="SIM",O22*Dados!$N$58,O22),2)</f>
        <v>1.48</v>
      </c>
      <c r="Q22" s="39">
        <f>ROUND(IF(Dados!$J$59="SIM",P22*Dados!$N$59,P22),2)</f>
        <v>1.48</v>
      </c>
      <c r="R22" s="39">
        <f>ROUND(IF(Dados!$J$60="SIM",Q22*Dados!$N$60,Q22),2)</f>
        <v>1.48</v>
      </c>
      <c r="S22" s="74">
        <f>ROUND(IF(Dados!$J$61="SIM",R22*Dados!$N$61,R22),2)</f>
        <v>1.48</v>
      </c>
    </row>
    <row r="23" spans="1:19" s="62" customFormat="1" ht="27.6">
      <c r="A23" s="67">
        <v>15</v>
      </c>
      <c r="B23" s="499" t="s">
        <v>420</v>
      </c>
      <c r="C23" s="498" t="s">
        <v>65</v>
      </c>
      <c r="D23" s="498" t="s">
        <v>421</v>
      </c>
      <c r="E23" s="498">
        <v>3</v>
      </c>
      <c r="F23" s="498" t="s">
        <v>396</v>
      </c>
      <c r="G23" s="202">
        <v>11.75</v>
      </c>
      <c r="H23" s="202"/>
      <c r="I23" s="61"/>
      <c r="J23" s="76">
        <f>'Ocorrências Mensais - FAT'!G41</f>
        <v>1</v>
      </c>
      <c r="K23" s="403">
        <f t="shared" si="0"/>
        <v>11.75</v>
      </c>
      <c r="L23" s="39">
        <f t="shared" si="1"/>
        <v>3</v>
      </c>
      <c r="N23" s="203">
        <v>1</v>
      </c>
      <c r="O23" s="39">
        <f>ROUND(IF(Dados!$J$57="SIM",N23*Dados!$N$57,N23),2)</f>
        <v>1</v>
      </c>
      <c r="P23" s="39">
        <f>ROUND(IF(Dados!$J$58="SIM",O23*Dados!$N$58,O23),2)</f>
        <v>1</v>
      </c>
      <c r="Q23" s="39">
        <f>ROUND(IF(Dados!$J$59="SIM",P23*Dados!$N$59,P23),2)</f>
        <v>1</v>
      </c>
      <c r="R23" s="39">
        <f>ROUND(IF(Dados!$J$60="SIM",Q23*Dados!$N$60,Q23),2)</f>
        <v>1</v>
      </c>
      <c r="S23" s="74">
        <f>ROUND(IF(Dados!$J$61="SIM",R23*Dados!$N$61,R23),2)</f>
        <v>1</v>
      </c>
    </row>
    <row r="24" spans="1:19" s="62" customFormat="1" ht="69">
      <c r="A24" s="67">
        <v>16</v>
      </c>
      <c r="B24" s="499" t="s">
        <v>422</v>
      </c>
      <c r="C24" s="498" t="s">
        <v>423</v>
      </c>
      <c r="D24" s="498" t="s">
        <v>424</v>
      </c>
      <c r="E24" s="498">
        <v>10</v>
      </c>
      <c r="F24" s="498" t="s">
        <v>391</v>
      </c>
      <c r="G24" s="202">
        <v>4.6399999999999997</v>
      </c>
      <c r="H24" s="202"/>
      <c r="I24" s="61"/>
      <c r="J24" s="76">
        <f>'Ocorrências Mensais - FAT'!G42</f>
        <v>10</v>
      </c>
      <c r="K24" s="403">
        <f t="shared" si="0"/>
        <v>46.4</v>
      </c>
      <c r="L24" s="39">
        <f t="shared" si="1"/>
        <v>1</v>
      </c>
      <c r="N24" s="203">
        <v>1.4</v>
      </c>
      <c r="O24" s="39">
        <f>ROUND(IF(Dados!$J$57="SIM",N24*Dados!$N$57,N24),2)</f>
        <v>1.4</v>
      </c>
      <c r="P24" s="39">
        <f>ROUND(IF(Dados!$J$58="SIM",O24*Dados!$N$58,O24),2)</f>
        <v>1.4</v>
      </c>
      <c r="Q24" s="39">
        <f>ROUND(IF(Dados!$J$59="SIM",P24*Dados!$N$59,P24),2)</f>
        <v>1.4</v>
      </c>
      <c r="R24" s="39">
        <f>ROUND(IF(Dados!$J$60="SIM",Q24*Dados!$N$60,Q24),2)</f>
        <v>1.4</v>
      </c>
      <c r="S24" s="74">
        <f>ROUND(IF(Dados!$J$61="SIM",R24*Dados!$N$61,R24),2)</f>
        <v>1.4</v>
      </c>
    </row>
    <row r="25" spans="1:19" s="62" customFormat="1" ht="41.4">
      <c r="A25" s="67">
        <v>17</v>
      </c>
      <c r="B25" s="499" t="s">
        <v>425</v>
      </c>
      <c r="C25" s="498" t="s">
        <v>423</v>
      </c>
      <c r="D25" s="498" t="s">
        <v>426</v>
      </c>
      <c r="E25" s="498">
        <v>5</v>
      </c>
      <c r="F25" s="498" t="s">
        <v>391</v>
      </c>
      <c r="G25" s="202">
        <v>2.67</v>
      </c>
      <c r="H25" s="202"/>
      <c r="I25" s="61"/>
      <c r="J25" s="76">
        <f>'Ocorrências Mensais - FAT'!G43</f>
        <v>5</v>
      </c>
      <c r="K25" s="403">
        <f t="shared" si="0"/>
        <v>13.35</v>
      </c>
      <c r="L25" s="39">
        <f t="shared" si="1"/>
        <v>1</v>
      </c>
      <c r="N25" s="203">
        <v>9.1</v>
      </c>
      <c r="O25" s="39">
        <f>ROUND(IF(Dados!$J$57="SIM",N25*Dados!$N$57,N25),2)</f>
        <v>9.1</v>
      </c>
      <c r="P25" s="39">
        <f>ROUND(IF(Dados!$J$58="SIM",O25*Dados!$N$58,O25),2)</f>
        <v>9.1</v>
      </c>
      <c r="Q25" s="39">
        <f>ROUND(IF(Dados!$J$59="SIM",P25*Dados!$N$59,P25),2)</f>
        <v>9.1</v>
      </c>
      <c r="R25" s="39">
        <f>ROUND(IF(Dados!$J$60="SIM",Q25*Dados!$N$60,Q25),2)</f>
        <v>9.1</v>
      </c>
      <c r="S25" s="74">
        <f>ROUND(IF(Dados!$J$61="SIM",R25*Dados!$N$61,R25),2)</f>
        <v>9.1</v>
      </c>
    </row>
    <row r="26" spans="1:19" s="62" customFormat="1" ht="27.6">
      <c r="A26" s="67">
        <v>18</v>
      </c>
      <c r="B26" s="499" t="s">
        <v>427</v>
      </c>
      <c r="C26" s="498" t="s">
        <v>65</v>
      </c>
      <c r="D26" s="498" t="s">
        <v>428</v>
      </c>
      <c r="E26" s="498">
        <v>3</v>
      </c>
      <c r="F26" s="498" t="s">
        <v>402</v>
      </c>
      <c r="G26" s="202">
        <v>16.43</v>
      </c>
      <c r="H26" s="202"/>
      <c r="I26" s="61"/>
      <c r="J26" s="76">
        <f>'Ocorrências Mensais - FAT'!G44</f>
        <v>0.5</v>
      </c>
      <c r="K26" s="403">
        <f t="shared" si="0"/>
        <v>8.2149999999999999</v>
      </c>
      <c r="L26" s="39">
        <f t="shared" si="1"/>
        <v>6</v>
      </c>
      <c r="N26" s="203">
        <v>1</v>
      </c>
      <c r="O26" s="39">
        <f>ROUND(IF(Dados!$J$57="SIM",N26*Dados!$N$57,N26),2)</f>
        <v>1</v>
      </c>
      <c r="P26" s="39">
        <f>ROUND(IF(Dados!$J$58="SIM",O26*Dados!$N$58,O26),2)</f>
        <v>1</v>
      </c>
      <c r="Q26" s="39">
        <f>ROUND(IF(Dados!$J$59="SIM",P26*Dados!$N$59,P26),2)</f>
        <v>1</v>
      </c>
      <c r="R26" s="39">
        <f>ROUND(IF(Dados!$J$60="SIM",Q26*Dados!$N$60,Q26),2)</f>
        <v>1</v>
      </c>
      <c r="S26" s="74">
        <f>ROUND(IF(Dados!$J$61="SIM",R26*Dados!$N$61,R26),2)</f>
        <v>1</v>
      </c>
    </row>
    <row r="27" spans="1:19" s="62" customFormat="1" ht="124.2">
      <c r="A27" s="67">
        <v>19</v>
      </c>
      <c r="B27" s="499" t="s">
        <v>429</v>
      </c>
      <c r="C27" s="498" t="s">
        <v>65</v>
      </c>
      <c r="D27" s="498" t="s">
        <v>430</v>
      </c>
      <c r="E27" s="498">
        <v>10</v>
      </c>
      <c r="F27" s="498" t="s">
        <v>391</v>
      </c>
      <c r="G27" s="202">
        <v>4.13</v>
      </c>
      <c r="H27" s="202"/>
      <c r="I27" s="61"/>
      <c r="J27" s="76">
        <f>'Ocorrências Mensais - FAT'!G45</f>
        <v>10</v>
      </c>
      <c r="K27" s="403">
        <f t="shared" si="0"/>
        <v>41.3</v>
      </c>
      <c r="L27" s="39">
        <f t="shared" si="1"/>
        <v>1</v>
      </c>
      <c r="N27" s="203">
        <v>1.59</v>
      </c>
      <c r="O27" s="39">
        <f>ROUND(IF(Dados!$J$57="SIM",N27*Dados!$N$57,N27),2)</f>
        <v>1.59</v>
      </c>
      <c r="P27" s="39">
        <f>ROUND(IF(Dados!$J$58="SIM",O27*Dados!$N$58,O27),2)</f>
        <v>1.59</v>
      </c>
      <c r="Q27" s="39">
        <f>ROUND(IF(Dados!$J$59="SIM",P27*Dados!$N$59,P27),2)</f>
        <v>1.59</v>
      </c>
      <c r="R27" s="39">
        <f>ROUND(IF(Dados!$J$60="SIM",Q27*Dados!$N$60,Q27),2)</f>
        <v>1.59</v>
      </c>
      <c r="S27" s="74">
        <f>ROUND(IF(Dados!$J$61="SIM",R27*Dados!$N$61,R27),2)</f>
        <v>1.59</v>
      </c>
    </row>
    <row r="28" spans="1:19" s="62" customFormat="1" ht="27.6">
      <c r="A28" s="67">
        <v>20</v>
      </c>
      <c r="B28" s="499" t="s">
        <v>431</v>
      </c>
      <c r="C28" s="498" t="s">
        <v>65</v>
      </c>
      <c r="D28" s="498" t="s">
        <v>432</v>
      </c>
      <c r="E28" s="498">
        <v>1</v>
      </c>
      <c r="F28" s="498" t="s">
        <v>419</v>
      </c>
      <c r="G28" s="202">
        <v>10.7</v>
      </c>
      <c r="H28" s="202"/>
      <c r="I28" s="61"/>
      <c r="J28" s="76">
        <f>'Ocorrências Mensais - FAT'!G46</f>
        <v>0.5</v>
      </c>
      <c r="K28" s="403">
        <f t="shared" si="0"/>
        <v>5.35</v>
      </c>
      <c r="L28" s="39">
        <f t="shared" si="1"/>
        <v>2</v>
      </c>
      <c r="N28" s="203">
        <v>10.9</v>
      </c>
      <c r="O28" s="39">
        <f>ROUND(IF(Dados!$J$57="SIM",N28*Dados!$N$57,N28),2)</f>
        <v>10.9</v>
      </c>
      <c r="P28" s="39">
        <f>ROUND(IF(Dados!$J$58="SIM",O28*Dados!$N$58,O28),2)</f>
        <v>10.9</v>
      </c>
      <c r="Q28" s="39">
        <f>ROUND(IF(Dados!$J$59="SIM",P28*Dados!$N$59,P28),2)</f>
        <v>10.9</v>
      </c>
      <c r="R28" s="39">
        <f>ROUND(IF(Dados!$J$60="SIM",Q28*Dados!$N$60,Q28),2)</f>
        <v>10.9</v>
      </c>
      <c r="S28" s="74">
        <f>ROUND(IF(Dados!$J$61="SIM",R28*Dados!$N$61,R28),2)</f>
        <v>10.9</v>
      </c>
    </row>
    <row r="29" spans="1:19" s="62" customFormat="1" ht="55.2">
      <c r="A29" s="67">
        <v>21</v>
      </c>
      <c r="B29" s="499" t="s">
        <v>433</v>
      </c>
      <c r="C29" s="498" t="s">
        <v>65</v>
      </c>
      <c r="D29" s="498" t="s">
        <v>434</v>
      </c>
      <c r="E29" s="498">
        <v>1</v>
      </c>
      <c r="F29" s="498" t="s">
        <v>402</v>
      </c>
      <c r="G29" s="202">
        <v>77.459999999999994</v>
      </c>
      <c r="H29" s="202"/>
      <c r="I29" s="61"/>
      <c r="J29" s="76">
        <f>'Ocorrências Mensais - FAT'!G47</f>
        <v>0.16666666666666666</v>
      </c>
      <c r="K29" s="403">
        <f t="shared" si="0"/>
        <v>12.909999999999998</v>
      </c>
      <c r="L29" s="39">
        <f t="shared" si="1"/>
        <v>6</v>
      </c>
      <c r="N29" s="203">
        <v>3</v>
      </c>
      <c r="O29" s="39">
        <f>ROUND(IF(Dados!$J$57="SIM",N29*Dados!$N$57,N29),2)</f>
        <v>3</v>
      </c>
      <c r="P29" s="39">
        <f>ROUND(IF(Dados!$J$58="SIM",O29*Dados!$N$58,O29),2)</f>
        <v>3</v>
      </c>
      <c r="Q29" s="39">
        <f>ROUND(IF(Dados!$J$59="SIM",P29*Dados!$N$59,P29),2)</f>
        <v>3</v>
      </c>
      <c r="R29" s="39">
        <f>ROUND(IF(Dados!$J$60="SIM",Q29*Dados!$N$60,Q29),2)</f>
        <v>3</v>
      </c>
      <c r="S29" s="74">
        <f>ROUND(IF(Dados!$J$61="SIM",R29*Dados!$N$61,R29),2)</f>
        <v>3</v>
      </c>
    </row>
    <row r="30" spans="1:19" s="62" customFormat="1" ht="13.8">
      <c r="A30" s="67">
        <v>22</v>
      </c>
      <c r="B30" s="499" t="s">
        <v>435</v>
      </c>
      <c r="C30" s="498" t="s">
        <v>65</v>
      </c>
      <c r="D30" s="498" t="s">
        <v>436</v>
      </c>
      <c r="E30" s="498">
        <v>5</v>
      </c>
      <c r="F30" s="498" t="s">
        <v>391</v>
      </c>
      <c r="G30" s="202">
        <v>17.64</v>
      </c>
      <c r="H30" s="202"/>
      <c r="I30" s="61"/>
      <c r="J30" s="76">
        <f>'Ocorrências Mensais - FAT'!G48</f>
        <v>5</v>
      </c>
      <c r="K30" s="403">
        <f t="shared" si="0"/>
        <v>88.2</v>
      </c>
      <c r="L30" s="39">
        <f t="shared" si="1"/>
        <v>1</v>
      </c>
      <c r="N30" s="203">
        <v>1</v>
      </c>
      <c r="O30" s="39">
        <f>ROUND(IF(Dados!$J$57="SIM",N30*Dados!$N$57,N30),2)</f>
        <v>1</v>
      </c>
      <c r="P30" s="39">
        <f>ROUND(IF(Dados!$J$58="SIM",O30*Dados!$N$58,O30),2)</f>
        <v>1</v>
      </c>
      <c r="Q30" s="39">
        <f>ROUND(IF(Dados!$J$59="SIM",P30*Dados!$N$59,P30),2)</f>
        <v>1</v>
      </c>
      <c r="R30" s="39">
        <f>ROUND(IF(Dados!$J$60="SIM",Q30*Dados!$N$60,Q30),2)</f>
        <v>1</v>
      </c>
      <c r="S30" s="74">
        <f>ROUND(IF(Dados!$J$61="SIM",R30*Dados!$N$61,R30),2)</f>
        <v>1</v>
      </c>
    </row>
    <row r="31" spans="1:19" s="62" customFormat="1" ht="69">
      <c r="A31" s="67">
        <v>23</v>
      </c>
      <c r="B31" s="499" t="s">
        <v>437</v>
      </c>
      <c r="C31" s="498" t="s">
        <v>65</v>
      </c>
      <c r="D31" s="498" t="s">
        <v>438</v>
      </c>
      <c r="E31" s="498">
        <v>1</v>
      </c>
      <c r="F31" s="498" t="s">
        <v>391</v>
      </c>
      <c r="G31" s="202">
        <v>6.72</v>
      </c>
      <c r="H31" s="202"/>
      <c r="I31" s="61"/>
      <c r="J31" s="76">
        <f>'Ocorrências Mensais - FAT'!G49</f>
        <v>1</v>
      </c>
      <c r="K31" s="403">
        <f t="shared" si="0"/>
        <v>6.72</v>
      </c>
      <c r="L31" s="39">
        <f t="shared" si="1"/>
        <v>1</v>
      </c>
      <c r="N31" s="203">
        <v>2</v>
      </c>
      <c r="O31" s="39">
        <f>ROUND(IF(Dados!$J$57="SIM",N31*Dados!$N$57,N31),2)</f>
        <v>2</v>
      </c>
      <c r="P31" s="39">
        <f>ROUND(IF(Dados!$J$58="SIM",O31*Dados!$N$58,O31),2)</f>
        <v>2</v>
      </c>
      <c r="Q31" s="39">
        <f>ROUND(IF(Dados!$J$59="SIM",P31*Dados!$N$59,P31),2)</f>
        <v>2</v>
      </c>
      <c r="R31" s="39">
        <f>ROUND(IF(Dados!$J$60="SIM",Q31*Dados!$N$60,Q31),2)</f>
        <v>2</v>
      </c>
      <c r="S31" s="74">
        <f>ROUND(IF(Dados!$J$61="SIM",R31*Dados!$N$61,R31),2)</f>
        <v>2</v>
      </c>
    </row>
    <row r="32" spans="1:19" s="62" customFormat="1" ht="69">
      <c r="A32" s="67">
        <v>24</v>
      </c>
      <c r="B32" s="499" t="s">
        <v>439</v>
      </c>
      <c r="C32" s="498" t="s">
        <v>65</v>
      </c>
      <c r="D32" s="498" t="s">
        <v>436</v>
      </c>
      <c r="E32" s="498">
        <v>8</v>
      </c>
      <c r="F32" s="498" t="s">
        <v>391</v>
      </c>
      <c r="G32" s="202">
        <v>6.3</v>
      </c>
      <c r="H32" s="202"/>
      <c r="I32" s="61"/>
      <c r="J32" s="76">
        <f>'Ocorrências Mensais - FAT'!G50</f>
        <v>8</v>
      </c>
      <c r="K32" s="403">
        <f t="shared" si="0"/>
        <v>50.4</v>
      </c>
      <c r="L32" s="39">
        <f t="shared" si="1"/>
        <v>1</v>
      </c>
      <c r="N32" s="203">
        <v>20</v>
      </c>
      <c r="O32" s="39">
        <f>ROUND(IF(Dados!$J$57="SIM",N32*Dados!$N$57,N32),2)</f>
        <v>20</v>
      </c>
      <c r="P32" s="39">
        <f>ROUND(IF(Dados!$J$58="SIM",O32*Dados!$N$58,O32),2)</f>
        <v>20</v>
      </c>
      <c r="Q32" s="39">
        <f>ROUND(IF(Dados!$J$59="SIM",P32*Dados!$N$59,P32),2)</f>
        <v>20</v>
      </c>
      <c r="R32" s="39">
        <f>ROUND(IF(Dados!$J$60="SIM",Q32*Dados!$N$60,Q32),2)</f>
        <v>20</v>
      </c>
      <c r="S32" s="74">
        <f>ROUND(IF(Dados!$J$61="SIM",R32*Dados!$N$61,R32),2)</f>
        <v>20</v>
      </c>
    </row>
    <row r="33" spans="1:22" s="62" customFormat="1" ht="55.2">
      <c r="A33" s="67">
        <v>25</v>
      </c>
      <c r="B33" s="499" t="s">
        <v>440</v>
      </c>
      <c r="C33" s="498" t="s">
        <v>441</v>
      </c>
      <c r="D33" s="498" t="s">
        <v>442</v>
      </c>
      <c r="E33" s="498">
        <v>10</v>
      </c>
      <c r="F33" s="498" t="s">
        <v>391</v>
      </c>
      <c r="G33" s="202">
        <v>14.16</v>
      </c>
      <c r="H33" s="202"/>
      <c r="I33" s="61"/>
      <c r="J33" s="76">
        <f>'Ocorrências Mensais - FAT'!G51</f>
        <v>10</v>
      </c>
      <c r="K33" s="403">
        <f t="shared" si="0"/>
        <v>141.6</v>
      </c>
      <c r="L33" s="39">
        <f t="shared" si="1"/>
        <v>1</v>
      </c>
      <c r="N33" s="203">
        <v>6.3</v>
      </c>
      <c r="O33" s="39">
        <f>ROUND(IF(Dados!$J$57="SIM",N33*Dados!$N$57,N33),2)</f>
        <v>6.3</v>
      </c>
      <c r="P33" s="39">
        <f>ROUND(IF(Dados!$J$58="SIM",O33*Dados!$N$58,O33),2)</f>
        <v>6.3</v>
      </c>
      <c r="Q33" s="39">
        <f>ROUND(IF(Dados!$J$59="SIM",P33*Dados!$N$59,P33),2)</f>
        <v>6.3</v>
      </c>
      <c r="R33" s="39">
        <f>ROUND(IF(Dados!$J$60="SIM",Q33*Dados!$N$60,Q33),2)</f>
        <v>6.3</v>
      </c>
      <c r="S33" s="74">
        <f>ROUND(IF(Dados!$J$61="SIM",R33*Dados!$N$61,R33),2)</f>
        <v>6.3</v>
      </c>
    </row>
    <row r="34" spans="1:22" s="62" customFormat="1" ht="27.6">
      <c r="A34" s="67">
        <v>26</v>
      </c>
      <c r="B34" s="499" t="s">
        <v>443</v>
      </c>
      <c r="C34" s="498" t="s">
        <v>65</v>
      </c>
      <c r="D34" s="498" t="s">
        <v>442</v>
      </c>
      <c r="E34" s="498">
        <v>6</v>
      </c>
      <c r="F34" s="498" t="s">
        <v>402</v>
      </c>
      <c r="G34" s="202">
        <v>11.67</v>
      </c>
      <c r="H34" s="202"/>
      <c r="I34" s="61"/>
      <c r="J34" s="76">
        <f>'Ocorrências Mensais - FAT'!G52</f>
        <v>1</v>
      </c>
      <c r="K34" s="403">
        <f t="shared" si="0"/>
        <v>11.67</v>
      </c>
      <c r="L34" s="39">
        <f t="shared" si="1"/>
        <v>6</v>
      </c>
      <c r="N34" s="203">
        <v>8.99</v>
      </c>
      <c r="O34" s="39">
        <f>ROUND(IF(Dados!$J$57="SIM",N34*Dados!$N$57,N34),2)</f>
        <v>8.99</v>
      </c>
      <c r="P34" s="39">
        <f>ROUND(IF(Dados!$J$58="SIM",O34*Dados!$N$58,O34),2)</f>
        <v>8.99</v>
      </c>
      <c r="Q34" s="39">
        <f>ROUND(IF(Dados!$J$59="SIM",P34*Dados!$N$59,P34),2)</f>
        <v>8.99</v>
      </c>
      <c r="R34" s="39">
        <f>ROUND(IF(Dados!$J$60="SIM",Q34*Dados!$N$60,Q34),2)</f>
        <v>8.99</v>
      </c>
      <c r="S34" s="74">
        <f>ROUND(IF(Dados!$J$61="SIM",R34*Dados!$N$61,R34),2)</f>
        <v>8.99</v>
      </c>
    </row>
    <row r="35" spans="1:22" s="62" customFormat="1" ht="55.2">
      <c r="A35" s="67">
        <v>27</v>
      </c>
      <c r="B35" s="499" t="s">
        <v>444</v>
      </c>
      <c r="C35" s="498" t="s">
        <v>445</v>
      </c>
      <c r="D35" s="498" t="s">
        <v>446</v>
      </c>
      <c r="E35" s="498">
        <v>35</v>
      </c>
      <c r="F35" s="498" t="s">
        <v>391</v>
      </c>
      <c r="G35" s="202">
        <v>6.35</v>
      </c>
      <c r="H35" s="202"/>
      <c r="I35" s="61"/>
      <c r="J35" s="76">
        <f>'Ocorrências Mensais - FAT'!G53</f>
        <v>35</v>
      </c>
      <c r="K35" s="403">
        <f t="shared" si="0"/>
        <v>222.25</v>
      </c>
      <c r="L35" s="39">
        <f t="shared" si="1"/>
        <v>1</v>
      </c>
      <c r="N35" s="203">
        <v>5</v>
      </c>
      <c r="O35" s="39">
        <f>ROUND(IF(Dados!$J$57="SIM",N35*Dados!$N$57,N35),2)</f>
        <v>5</v>
      </c>
      <c r="P35" s="39">
        <f>ROUND(IF(Dados!$J$58="SIM",O35*Dados!$N$58,O35),2)</f>
        <v>5</v>
      </c>
      <c r="Q35" s="39">
        <f>ROUND(IF(Dados!$J$59="SIM",P35*Dados!$N$59,P35),2)</f>
        <v>5</v>
      </c>
      <c r="R35" s="39">
        <f>ROUND(IF(Dados!$J$60="SIM",Q35*Dados!$N$60,Q35),2)</f>
        <v>5</v>
      </c>
      <c r="S35" s="74">
        <f>ROUND(IF(Dados!$J$61="SIM",R35*Dados!$N$61,R35),2)</f>
        <v>5</v>
      </c>
    </row>
    <row r="36" spans="1:22" s="62" customFormat="1" ht="41.4">
      <c r="A36" s="67">
        <v>28</v>
      </c>
      <c r="B36" s="499" t="s">
        <v>447</v>
      </c>
      <c r="C36" s="498" t="s">
        <v>448</v>
      </c>
      <c r="D36" s="498" t="s">
        <v>449</v>
      </c>
      <c r="E36" s="498">
        <v>30</v>
      </c>
      <c r="F36" s="498" t="s">
        <v>391</v>
      </c>
      <c r="G36" s="202">
        <v>25.26</v>
      </c>
      <c r="H36" s="202"/>
      <c r="I36" s="61"/>
      <c r="J36" s="76">
        <f>'Ocorrências Mensais - FAT'!G54</f>
        <v>30</v>
      </c>
      <c r="K36" s="403">
        <f t="shared" si="0"/>
        <v>757.80000000000007</v>
      </c>
      <c r="L36" s="39">
        <f t="shared" si="1"/>
        <v>1</v>
      </c>
      <c r="N36" s="203">
        <v>1.5</v>
      </c>
      <c r="O36" s="39">
        <f>ROUND(IF(Dados!$J$57="SIM",N36*Dados!$N$57,N36),2)</f>
        <v>1.5</v>
      </c>
      <c r="P36" s="39">
        <f>ROUND(IF(Dados!$J$58="SIM",O36*Dados!$N$58,O36),2)</f>
        <v>1.5</v>
      </c>
      <c r="Q36" s="39">
        <f>ROUND(IF(Dados!$J$59="SIM",P36*Dados!$N$59,P36),2)</f>
        <v>1.5</v>
      </c>
      <c r="R36" s="39">
        <f>ROUND(IF(Dados!$J$60="SIM",Q36*Dados!$N$60,Q36),2)</f>
        <v>1.5</v>
      </c>
      <c r="S36" s="74">
        <f>ROUND(IF(Dados!$J$61="SIM",R36*Dados!$N$61,R36),2)</f>
        <v>1.5</v>
      </c>
    </row>
    <row r="37" spans="1:22" s="62" customFormat="1" ht="27.6">
      <c r="A37" s="67">
        <v>29</v>
      </c>
      <c r="B37" s="499" t="s">
        <v>450</v>
      </c>
      <c r="C37" s="498" t="s">
        <v>65</v>
      </c>
      <c r="D37" s="498" t="s">
        <v>451</v>
      </c>
      <c r="E37" s="498">
        <v>50</v>
      </c>
      <c r="F37" s="498" t="s">
        <v>396</v>
      </c>
      <c r="G37" s="202">
        <v>3.52</v>
      </c>
      <c r="H37" s="202"/>
      <c r="I37" s="61"/>
      <c r="J37" s="76">
        <f>'Ocorrências Mensais - FAT'!G55</f>
        <v>16.666666666666668</v>
      </c>
      <c r="K37" s="403">
        <f t="shared" si="0"/>
        <v>58.666666666666671</v>
      </c>
      <c r="L37" s="39">
        <f t="shared" si="1"/>
        <v>3</v>
      </c>
      <c r="N37" s="203">
        <v>3.2</v>
      </c>
      <c r="O37" s="39">
        <f>ROUND(IF(Dados!$J$57="SIM",N37*Dados!$N$57,N37),2)</f>
        <v>3.2</v>
      </c>
      <c r="P37" s="39">
        <f>ROUND(IF(Dados!$J$58="SIM",O37*Dados!$N$58,O37),2)</f>
        <v>3.2</v>
      </c>
      <c r="Q37" s="39">
        <f>ROUND(IF(Dados!$J$59="SIM",P37*Dados!$N$59,P37),2)</f>
        <v>3.2</v>
      </c>
      <c r="R37" s="39">
        <f>ROUND(IF(Dados!$J$60="SIM",Q37*Dados!$N$60,Q37),2)</f>
        <v>3.2</v>
      </c>
      <c r="S37" s="74">
        <f>ROUND(IF(Dados!$J$61="SIM",R37*Dados!$N$61,R37),2)</f>
        <v>3.2</v>
      </c>
    </row>
    <row r="38" spans="1:22" s="62" customFormat="1" ht="41.4">
      <c r="A38" s="67">
        <v>30</v>
      </c>
      <c r="B38" s="499" t="s">
        <v>452</v>
      </c>
      <c r="C38" s="498" t="s">
        <v>65</v>
      </c>
      <c r="D38" s="498" t="s">
        <v>453</v>
      </c>
      <c r="E38" s="498">
        <v>6</v>
      </c>
      <c r="F38" s="498" t="s">
        <v>402</v>
      </c>
      <c r="G38" s="202">
        <v>12.33</v>
      </c>
      <c r="H38" s="202"/>
      <c r="I38" s="61"/>
      <c r="J38" s="76">
        <f>'Ocorrências Mensais - FAT'!G56</f>
        <v>1</v>
      </c>
      <c r="K38" s="403">
        <f t="shared" si="0"/>
        <v>12.33</v>
      </c>
      <c r="L38" s="39">
        <f t="shared" si="1"/>
        <v>6</v>
      </c>
      <c r="N38" s="203">
        <v>3.99</v>
      </c>
      <c r="O38" s="39">
        <f>ROUND(IF(Dados!$J$57="SIM",N38*Dados!$N$57,N38),2)</f>
        <v>3.99</v>
      </c>
      <c r="P38" s="39">
        <f>ROUND(IF(Dados!$J$58="SIM",O38*Dados!$N$58,O38),2)</f>
        <v>3.99</v>
      </c>
      <c r="Q38" s="39">
        <f>ROUND(IF(Dados!$J$59="SIM",P38*Dados!$N$59,P38),2)</f>
        <v>3.99</v>
      </c>
      <c r="R38" s="39">
        <f>ROUND(IF(Dados!$J$60="SIM",Q38*Dados!$N$60,Q38),2)</f>
        <v>3.99</v>
      </c>
      <c r="S38" s="74">
        <f>ROUND(IF(Dados!$J$61="SIM",R38*Dados!$N$61,R38),2)</f>
        <v>3.99</v>
      </c>
    </row>
    <row r="39" spans="1:22" s="62" customFormat="1" ht="41.4">
      <c r="A39" s="67">
        <v>31</v>
      </c>
      <c r="B39" s="499" t="s">
        <v>454</v>
      </c>
      <c r="C39" s="498" t="s">
        <v>65</v>
      </c>
      <c r="D39" s="498" t="s">
        <v>453</v>
      </c>
      <c r="E39" s="498">
        <v>6</v>
      </c>
      <c r="F39" s="498" t="s">
        <v>402</v>
      </c>
      <c r="G39" s="202">
        <v>14.95</v>
      </c>
      <c r="H39" s="202"/>
      <c r="I39" s="61"/>
      <c r="J39" s="76">
        <f>'Ocorrências Mensais - FAT'!G57</f>
        <v>1</v>
      </c>
      <c r="K39" s="403">
        <f t="shared" si="0"/>
        <v>14.95</v>
      </c>
      <c r="L39" s="39">
        <f t="shared" si="1"/>
        <v>6</v>
      </c>
      <c r="N39" s="203">
        <v>1.4</v>
      </c>
      <c r="O39" s="39">
        <f>ROUND(IF(Dados!$J$57="SIM",N39*Dados!$N$57,N39),2)</f>
        <v>1.4</v>
      </c>
      <c r="P39" s="39">
        <f>ROUND(IF(Dados!$J$58="SIM",O39*Dados!$N$58,O39),2)</f>
        <v>1.4</v>
      </c>
      <c r="Q39" s="39">
        <f>ROUND(IF(Dados!$J$59="SIM",P39*Dados!$N$59,P39),2)</f>
        <v>1.4</v>
      </c>
      <c r="R39" s="39">
        <f>ROUND(IF(Dados!$J$60="SIM",Q39*Dados!$N$60,Q39),2)</f>
        <v>1.4</v>
      </c>
      <c r="S39" s="74">
        <f>ROUND(IF(Dados!$J$61="SIM",R39*Dados!$N$61,R39),2)</f>
        <v>1.4</v>
      </c>
    </row>
    <row r="40" spans="1:22" s="62" customFormat="1" ht="27.6">
      <c r="A40" s="67">
        <v>32</v>
      </c>
      <c r="B40" s="499" t="s">
        <v>455</v>
      </c>
      <c r="C40" s="498" t="s">
        <v>448</v>
      </c>
      <c r="D40" s="498" t="s">
        <v>456</v>
      </c>
      <c r="E40" s="498">
        <v>1</v>
      </c>
      <c r="F40" s="498" t="s">
        <v>391</v>
      </c>
      <c r="G40" s="202">
        <v>10.25</v>
      </c>
      <c r="H40" s="202"/>
      <c r="I40" s="61"/>
      <c r="J40" s="76">
        <f>'Ocorrências Mensais - FAT'!G58</f>
        <v>1</v>
      </c>
      <c r="K40" s="403">
        <f t="shared" si="0"/>
        <v>10.25</v>
      </c>
      <c r="L40" s="39">
        <f t="shared" si="1"/>
        <v>1</v>
      </c>
      <c r="N40" s="203">
        <v>2.04</v>
      </c>
      <c r="O40" s="39">
        <f>ROUND(IF(Dados!$J$57="SIM",N40*Dados!$N$57,N40),2)</f>
        <v>2.04</v>
      </c>
      <c r="P40" s="39">
        <f>ROUND(IF(Dados!$J$58="SIM",O40*Dados!$N$58,O40),2)</f>
        <v>2.04</v>
      </c>
      <c r="Q40" s="39">
        <f>ROUND(IF(Dados!$J$59="SIM",P40*Dados!$N$59,P40),2)</f>
        <v>2.04</v>
      </c>
      <c r="R40" s="39">
        <f>ROUND(IF(Dados!$J$60="SIM",Q40*Dados!$N$60,Q40),2)</f>
        <v>2.04</v>
      </c>
      <c r="S40" s="74">
        <f>ROUND(IF(Dados!$J$61="SIM",R40*Dados!$N$61,R40),2)</f>
        <v>2.04</v>
      </c>
    </row>
    <row r="41" spans="1:22" s="62" customFormat="1" ht="27.6">
      <c r="A41" s="67">
        <v>33</v>
      </c>
      <c r="B41" s="499" t="s">
        <v>457</v>
      </c>
      <c r="C41" s="498" t="s">
        <v>458</v>
      </c>
      <c r="D41" s="498" t="s">
        <v>459</v>
      </c>
      <c r="E41" s="498">
        <v>2</v>
      </c>
      <c r="F41" s="498" t="s">
        <v>391</v>
      </c>
      <c r="G41" s="202">
        <v>16.27</v>
      </c>
      <c r="H41" s="202"/>
      <c r="I41" s="61"/>
      <c r="J41" s="76">
        <f>'Ocorrências Mensais - FAT'!G59</f>
        <v>2</v>
      </c>
      <c r="K41" s="403">
        <f t="shared" si="0"/>
        <v>32.54</v>
      </c>
      <c r="L41" s="39">
        <f t="shared" si="1"/>
        <v>1</v>
      </c>
      <c r="N41" s="203">
        <v>6.55</v>
      </c>
      <c r="O41" s="39">
        <f>ROUND(IF(Dados!$J$57="SIM",N41*Dados!$N$57,N41),2)</f>
        <v>6.55</v>
      </c>
      <c r="P41" s="39">
        <f>ROUND(IF(Dados!$J$58="SIM",O41*Dados!$N$58,O41),2)</f>
        <v>6.55</v>
      </c>
      <c r="Q41" s="39">
        <f>ROUND(IF(Dados!$J$59="SIM",P41*Dados!$N$59,P41),2)</f>
        <v>6.55</v>
      </c>
      <c r="R41" s="39">
        <f>ROUND(IF(Dados!$J$60="SIM",Q41*Dados!$N$60,Q41),2)</f>
        <v>6.55</v>
      </c>
      <c r="S41" s="74">
        <f>ROUND(IF(Dados!$J$61="SIM",R41*Dados!$N$61,R41),2)</f>
        <v>6.55</v>
      </c>
    </row>
    <row r="42" spans="1:22" s="62" customFormat="1" ht="27.6">
      <c r="A42" s="67">
        <v>34</v>
      </c>
      <c r="B42" s="499" t="s">
        <v>460</v>
      </c>
      <c r="C42" s="498" t="s">
        <v>65</v>
      </c>
      <c r="D42" s="498" t="s">
        <v>461</v>
      </c>
      <c r="E42" s="498">
        <v>1</v>
      </c>
      <c r="F42" s="498" t="s">
        <v>402</v>
      </c>
      <c r="G42" s="202">
        <v>6.02</v>
      </c>
      <c r="H42" s="202"/>
      <c r="I42" s="61"/>
      <c r="J42" s="76">
        <f>'Ocorrências Mensais - FAT'!G60</f>
        <v>0.16666666666666666</v>
      </c>
      <c r="K42" s="403">
        <f t="shared" si="0"/>
        <v>1.0033333333333332</v>
      </c>
      <c r="L42" s="39">
        <f t="shared" si="1"/>
        <v>6</v>
      </c>
      <c r="N42" s="203">
        <v>2.8</v>
      </c>
      <c r="O42" s="39">
        <f>ROUND(IF(Dados!$J$57="SIM",N42*Dados!$N$57,N42),2)</f>
        <v>2.8</v>
      </c>
      <c r="P42" s="39">
        <f>ROUND(IF(Dados!$J$58="SIM",O42*Dados!$N$58,O42),2)</f>
        <v>2.8</v>
      </c>
      <c r="Q42" s="39">
        <f>ROUND(IF(Dados!$J$59="SIM",P42*Dados!$N$59,P42),2)</f>
        <v>2.8</v>
      </c>
      <c r="R42" s="39">
        <f>ROUND(IF(Dados!$J$60="SIM",Q42*Dados!$N$60,Q42),2)</f>
        <v>2.8</v>
      </c>
      <c r="S42" s="74">
        <f>ROUND(IF(Dados!$J$61="SIM",R42*Dados!$N$61,R42),2)</f>
        <v>2.8</v>
      </c>
    </row>
    <row r="43" spans="1:22" s="62" customFormat="1" ht="41.4">
      <c r="A43" s="67">
        <v>35</v>
      </c>
      <c r="B43" s="499" t="s">
        <v>462</v>
      </c>
      <c r="C43" s="498" t="s">
        <v>389</v>
      </c>
      <c r="D43" s="498" t="s">
        <v>463</v>
      </c>
      <c r="E43" s="498">
        <v>2</v>
      </c>
      <c r="F43" s="498" t="s">
        <v>391</v>
      </c>
      <c r="G43" s="202">
        <v>20.52</v>
      </c>
      <c r="H43" s="202"/>
      <c r="I43" s="61"/>
      <c r="J43" s="76">
        <f>'Ocorrências Mensais - FAT'!G61</f>
        <v>2</v>
      </c>
      <c r="K43" s="403">
        <f t="shared" si="0"/>
        <v>41.04</v>
      </c>
      <c r="L43" s="39">
        <f t="shared" si="1"/>
        <v>1</v>
      </c>
      <c r="N43" s="203">
        <v>19.899999999999999</v>
      </c>
      <c r="O43" s="39">
        <f>ROUND(IF(Dados!$J$57="SIM",N43*Dados!$N$57,N43),2)</f>
        <v>19.899999999999999</v>
      </c>
      <c r="P43" s="39">
        <f>ROUND(IF(Dados!$J$58="SIM",O43*Dados!$N$58,O43),2)</f>
        <v>19.899999999999999</v>
      </c>
      <c r="Q43" s="39">
        <f>ROUND(IF(Dados!$J$59="SIM",P43*Dados!$N$59,P43),2)</f>
        <v>19.899999999999999</v>
      </c>
      <c r="R43" s="39">
        <f>ROUND(IF(Dados!$J$60="SIM",Q43*Dados!$N$60,Q43),2)</f>
        <v>19.899999999999999</v>
      </c>
      <c r="S43" s="74">
        <f>ROUND(IF(Dados!$J$61="SIM",R43*Dados!$N$61,R43),2)</f>
        <v>19.899999999999999</v>
      </c>
    </row>
    <row r="44" spans="1:22" s="62" customFormat="1" ht="27.6">
      <c r="A44" s="67">
        <v>36</v>
      </c>
      <c r="B44" s="499" t="s">
        <v>464</v>
      </c>
      <c r="C44" s="498" t="s">
        <v>65</v>
      </c>
      <c r="D44" s="498" t="s">
        <v>465</v>
      </c>
      <c r="E44" s="498">
        <v>10</v>
      </c>
      <c r="F44" s="498" t="s">
        <v>391</v>
      </c>
      <c r="G44" s="202">
        <v>10.85</v>
      </c>
      <c r="H44" s="202"/>
      <c r="I44" s="61"/>
      <c r="J44" s="76">
        <f>'Ocorrências Mensais - FAT'!G62</f>
        <v>10</v>
      </c>
      <c r="K44" s="403">
        <f t="shared" si="0"/>
        <v>108.5</v>
      </c>
      <c r="L44" s="39">
        <f t="shared" si="1"/>
        <v>1</v>
      </c>
      <c r="N44" s="203">
        <v>5.8</v>
      </c>
      <c r="O44" s="39">
        <f>ROUND(IF(Dados!$J$57="SIM",N44*Dados!$N$57,N44),2)</f>
        <v>5.8</v>
      </c>
      <c r="P44" s="39">
        <f>ROUND(IF(Dados!$J$58="SIM",O44*Dados!$N$58,O44),2)</f>
        <v>5.8</v>
      </c>
      <c r="Q44" s="39">
        <f>ROUND(IF(Dados!$J$59="SIM",P44*Dados!$N$59,P44),2)</f>
        <v>5.8</v>
      </c>
      <c r="R44" s="39">
        <f>ROUND(IF(Dados!$J$60="SIM",Q44*Dados!$N$60,Q44),2)</f>
        <v>5.8</v>
      </c>
      <c r="S44" s="74">
        <f>ROUND(IF(Dados!$J$61="SIM",R44*Dados!$N$61,R44),2)</f>
        <v>5.8</v>
      </c>
    </row>
    <row r="45" spans="1:22" s="62" customFormat="1" ht="55.2">
      <c r="A45" s="67">
        <v>37</v>
      </c>
      <c r="B45" s="499" t="s">
        <v>466</v>
      </c>
      <c r="C45" s="498" t="s">
        <v>448</v>
      </c>
      <c r="D45" s="498" t="s">
        <v>467</v>
      </c>
      <c r="E45" s="498">
        <v>4</v>
      </c>
      <c r="F45" s="498" t="s">
        <v>391</v>
      </c>
      <c r="G45" s="202">
        <v>59.17</v>
      </c>
      <c r="H45" s="202"/>
      <c r="I45" s="61"/>
      <c r="J45" s="76">
        <f>'Ocorrências Mensais - FAT'!G63</f>
        <v>4</v>
      </c>
      <c r="K45" s="403">
        <f t="shared" si="0"/>
        <v>236.68</v>
      </c>
      <c r="L45" s="39">
        <f t="shared" si="1"/>
        <v>1</v>
      </c>
      <c r="N45" s="203">
        <v>6</v>
      </c>
      <c r="O45" s="39">
        <f>ROUND(IF(Dados!$J$57="SIM",N45*Dados!$N$57,N45),2)</f>
        <v>6</v>
      </c>
      <c r="P45" s="39">
        <f>ROUND(IF(Dados!$J$58="SIM",O45*Dados!$N$58,O45),2)</f>
        <v>6</v>
      </c>
      <c r="Q45" s="39">
        <f>ROUND(IF(Dados!$J$59="SIM",P45*Dados!$N$59,P45),2)</f>
        <v>6</v>
      </c>
      <c r="R45" s="39">
        <f>ROUND(IF(Dados!$J$60="SIM",Q45*Dados!$N$60,Q45),2)</f>
        <v>6</v>
      </c>
      <c r="S45" s="74">
        <f>ROUND(IF(Dados!$J$61="SIM",R45*Dados!$N$61,R45),2)</f>
        <v>6</v>
      </c>
    </row>
    <row r="46" spans="1:22" s="62" customFormat="1" ht="41.4">
      <c r="A46" s="67">
        <v>38</v>
      </c>
      <c r="B46" s="499" t="s">
        <v>468</v>
      </c>
      <c r="C46" s="498" t="s">
        <v>448</v>
      </c>
      <c r="D46" s="498" t="s">
        <v>469</v>
      </c>
      <c r="E46" s="498">
        <v>1</v>
      </c>
      <c r="F46" s="498" t="s">
        <v>391</v>
      </c>
      <c r="G46" s="202">
        <v>31.24</v>
      </c>
      <c r="H46" s="202"/>
      <c r="I46" s="61"/>
      <c r="J46" s="76">
        <f>'Ocorrências Mensais - FAT'!G64</f>
        <v>1</v>
      </c>
      <c r="K46" s="403">
        <f t="shared" si="0"/>
        <v>31.24</v>
      </c>
      <c r="L46" s="39">
        <f t="shared" si="1"/>
        <v>1</v>
      </c>
      <c r="N46" s="203">
        <v>5.99</v>
      </c>
      <c r="O46" s="39">
        <f>ROUND(IF(Dados!$J$57="SIM",N46*Dados!$N$57,N46),2)</f>
        <v>5.99</v>
      </c>
      <c r="P46" s="39">
        <f>ROUND(IF(Dados!$J$58="SIM",O46*Dados!$N$58,O46),2)</f>
        <v>5.99</v>
      </c>
      <c r="Q46" s="39">
        <f>ROUND(IF(Dados!$J$59="SIM",P46*Dados!$N$59,P46),2)</f>
        <v>5.99</v>
      </c>
      <c r="R46" s="39">
        <f>ROUND(IF(Dados!$J$60="SIM",Q46*Dados!$N$60,Q46),2)</f>
        <v>5.99</v>
      </c>
      <c r="S46" s="74">
        <f>ROUND(IF(Dados!$J$61="SIM",R46*Dados!$N$61,R46),2)</f>
        <v>5.99</v>
      </c>
    </row>
    <row r="47" spans="1:22" s="62" customFormat="1" ht="55.2">
      <c r="A47" s="67">
        <v>39</v>
      </c>
      <c r="B47" s="499" t="s">
        <v>470</v>
      </c>
      <c r="C47" s="498" t="s">
        <v>448</v>
      </c>
      <c r="D47" s="498" t="s">
        <v>471</v>
      </c>
      <c r="E47" s="498">
        <v>4</v>
      </c>
      <c r="F47" s="498" t="s">
        <v>391</v>
      </c>
      <c r="G47" s="202">
        <v>16.100000000000001</v>
      </c>
      <c r="H47" s="202"/>
      <c r="I47" s="61"/>
      <c r="J47" s="76">
        <f>'Ocorrências Mensais - FAT'!G65</f>
        <v>4</v>
      </c>
      <c r="K47" s="403">
        <f t="shared" si="0"/>
        <v>64.400000000000006</v>
      </c>
      <c r="L47" s="39">
        <f t="shared" si="1"/>
        <v>1</v>
      </c>
      <c r="N47" s="203">
        <v>5.5</v>
      </c>
      <c r="O47" s="39">
        <f>ROUND(IF(Dados!$J$57="SIM",N47*Dados!$N$57,N47),2)</f>
        <v>5.5</v>
      </c>
      <c r="P47" s="39">
        <f>ROUND(IF(Dados!$J$58="SIM",O47*Dados!$N$58,O47),2)</f>
        <v>5.5</v>
      </c>
      <c r="Q47" s="39">
        <f>ROUND(IF(Dados!$J$59="SIM",P47*Dados!$N$59,P47),2)</f>
        <v>5.5</v>
      </c>
      <c r="R47" s="39">
        <f>ROUND(IF(Dados!$J$60="SIM",Q47*Dados!$N$60,Q47),2)</f>
        <v>5.5</v>
      </c>
      <c r="S47" s="74">
        <f>ROUND(IF(Dados!$J$61="SIM",R47*Dados!$N$61,R47),2)</f>
        <v>5.5</v>
      </c>
      <c r="T47"/>
    </row>
    <row r="48" spans="1:22" s="62" customFormat="1" ht="28.2" thickBot="1">
      <c r="A48" s="67">
        <v>40</v>
      </c>
      <c r="B48" s="499" t="s">
        <v>472</v>
      </c>
      <c r="C48" s="498" t="s">
        <v>65</v>
      </c>
      <c r="D48" s="498" t="s">
        <v>406</v>
      </c>
      <c r="E48" s="498">
        <v>1</v>
      </c>
      <c r="F48" s="498" t="s">
        <v>402</v>
      </c>
      <c r="G48" s="202">
        <v>21.58</v>
      </c>
      <c r="H48" s="202"/>
      <c r="I48" s="61"/>
      <c r="J48" s="76">
        <f>'Ocorrências Mensais - FAT'!G66</f>
        <v>0.16666666666666666</v>
      </c>
      <c r="K48" s="403">
        <f t="shared" si="0"/>
        <v>3.5966666666666662</v>
      </c>
      <c r="L48" s="39">
        <f t="shared" si="1"/>
        <v>6</v>
      </c>
      <c r="N48" s="204">
        <v>9.89</v>
      </c>
      <c r="O48" s="205">
        <f>ROUND(IF(Dados!$J$57="SIM",N48*Dados!$N$57,N48),2)</f>
        <v>9.89</v>
      </c>
      <c r="P48" s="205">
        <f>ROUND(IF(Dados!$J$58="SIM",O48*Dados!$N$58,O48),2)</f>
        <v>9.89</v>
      </c>
      <c r="Q48" s="205">
        <f>ROUND(IF(Dados!$J$59="SIM",P48*Dados!$N$59,P48),2)</f>
        <v>9.89</v>
      </c>
      <c r="R48" s="205">
        <f>ROUND(IF(Dados!$J$60="SIM",Q48*Dados!$N$60,Q48),2)</f>
        <v>9.89</v>
      </c>
      <c r="S48" s="78">
        <f>ROUND(IF(Dados!$J$61="SIM",R48*Dados!$N$61,R48),2)</f>
        <v>9.89</v>
      </c>
      <c r="T48"/>
      <c r="U48"/>
      <c r="V48"/>
    </row>
    <row r="49" spans="1:22" s="62" customFormat="1" ht="27.6">
      <c r="A49" s="67">
        <v>41</v>
      </c>
      <c r="B49" s="499" t="s">
        <v>473</v>
      </c>
      <c r="C49" s="498" t="s">
        <v>65</v>
      </c>
      <c r="D49" s="498" t="s">
        <v>453</v>
      </c>
      <c r="E49" s="498">
        <v>6</v>
      </c>
      <c r="F49" s="498" t="s">
        <v>402</v>
      </c>
      <c r="G49" s="202">
        <v>15.98</v>
      </c>
      <c r="H49" s="497"/>
      <c r="I49" s="61"/>
      <c r="J49" s="76">
        <f>'Ocorrências Mensais - FAT'!G67</f>
        <v>1</v>
      </c>
      <c r="K49" s="403">
        <f t="shared" si="0"/>
        <v>15.98</v>
      </c>
      <c r="L49" s="57"/>
      <c r="N49" s="206"/>
      <c r="O49" s="57"/>
      <c r="P49" s="57"/>
      <c r="Q49" s="57"/>
      <c r="R49" s="57"/>
      <c r="S49" s="57"/>
      <c r="T49"/>
      <c r="U49"/>
      <c r="V49"/>
    </row>
    <row r="50" spans="1:22" s="62" customFormat="1" ht="41.4">
      <c r="A50" s="67">
        <v>42</v>
      </c>
      <c r="B50" s="499" t="s">
        <v>474</v>
      </c>
      <c r="C50" s="498" t="s">
        <v>65</v>
      </c>
      <c r="D50" s="498" t="s">
        <v>475</v>
      </c>
      <c r="E50" s="498">
        <v>6</v>
      </c>
      <c r="F50" s="498" t="s">
        <v>402</v>
      </c>
      <c r="G50" s="202">
        <v>17.61</v>
      </c>
      <c r="H50" s="497"/>
      <c r="I50" s="61"/>
      <c r="J50" s="76">
        <f>'Ocorrências Mensais - FAT'!G68</f>
        <v>1</v>
      </c>
      <c r="K50" s="403">
        <f t="shared" si="0"/>
        <v>17.61</v>
      </c>
      <c r="L50" s="57"/>
      <c r="N50" s="206"/>
      <c r="O50" s="57"/>
      <c r="P50" s="57"/>
      <c r="Q50" s="57"/>
      <c r="R50" s="57"/>
      <c r="S50" s="57"/>
      <c r="T50"/>
      <c r="U50"/>
      <c r="V50"/>
    </row>
    <row r="51" spans="1:22" ht="16.2" thickBot="1">
      <c r="A51" s="583"/>
      <c r="B51" s="583"/>
      <c r="C51" s="583"/>
      <c r="D51" s="583"/>
      <c r="E51" s="583"/>
      <c r="F51" s="583"/>
      <c r="G51" s="583"/>
      <c r="H51" s="583"/>
      <c r="I51" s="51"/>
      <c r="J51" s="404" t="s">
        <v>190</v>
      </c>
      <c r="K51" s="405">
        <f>SUM(K9:K50)</f>
        <v>2940.2883333333334</v>
      </c>
      <c r="N51" s="206"/>
      <c r="O51" s="57"/>
      <c r="P51" s="57"/>
      <c r="Q51" s="57"/>
      <c r="R51" s="57"/>
      <c r="S51" s="57"/>
    </row>
    <row r="52" spans="1:22">
      <c r="A52" s="207"/>
      <c r="N52" s="206"/>
      <c r="O52" s="57"/>
      <c r="P52" s="57"/>
      <c r="Q52" s="57"/>
      <c r="R52" s="57"/>
      <c r="S52" s="57"/>
    </row>
    <row r="57" spans="1:22" ht="15" customHeight="1">
      <c r="H57" s="62">
        <f>1/E17</f>
        <v>1</v>
      </c>
    </row>
  </sheetData>
  <sheetProtection algorithmName="SHA-512" hashValue="+rk9F/10nw2w85mjCndDCLd+hb3uF/ZuVrucKB1fp4ek3l5hBgPBtr++ktMMxKnIHC/oANTS2LuI9T/YFEFq+w==" saltValue="+zFNcjYTM8tR8FfnuchzyA==" spinCount="100000" sheet="1" objects="1" scenarios="1"/>
  <mergeCells count="11">
    <mergeCell ref="A51:H51"/>
    <mergeCell ref="A4:H4"/>
    <mergeCell ref="A5:H5"/>
    <mergeCell ref="N5:S7"/>
    <mergeCell ref="A6:A8"/>
    <mergeCell ref="B6:D7"/>
    <mergeCell ref="J7:L7"/>
    <mergeCell ref="E6:E8"/>
    <mergeCell ref="F6:F8"/>
    <mergeCell ref="G6:G8"/>
    <mergeCell ref="H6:H8"/>
  </mergeCells>
  <dataValidations count="1">
    <dataValidation type="list" allowBlank="1" showInputMessage="1" showErrorMessage="1" sqref="F9:F50">
      <formula1>"Mensal,Bimestral,Trimestral,Quadrimestral,Semestral,Anual,Bienal"</formula1>
      <formula2>0</formula2>
    </dataValidation>
  </dataValidations>
  <printOptions horizontalCentered="1" verticalCentered="1"/>
  <pageMargins left="0.51180555555555596" right="0.51180555555555596" top="0.78749999999999998" bottom="0.78749999999999998" header="0.511811023622047" footer="0.511811023622047"/>
  <pageSetup paperSize="9" scale="47" fitToHeight="2"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dimension ref="A1:P33"/>
  <sheetViews>
    <sheetView showGridLines="0" zoomScaleNormal="100" zoomScaleSheetLayoutView="100" zoomScalePageLayoutView="140" workbookViewId="0">
      <selection activeCell="F31" sqref="F31"/>
    </sheetView>
  </sheetViews>
  <sheetFormatPr defaultColWidth="8.6640625" defaultRowHeight="14.4"/>
  <cols>
    <col min="1" max="1" width="14.5546875" style="3" customWidth="1"/>
    <col min="2" max="2" width="10.44140625" style="2" customWidth="1"/>
    <col min="3" max="3" width="8.6640625" style="227" customWidth="1"/>
    <col min="4" max="4" width="56.109375" style="1" customWidth="1"/>
    <col min="5" max="5" width="9.33203125" style="1" customWidth="1"/>
    <col min="6" max="6" width="14.88671875" style="227" customWidth="1"/>
    <col min="7" max="7" width="12.44140625" style="228" customWidth="1"/>
    <col min="8" max="8" width="10.88671875" style="229" customWidth="1"/>
    <col min="9" max="9" width="9" customWidth="1"/>
    <col min="10" max="10" width="16.44140625" style="230" hidden="1" customWidth="1"/>
    <col min="11" max="15" width="11.33203125" style="230" hidden="1" customWidth="1"/>
    <col min="16" max="254" width="9" customWidth="1"/>
    <col min="255" max="255" width="13.33203125" customWidth="1"/>
    <col min="256" max="256" width="7.6640625" customWidth="1"/>
    <col min="257" max="257" width="6.109375" customWidth="1"/>
    <col min="258" max="258" width="56.109375" customWidth="1"/>
    <col min="259" max="259" width="9.33203125" customWidth="1"/>
    <col min="260" max="261" width="12.44140625" customWidth="1"/>
    <col min="262" max="262" width="10.88671875" customWidth="1"/>
    <col min="263" max="265" width="9" customWidth="1"/>
    <col min="266" max="266" width="11.44140625" customWidth="1"/>
    <col min="267" max="271" width="11.33203125" customWidth="1"/>
    <col min="272" max="510" width="9" customWidth="1"/>
    <col min="511" max="511" width="13.33203125" customWidth="1"/>
    <col min="512" max="512" width="7.6640625" customWidth="1"/>
    <col min="513" max="513" width="6.109375" customWidth="1"/>
    <col min="514" max="514" width="56.109375" customWidth="1"/>
    <col min="515" max="515" width="9.33203125" customWidth="1"/>
    <col min="516" max="517" width="12.44140625" customWidth="1"/>
    <col min="518" max="518" width="10.88671875" customWidth="1"/>
    <col min="519" max="521" width="9" customWidth="1"/>
    <col min="522" max="522" width="11.44140625" customWidth="1"/>
    <col min="523" max="527" width="11.33203125" customWidth="1"/>
    <col min="528" max="766" width="9" customWidth="1"/>
    <col min="767" max="767" width="13.33203125" customWidth="1"/>
    <col min="768" max="768" width="7.6640625" customWidth="1"/>
    <col min="769" max="769" width="6.109375" customWidth="1"/>
    <col min="770" max="770" width="56.109375" customWidth="1"/>
    <col min="771" max="771" width="9.33203125" customWidth="1"/>
    <col min="772" max="773" width="12.44140625" customWidth="1"/>
    <col min="774" max="774" width="10.88671875" customWidth="1"/>
    <col min="775" max="777" width="9" customWidth="1"/>
    <col min="778" max="778" width="11.44140625" customWidth="1"/>
    <col min="779" max="783" width="11.33203125" customWidth="1"/>
    <col min="784" max="1022" width="9" customWidth="1"/>
    <col min="1023" max="1023" width="13.33203125" customWidth="1"/>
    <col min="1024" max="1025" width="7.6640625" customWidth="1"/>
  </cols>
  <sheetData>
    <row r="1" spans="1:16" s="1" customFormat="1" ht="12.75" customHeight="1">
      <c r="A1" s="231"/>
      <c r="B1" s="232" t="str">
        <f>INSTRUÇÕES!B1</f>
        <v>Tribunal Regional Federal da 6ª Região</v>
      </c>
      <c r="C1" s="233"/>
      <c r="D1" s="234"/>
      <c r="E1" s="235"/>
      <c r="F1" s="236"/>
      <c r="G1" s="237"/>
      <c r="H1" s="238"/>
      <c r="J1" s="601" t="s">
        <v>380</v>
      </c>
      <c r="K1" s="601"/>
      <c r="L1" s="601"/>
      <c r="M1" s="601"/>
      <c r="N1" s="601"/>
      <c r="O1" s="601"/>
    </row>
    <row r="2" spans="1:16" s="1" customFormat="1" ht="12.75" customHeight="1">
      <c r="A2" s="239"/>
      <c r="B2" s="240" t="str">
        <f>INSTRUÇÕES!B2</f>
        <v>Seção Judiciária de Minas Gerais</v>
      </c>
      <c r="C2" s="241"/>
      <c r="D2" s="242"/>
      <c r="F2" s="227"/>
      <c r="G2" s="228"/>
      <c r="H2" s="243"/>
      <c r="J2" s="601"/>
      <c r="K2" s="601"/>
      <c r="L2" s="601"/>
      <c r="M2" s="601"/>
      <c r="N2" s="601"/>
      <c r="O2" s="601"/>
    </row>
    <row r="3" spans="1:16" s="107" customFormat="1">
      <c r="A3" s="239"/>
      <c r="B3" s="244" t="str">
        <f>INSTRUÇÕES!B3</f>
        <v>Subseção Judiciária de Varginha</v>
      </c>
      <c r="C3" s="245"/>
      <c r="D3" s="246"/>
      <c r="F3" s="247"/>
      <c r="G3" s="248"/>
      <c r="H3" s="249"/>
      <c r="J3" s="601"/>
      <c r="K3" s="601"/>
      <c r="L3" s="601"/>
      <c r="M3" s="601"/>
      <c r="N3" s="601"/>
      <c r="O3" s="601"/>
    </row>
    <row r="4" spans="1:16" s="212" customFormat="1" ht="15.6">
      <c r="A4" s="602" t="s">
        <v>476</v>
      </c>
      <c r="B4" s="602"/>
      <c r="C4" s="602"/>
      <c r="D4" s="602"/>
      <c r="E4" s="602"/>
      <c r="F4" s="602"/>
      <c r="G4" s="602"/>
      <c r="H4" s="602"/>
      <c r="J4" s="601"/>
      <c r="K4" s="601"/>
      <c r="L4" s="601"/>
      <c r="M4" s="601"/>
      <c r="N4" s="601"/>
      <c r="O4" s="601"/>
    </row>
    <row r="5" spans="1:16" s="1" customFormat="1" ht="27" customHeight="1">
      <c r="A5" s="603" t="s">
        <v>366</v>
      </c>
      <c r="B5" s="603"/>
      <c r="C5" s="603"/>
      <c r="D5" s="603"/>
      <c r="E5" s="603"/>
      <c r="F5" s="603"/>
      <c r="G5" s="603"/>
      <c r="H5" s="603"/>
      <c r="J5" s="604" t="s">
        <v>387</v>
      </c>
      <c r="K5" s="524" t="s">
        <v>274</v>
      </c>
      <c r="L5" s="524" t="s">
        <v>275</v>
      </c>
      <c r="M5" s="524" t="s">
        <v>276</v>
      </c>
      <c r="N5" s="524" t="s">
        <v>277</v>
      </c>
      <c r="O5" s="524" t="s">
        <v>278</v>
      </c>
    </row>
    <row r="6" spans="1:16" s="1" customFormat="1" ht="15.75" customHeight="1">
      <c r="A6" s="605" t="s">
        <v>477</v>
      </c>
      <c r="B6" s="605"/>
      <c r="C6" s="605"/>
      <c r="D6" s="605"/>
      <c r="E6" s="605"/>
      <c r="F6" s="605"/>
      <c r="G6" s="605"/>
      <c r="H6" s="605"/>
      <c r="J6" s="604"/>
      <c r="K6" s="524"/>
      <c r="L6" s="524"/>
      <c r="M6" s="524"/>
      <c r="N6" s="524"/>
      <c r="O6" s="524"/>
    </row>
    <row r="7" spans="1:16" s="1" customFormat="1" ht="15.75" customHeight="1">
      <c r="A7" s="250"/>
      <c r="B7" s="251"/>
      <c r="C7" s="252"/>
      <c r="D7" s="251"/>
      <c r="E7" s="251"/>
      <c r="F7" s="252"/>
      <c r="G7" s="253"/>
      <c r="H7" s="254"/>
      <c r="J7" s="604"/>
      <c r="K7" s="524"/>
      <c r="L7" s="524"/>
      <c r="M7" s="524"/>
      <c r="N7" s="524"/>
      <c r="O7" s="524"/>
    </row>
    <row r="8" spans="1:16" s="1" customFormat="1" ht="27.6">
      <c r="A8" s="255" t="s">
        <v>478</v>
      </c>
      <c r="B8" s="256" t="s">
        <v>252</v>
      </c>
      <c r="C8" s="257" t="s">
        <v>479</v>
      </c>
      <c r="D8" s="258" t="s">
        <v>480</v>
      </c>
      <c r="E8" s="258" t="s">
        <v>481</v>
      </c>
      <c r="F8" s="259" t="s">
        <v>482</v>
      </c>
      <c r="G8" s="260" t="s">
        <v>483</v>
      </c>
      <c r="H8" s="261" t="s">
        <v>190</v>
      </c>
      <c r="J8" s="604"/>
      <c r="K8" s="524"/>
      <c r="L8" s="524"/>
      <c r="M8" s="524"/>
      <c r="N8" s="524"/>
      <c r="O8" s="524"/>
      <c r="P8" s="145"/>
    </row>
    <row r="9" spans="1:16" s="512" customFormat="1" ht="64.5" customHeight="1">
      <c r="A9" s="502" t="s">
        <v>484</v>
      </c>
      <c r="B9" s="505" t="s">
        <v>485</v>
      </c>
      <c r="C9" s="506">
        <v>2</v>
      </c>
      <c r="D9" s="507" t="s">
        <v>486</v>
      </c>
      <c r="E9" s="508" t="s">
        <v>487</v>
      </c>
      <c r="F9" s="509">
        <f>C9*A12</f>
        <v>10</v>
      </c>
      <c r="G9" s="510">
        <v>74.430000000000007</v>
      </c>
      <c r="H9" s="511">
        <f>ROUND(F9*G9,2)</f>
        <v>744.3</v>
      </c>
      <c r="J9" s="513">
        <v>25.8</v>
      </c>
      <c r="K9" s="505">
        <f>ROUND(IF(Dados!$I$61="SIM",J9*Dados!$N$61,J9),2)</f>
        <v>25.8</v>
      </c>
      <c r="L9" s="505">
        <f>ROUND(IF(Dados!$I$62="SIM",K9*Dados!$N$62,K9),2)</f>
        <v>25.8</v>
      </c>
      <c r="M9" s="505">
        <f>ROUND(IF(Dados!$I$63="SIM",L9*Dados!$N$63,L9),2)</f>
        <v>25.8</v>
      </c>
      <c r="N9" s="505">
        <f>ROUND(IF(Dados!$I$64="SIM",M9*Dados!$N$64,M9),2)</f>
        <v>25.8</v>
      </c>
      <c r="O9" s="505">
        <f>ROUND(IF(Dados!$I$65="SIM",N9*Dados!$N$65,N9),2)</f>
        <v>25.8</v>
      </c>
    </row>
    <row r="10" spans="1:16" s="107" customFormat="1" ht="151.80000000000001">
      <c r="A10" s="606" t="s">
        <v>488</v>
      </c>
      <c r="B10" s="39" t="s">
        <v>489</v>
      </c>
      <c r="C10" s="262">
        <v>3</v>
      </c>
      <c r="D10" s="398" t="s">
        <v>490</v>
      </c>
      <c r="E10" s="76" t="s">
        <v>491</v>
      </c>
      <c r="F10" s="263">
        <f>C10*A12</f>
        <v>15</v>
      </c>
      <c r="G10" s="222">
        <v>47.42</v>
      </c>
      <c r="H10" s="264">
        <f>ROUND(F10*G10,2)</f>
        <v>711.3</v>
      </c>
      <c r="J10" s="265">
        <v>19.989999999999998</v>
      </c>
      <c r="K10" s="39">
        <f>ROUND(IF(Dados!$I$61="SIM",J10*Dados!$N$61,J10),2)</f>
        <v>19.989999999999998</v>
      </c>
      <c r="L10" s="39">
        <f>ROUND(IF(Dados!$I$62="SIM",K10*Dados!$N$62,K10),2)</f>
        <v>19.989999999999998</v>
      </c>
      <c r="M10" s="39">
        <f>ROUND(IF(Dados!$I$63="SIM",L10*Dados!$N$63,L10),2)</f>
        <v>19.989999999999998</v>
      </c>
      <c r="N10" s="39">
        <f>ROUND(IF(Dados!$I$64="SIM",M10*Dados!$N$64,M10),2)</f>
        <v>19.989999999999998</v>
      </c>
      <c r="O10" s="39">
        <f>ROUND(IF(Dados!$I$65="SIM",N10*Dados!$N$65,N10),2)</f>
        <v>19.989999999999998</v>
      </c>
    </row>
    <row r="11" spans="1:16" s="107" customFormat="1" ht="55.2">
      <c r="A11" s="607"/>
      <c r="B11" s="39" t="s">
        <v>492</v>
      </c>
      <c r="C11" s="262">
        <v>1</v>
      </c>
      <c r="D11" s="398" t="s">
        <v>493</v>
      </c>
      <c r="E11" s="409" t="s">
        <v>494</v>
      </c>
      <c r="F11" s="262">
        <f>C11*A12</f>
        <v>5</v>
      </c>
      <c r="G11" s="222">
        <v>72.13</v>
      </c>
      <c r="H11" s="264">
        <f>ROUND(F11*G11,2)</f>
        <v>360.65</v>
      </c>
      <c r="J11" s="410"/>
      <c r="K11" s="57"/>
      <c r="L11" s="57"/>
      <c r="M11" s="57"/>
      <c r="N11" s="57"/>
      <c r="O11" s="57"/>
    </row>
    <row r="12" spans="1:16" s="107" customFormat="1" ht="23.4">
      <c r="A12" s="400">
        <f>Dados!B7+Dados!B8+Dados!B9</f>
        <v>5</v>
      </c>
      <c r="B12" s="597" t="s">
        <v>495</v>
      </c>
      <c r="C12" s="598"/>
      <c r="D12" s="598"/>
      <c r="E12" s="598"/>
      <c r="F12" s="598"/>
      <c r="G12" s="599"/>
      <c r="H12" s="267">
        <f>SUM(H9:H11)</f>
        <v>1816.25</v>
      </c>
      <c r="J12" s="3"/>
      <c r="K12" s="3"/>
      <c r="L12" s="3"/>
      <c r="M12" s="3"/>
      <c r="N12" s="3"/>
      <c r="O12" s="3"/>
    </row>
    <row r="13" spans="1:16" s="107" customFormat="1" ht="15.6">
      <c r="A13" s="595" t="s">
        <v>496</v>
      </c>
      <c r="B13" s="595"/>
      <c r="C13" s="595"/>
      <c r="D13" s="595"/>
      <c r="E13" s="595"/>
      <c r="F13" s="595"/>
      <c r="G13" s="268"/>
      <c r="H13" s="269">
        <f>ROUND(H12/A12/12,2)</f>
        <v>30.27</v>
      </c>
      <c r="J13" s="3"/>
      <c r="K13" s="3"/>
      <c r="L13" s="3"/>
      <c r="M13" s="3"/>
      <c r="N13" s="3"/>
      <c r="O13" s="3"/>
    </row>
    <row r="14" spans="1:16" s="107" customFormat="1">
      <c r="A14" s="270"/>
      <c r="B14" s="54"/>
      <c r="C14" s="271"/>
      <c r="D14" s="272"/>
      <c r="E14" s="272"/>
      <c r="F14" s="271"/>
      <c r="G14" s="273"/>
      <c r="H14" s="274"/>
      <c r="J14" s="3"/>
      <c r="K14" s="3"/>
      <c r="L14" s="3"/>
      <c r="M14" s="3"/>
      <c r="N14" s="3"/>
      <c r="O14" s="3"/>
    </row>
    <row r="15" spans="1:16" s="51" customFormat="1" ht="69">
      <c r="A15" s="255" t="s">
        <v>478</v>
      </c>
      <c r="B15" s="258" t="s">
        <v>252</v>
      </c>
      <c r="C15" s="503" t="s">
        <v>479</v>
      </c>
      <c r="D15" s="258" t="s">
        <v>480</v>
      </c>
      <c r="E15" s="258" t="s">
        <v>481</v>
      </c>
      <c r="F15" s="504" t="s">
        <v>482</v>
      </c>
      <c r="G15" s="260" t="s">
        <v>483</v>
      </c>
      <c r="H15" s="261" t="s">
        <v>190</v>
      </c>
      <c r="J15" s="275" t="s">
        <v>387</v>
      </c>
      <c r="K15" s="276" t="s">
        <v>274</v>
      </c>
      <c r="L15" s="276" t="s">
        <v>275</v>
      </c>
      <c r="M15" s="276" t="s">
        <v>276</v>
      </c>
      <c r="N15" s="276" t="s">
        <v>277</v>
      </c>
      <c r="O15" s="276" t="s">
        <v>278</v>
      </c>
    </row>
    <row r="16" spans="1:16" s="107" customFormat="1" ht="41.4">
      <c r="A16" s="501" t="s">
        <v>497</v>
      </c>
      <c r="B16" s="39" t="s">
        <v>498</v>
      </c>
      <c r="C16" s="262">
        <v>2</v>
      </c>
      <c r="D16" s="399" t="s">
        <v>499</v>
      </c>
      <c r="E16" s="39" t="s">
        <v>500</v>
      </c>
      <c r="F16" s="263">
        <f>C16*A18</f>
        <v>2</v>
      </c>
      <c r="G16" s="222">
        <v>25.76</v>
      </c>
      <c r="H16" s="264">
        <f t="shared" ref="H16:H17" si="0">ROUND(F16*G16,2)</f>
        <v>51.52</v>
      </c>
      <c r="J16" s="265">
        <v>19.989999999999998</v>
      </c>
      <c r="K16" s="39">
        <f>ROUND(IF(Dados!$I$61="SIM",J16*Dados!$N$61,J16),2)</f>
        <v>19.989999999999998</v>
      </c>
      <c r="L16" s="39">
        <f>ROUND(IF(Dados!$I$62="SIM",K16*Dados!$N$62,K16),2)</f>
        <v>19.989999999999998</v>
      </c>
      <c r="M16" s="39">
        <f>ROUND(IF(Dados!$I$63="SIM",L16*Dados!$N$63,L16),2)</f>
        <v>19.989999999999998</v>
      </c>
      <c r="N16" s="39">
        <f>ROUND(IF(Dados!$I$64="SIM",M16*Dados!$N$64,M16),2)</f>
        <v>19.989999999999998</v>
      </c>
      <c r="O16" s="39">
        <f>ROUND(IF(Dados!$I$65="SIM",N16*Dados!$N$65,N16),2)</f>
        <v>19.989999999999998</v>
      </c>
    </row>
    <row r="17" spans="1:16" s="107" customFormat="1" ht="30.75" customHeight="1">
      <c r="A17" s="76" t="s">
        <v>488</v>
      </c>
      <c r="B17" s="39" t="s">
        <v>501</v>
      </c>
      <c r="C17" s="262">
        <v>3</v>
      </c>
      <c r="D17" s="399" t="s">
        <v>502</v>
      </c>
      <c r="E17" s="39" t="s">
        <v>500</v>
      </c>
      <c r="F17" s="263">
        <f>C17*A18</f>
        <v>3</v>
      </c>
      <c r="G17" s="222">
        <v>13.33</v>
      </c>
      <c r="H17" s="264">
        <f t="shared" si="0"/>
        <v>39.99</v>
      </c>
      <c r="J17" s="265"/>
      <c r="K17" s="39"/>
      <c r="L17" s="39"/>
      <c r="M17" s="39"/>
      <c r="N17" s="39"/>
      <c r="O17" s="39"/>
    </row>
    <row r="18" spans="1:16" s="107" customFormat="1" ht="36" customHeight="1" thickBot="1">
      <c r="A18" s="495">
        <f>Dados!B9</f>
        <v>1</v>
      </c>
      <c r="B18" s="608" t="s">
        <v>495</v>
      </c>
      <c r="C18" s="608"/>
      <c r="D18" s="608"/>
      <c r="E18" s="608"/>
      <c r="F18" s="608"/>
      <c r="G18" s="608"/>
      <c r="H18" s="278">
        <f>SUM(H16:H17)</f>
        <v>91.51</v>
      </c>
      <c r="J18" s="3"/>
      <c r="K18" s="3"/>
      <c r="L18" s="3"/>
      <c r="M18" s="3"/>
      <c r="N18" s="3"/>
      <c r="O18" s="3"/>
    </row>
    <row r="19" spans="1:16" s="107" customFormat="1" ht="16.2" thickBot="1">
      <c r="A19" s="595" t="s">
        <v>503</v>
      </c>
      <c r="B19" s="595"/>
      <c r="C19" s="595"/>
      <c r="D19" s="595"/>
      <c r="E19" s="595"/>
      <c r="F19" s="595"/>
      <c r="G19" s="268"/>
      <c r="H19" s="269">
        <f>ROUND(H18/A18/12,2)</f>
        <v>7.63</v>
      </c>
      <c r="J19" s="3"/>
      <c r="K19" s="3"/>
      <c r="L19" s="3"/>
      <c r="M19" s="3"/>
      <c r="N19" s="3"/>
      <c r="O19" s="3"/>
    </row>
    <row r="20" spans="1:16" s="107" customFormat="1" ht="15.6">
      <c r="A20" s="214"/>
      <c r="B20" s="279"/>
      <c r="C20" s="280"/>
      <c r="D20" s="279"/>
      <c r="E20" s="279"/>
      <c r="F20" s="280"/>
      <c r="G20" s="281"/>
      <c r="H20" s="282"/>
      <c r="J20" s="3"/>
      <c r="K20" s="3"/>
      <c r="L20" s="3"/>
      <c r="M20" s="3"/>
      <c r="N20" s="3"/>
      <c r="O20" s="3"/>
    </row>
    <row r="21" spans="1:16" s="51" customFormat="1" ht="69">
      <c r="A21" s="255" t="s">
        <v>478</v>
      </c>
      <c r="B21" s="258" t="s">
        <v>252</v>
      </c>
      <c r="C21" s="503" t="s">
        <v>479</v>
      </c>
      <c r="D21" s="258" t="s">
        <v>480</v>
      </c>
      <c r="E21" s="258" t="s">
        <v>481</v>
      </c>
      <c r="F21" s="504" t="s">
        <v>482</v>
      </c>
      <c r="G21" s="283" t="s">
        <v>483</v>
      </c>
      <c r="H21" s="261" t="s">
        <v>190</v>
      </c>
      <c r="J21" s="275" t="s">
        <v>387</v>
      </c>
      <c r="K21" s="276" t="s">
        <v>274</v>
      </c>
      <c r="L21" s="276" t="s">
        <v>275</v>
      </c>
      <c r="M21" s="276" t="s">
        <v>276</v>
      </c>
      <c r="N21" s="276" t="s">
        <v>277</v>
      </c>
      <c r="O21" s="276" t="s">
        <v>278</v>
      </c>
    </row>
    <row r="22" spans="1:16" s="107" customFormat="1" ht="69">
      <c r="A22" s="500" t="s">
        <v>187</v>
      </c>
      <c r="B22" s="39" t="s">
        <v>485</v>
      </c>
      <c r="C22" s="262">
        <v>3</v>
      </c>
      <c r="D22" s="399" t="s">
        <v>486</v>
      </c>
      <c r="E22" s="76" t="s">
        <v>487</v>
      </c>
      <c r="F22" s="263">
        <f>C22*$A$24</f>
        <v>3</v>
      </c>
      <c r="G22" s="222">
        <v>74.430000000000007</v>
      </c>
      <c r="H22" s="264">
        <f>ROUND(F22*G22,2)</f>
        <v>223.29</v>
      </c>
      <c r="J22" s="265">
        <v>39.9</v>
      </c>
      <c r="K22" s="39">
        <f>ROUND(IF(Dados!$I$61="SIM",J22*Dados!$N$61,J22),2)</f>
        <v>39.9</v>
      </c>
      <c r="L22" s="39">
        <f>ROUND(IF(Dados!$I$62="SIM",K22*Dados!$N$62,K22),2)</f>
        <v>39.9</v>
      </c>
      <c r="M22" s="39">
        <f>ROUND(IF(Dados!$I$63="SIM",L22*Dados!$N$63,L22),2)</f>
        <v>39.9</v>
      </c>
      <c r="N22" s="39">
        <f>ROUND(IF(Dados!$I$64="SIM",M22*Dados!$N$64,M22),2)</f>
        <v>39.9</v>
      </c>
      <c r="O22" s="39">
        <f>ROUND(IF(Dados!$I$65="SIM",N22*Dados!$N$65,N22),2)</f>
        <v>39.9</v>
      </c>
    </row>
    <row r="23" spans="1:16" s="107" customFormat="1" ht="151.80000000000001">
      <c r="A23" s="397" t="s">
        <v>488</v>
      </c>
      <c r="B23" s="39" t="s">
        <v>489</v>
      </c>
      <c r="C23" s="262">
        <v>3</v>
      </c>
      <c r="D23" s="399" t="s">
        <v>490</v>
      </c>
      <c r="E23" s="76" t="s">
        <v>491</v>
      </c>
      <c r="F23" s="263">
        <f>C23*$A$24</f>
        <v>3</v>
      </c>
      <c r="G23" s="222">
        <v>47.42</v>
      </c>
      <c r="H23" s="264">
        <f>ROUND(F23*G23,2)</f>
        <v>142.26</v>
      </c>
      <c r="J23" s="265">
        <v>19.989999999999998</v>
      </c>
      <c r="K23" s="39">
        <f>ROUND(IF(Dados!$I$61="SIM",J23*Dados!$N$61,J23),2)</f>
        <v>19.989999999999998</v>
      </c>
      <c r="L23" s="39">
        <f>ROUND(IF(Dados!$I$62="SIM",K23*Dados!$N$62,K23),2)</f>
        <v>19.989999999999998</v>
      </c>
      <c r="M23" s="39">
        <f>ROUND(IF(Dados!$I$63="SIM",L23*Dados!$N$63,L23),2)</f>
        <v>19.989999999999998</v>
      </c>
      <c r="N23" s="39">
        <f>ROUND(IF(Dados!$I$64="SIM",M23*Dados!$N$64,M23),2)</f>
        <v>19.989999999999998</v>
      </c>
      <c r="O23" s="39">
        <f>ROUND(IF(Dados!$I$65="SIM",N23*Dados!$N$65,N23),2)</f>
        <v>19.989999999999998</v>
      </c>
    </row>
    <row r="24" spans="1:16" s="107" customFormat="1" ht="55.2">
      <c r="A24" s="277">
        <f>Dados!B10</f>
        <v>1</v>
      </c>
      <c r="B24" s="39" t="s">
        <v>492</v>
      </c>
      <c r="C24" s="262">
        <v>1</v>
      </c>
      <c r="D24" s="399" t="s">
        <v>493</v>
      </c>
      <c r="E24" s="39" t="s">
        <v>504</v>
      </c>
      <c r="F24" s="263">
        <f>C24*$A$24</f>
        <v>1</v>
      </c>
      <c r="G24" s="222">
        <v>72.13</v>
      </c>
      <c r="H24" s="264">
        <f>ROUND(F24*G24,2)</f>
        <v>72.13</v>
      </c>
      <c r="J24" s="265">
        <v>39.9</v>
      </c>
      <c r="K24" s="39">
        <f>ROUND(IF(Dados!$I$61="SIM",J24*Dados!$N$61,J24),2)</f>
        <v>39.9</v>
      </c>
      <c r="L24" s="39">
        <f>ROUND(IF(Dados!$I$62="SIM",K24*Dados!$N$62,K24),2)</f>
        <v>39.9</v>
      </c>
      <c r="M24" s="39">
        <f>ROUND(IF(Dados!$I$63="SIM",L24*Dados!$N$63,L24),2)</f>
        <v>39.9</v>
      </c>
      <c r="N24" s="39">
        <f>ROUND(IF(Dados!$I$64="SIM",M24*Dados!$N$64,M24),2)</f>
        <v>39.9</v>
      </c>
      <c r="O24" s="39">
        <f>ROUND(IF(Dados!$I$65="SIM",N24*Dados!$N$65,N24),2)</f>
        <v>39.9</v>
      </c>
    </row>
    <row r="25" spans="1:16" s="107" customFormat="1" ht="36" customHeight="1" thickBot="1">
      <c r="A25" s="596" t="s">
        <v>495</v>
      </c>
      <c r="B25" s="596"/>
      <c r="C25" s="596"/>
      <c r="D25" s="596"/>
      <c r="E25" s="596"/>
      <c r="F25" s="596"/>
      <c r="G25" s="596"/>
      <c r="H25" s="284">
        <f>SUM(H22:H24)</f>
        <v>437.67999999999995</v>
      </c>
      <c r="J25" s="3"/>
      <c r="K25" s="3"/>
      <c r="L25" s="3"/>
      <c r="M25" s="3"/>
      <c r="N25" s="3"/>
      <c r="O25" s="3"/>
    </row>
    <row r="26" spans="1:16" s="107" customFormat="1" ht="15.6">
      <c r="A26" s="595" t="s">
        <v>505</v>
      </c>
      <c r="B26" s="595"/>
      <c r="C26" s="595"/>
      <c r="D26" s="595"/>
      <c r="E26" s="595"/>
      <c r="F26" s="595"/>
      <c r="G26" s="268"/>
      <c r="H26" s="269">
        <f>ROUND(H25/A24/12,2)</f>
        <v>36.47</v>
      </c>
      <c r="J26" s="3"/>
      <c r="K26" s="3"/>
      <c r="L26" s="3"/>
      <c r="M26" s="3"/>
      <c r="N26" s="3"/>
      <c r="O26" s="3"/>
    </row>
    <row r="27" spans="1:16" s="107" customFormat="1" ht="15.6">
      <c r="A27" s="285"/>
      <c r="B27" s="286"/>
      <c r="C27" s="287"/>
      <c r="D27" s="286"/>
      <c r="E27" s="286"/>
      <c r="F27" s="287"/>
      <c r="G27" s="288"/>
      <c r="H27" s="289"/>
      <c r="J27" s="3"/>
      <c r="K27" s="3"/>
      <c r="L27" s="3"/>
      <c r="M27" s="3"/>
      <c r="N27" s="3"/>
      <c r="O27" s="3"/>
    </row>
    <row r="28" spans="1:16" s="514" customFormat="1" ht="69">
      <c r="A28" s="255" t="s">
        <v>478</v>
      </c>
      <c r="B28" s="258" t="s">
        <v>252</v>
      </c>
      <c r="C28" s="503" t="s">
        <v>479</v>
      </c>
      <c r="D28" s="258" t="s">
        <v>480</v>
      </c>
      <c r="E28" s="258" t="s">
        <v>481</v>
      </c>
      <c r="F28" s="504" t="s">
        <v>482</v>
      </c>
      <c r="G28" s="283" t="s">
        <v>483</v>
      </c>
      <c r="H28" s="261" t="s">
        <v>190</v>
      </c>
      <c r="J28" s="275" t="s">
        <v>387</v>
      </c>
      <c r="K28" s="276" t="s">
        <v>274</v>
      </c>
      <c r="L28" s="276" t="s">
        <v>275</v>
      </c>
      <c r="M28" s="276" t="s">
        <v>276</v>
      </c>
      <c r="N28" s="276" t="s">
        <v>277</v>
      </c>
      <c r="O28" s="276" t="s">
        <v>278</v>
      </c>
    </row>
    <row r="29" spans="1:16" ht="82.5" customHeight="1">
      <c r="A29" s="500" t="s">
        <v>650</v>
      </c>
      <c r="B29" s="39" t="s">
        <v>485</v>
      </c>
      <c r="C29" s="262">
        <v>3</v>
      </c>
      <c r="D29" s="408" t="s">
        <v>506</v>
      </c>
      <c r="E29" s="76" t="s">
        <v>487</v>
      </c>
      <c r="F29" s="263">
        <f>C29*$A$31</f>
        <v>6</v>
      </c>
      <c r="G29" s="222">
        <v>92.94</v>
      </c>
      <c r="H29" s="264">
        <f>ROUND(F29*G29,2)</f>
        <v>557.64</v>
      </c>
      <c r="J29" s="265">
        <v>39.9</v>
      </c>
      <c r="K29" s="39">
        <f>ROUND(IF(Dados!$I$61="SIM",J29*Dados!$N$61,J29),2)</f>
        <v>39.9</v>
      </c>
      <c r="L29" s="39">
        <f>ROUND(IF(Dados!$I$62="SIM",K29*Dados!$N$62,K29),2)</f>
        <v>39.9</v>
      </c>
      <c r="M29" s="39">
        <f>ROUND(IF(Dados!$I$63="SIM",L29*Dados!$N$63,L29),2)</f>
        <v>39.9</v>
      </c>
      <c r="N29" s="39">
        <f>ROUND(IF(Dados!$I$64="SIM",M29*Dados!$N$64,M29),2)</f>
        <v>39.9</v>
      </c>
      <c r="O29" s="39">
        <f>ROUND(IF(Dados!$I$65="SIM",N29*Dados!$N$65,N29),2)</f>
        <v>39.9</v>
      </c>
    </row>
    <row r="30" spans="1:16" ht="138">
      <c r="A30" s="266" t="s">
        <v>488</v>
      </c>
      <c r="B30" s="39" t="s">
        <v>489</v>
      </c>
      <c r="C30" s="262">
        <v>3</v>
      </c>
      <c r="D30" s="402" t="s">
        <v>507</v>
      </c>
      <c r="E30" s="76" t="s">
        <v>508</v>
      </c>
      <c r="F30" s="263">
        <f>C30*$A$31</f>
        <v>6</v>
      </c>
      <c r="G30" s="222">
        <v>47.42</v>
      </c>
      <c r="H30" s="264">
        <f>ROUND(F30*G30,2)</f>
        <v>284.52</v>
      </c>
      <c r="J30" s="265">
        <v>19.989999999999998</v>
      </c>
      <c r="K30" s="39">
        <f>ROUND(IF(Dados!$I$61="SIM",J30*Dados!$N$61,J30),2)</f>
        <v>19.989999999999998</v>
      </c>
      <c r="L30" s="39">
        <f>ROUND(IF(Dados!$I$62="SIM",K30*Dados!$N$62,K30),2)</f>
        <v>19.989999999999998</v>
      </c>
      <c r="M30" s="39">
        <f>ROUND(IF(Dados!$I$63="SIM",L30*Dados!$N$63,L30),2)</f>
        <v>19.989999999999998</v>
      </c>
      <c r="N30" s="39">
        <f>ROUND(IF(Dados!$I$64="SIM",M30*Dados!$N$64,M30),2)</f>
        <v>19.989999999999998</v>
      </c>
      <c r="O30" s="39">
        <f>ROUND(IF(Dados!$I$65="SIM",N30*Dados!$N$65,N30),2)</f>
        <v>19.989999999999998</v>
      </c>
    </row>
    <row r="31" spans="1:16" ht="151.80000000000001">
      <c r="A31" s="277">
        <f>Dados!B11</f>
        <v>2</v>
      </c>
      <c r="B31" s="39" t="s">
        <v>492</v>
      </c>
      <c r="C31" s="262">
        <v>1</v>
      </c>
      <c r="D31" s="496" t="s">
        <v>509</v>
      </c>
      <c r="E31" s="39" t="s">
        <v>504</v>
      </c>
      <c r="F31" s="263">
        <f>C31*$A$31</f>
        <v>2</v>
      </c>
      <c r="G31" s="222">
        <v>115.25</v>
      </c>
      <c r="H31" s="264">
        <f>ROUND(F31*G31,2)</f>
        <v>230.5</v>
      </c>
      <c r="J31" s="265">
        <v>35.5</v>
      </c>
      <c r="K31" s="39">
        <f>ROUND(IF(Dados!$I$61="SIM",J31*Dados!$N$61,J31),2)</f>
        <v>35.5</v>
      </c>
      <c r="L31" s="39">
        <f>ROUND(IF(Dados!$I$62="SIM",K31*Dados!$N$62,K31),2)</f>
        <v>35.5</v>
      </c>
      <c r="M31" s="39">
        <f>ROUND(IF(Dados!$I$63="SIM",L31*Dados!$N$63,L31),2)</f>
        <v>35.5</v>
      </c>
      <c r="N31" s="39">
        <f>ROUND(IF(Dados!$I$64="SIM",M31*Dados!$N$64,M31),2)</f>
        <v>35.5</v>
      </c>
      <c r="O31" s="39">
        <f>ROUND(IF(Dados!$I$65="SIM",N31*Dados!$N$65,N31),2)</f>
        <v>35.5</v>
      </c>
    </row>
    <row r="32" spans="1:16">
      <c r="A32" s="600" t="s">
        <v>495</v>
      </c>
      <c r="B32" s="600"/>
      <c r="C32" s="600"/>
      <c r="D32" s="600"/>
      <c r="E32" s="600"/>
      <c r="F32" s="600"/>
      <c r="G32" s="600"/>
      <c r="H32" s="290">
        <f>SUM(H29:H31)</f>
        <v>1072.6599999999999</v>
      </c>
      <c r="N32" s="3"/>
      <c r="O32" s="3"/>
      <c r="P32" s="107"/>
    </row>
    <row r="33" spans="1:8" ht="15.6">
      <c r="A33" s="595" t="s">
        <v>651</v>
      </c>
      <c r="B33" s="595"/>
      <c r="C33" s="595"/>
      <c r="D33" s="595"/>
      <c r="E33" s="595"/>
      <c r="F33" s="595"/>
      <c r="G33" s="268"/>
      <c r="H33" s="269">
        <f>ROUND(H32/A31/12,2)</f>
        <v>44.69</v>
      </c>
    </row>
  </sheetData>
  <sheetProtection algorithmName="SHA-512" hashValue="JgT5S3LLG2cVPYr0sU9ovcCT5I49khi5TZnF0D2+DuMcK8UEtLfRb80hf7yQZdbx0QSAEjtZ0LOYsNuuwBo85g==" saltValue="Z80ZR2OvBMbCxvkNL1xxoQ==" spinCount="100000" sheet="1" objects="1" scenarios="1"/>
  <mergeCells count="19">
    <mergeCell ref="B12:G12"/>
    <mergeCell ref="A32:G32"/>
    <mergeCell ref="J1:O4"/>
    <mergeCell ref="A4:H4"/>
    <mergeCell ref="A5:H5"/>
    <mergeCell ref="J5:J8"/>
    <mergeCell ref="K5:K8"/>
    <mergeCell ref="L5:L8"/>
    <mergeCell ref="M5:M8"/>
    <mergeCell ref="N5:N8"/>
    <mergeCell ref="O5:O8"/>
    <mergeCell ref="A6:H6"/>
    <mergeCell ref="A10:A11"/>
    <mergeCell ref="B18:G18"/>
    <mergeCell ref="A33:F33"/>
    <mergeCell ref="A19:F19"/>
    <mergeCell ref="A25:G25"/>
    <mergeCell ref="A26:F26"/>
    <mergeCell ref="A13:F13"/>
  </mergeCells>
  <printOptions horizontalCentered="1" verticalCentered="1"/>
  <pageMargins left="0.51180555555555596" right="0.51180555555555596" top="0.78749999999999998" bottom="0.78749999999999998" header="0.511811023622047" footer="0.511811023622047"/>
  <pageSetup paperSize="9" scale="58"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Normal="100" zoomScaleSheetLayoutView="100" zoomScalePageLayoutView="140" workbookViewId="0">
      <selection activeCell="C22" sqref="C22:E22 F11"/>
    </sheetView>
  </sheetViews>
  <sheetFormatPr defaultColWidth="8.6640625" defaultRowHeight="14.4"/>
  <cols>
    <col min="1" max="1" width="10.5546875" style="62" customWidth="1"/>
    <col min="2" max="2" width="27.6640625" style="62" customWidth="1"/>
    <col min="3" max="3" width="14.44140625" style="62" customWidth="1"/>
    <col min="4" max="5" width="15" style="62" customWidth="1"/>
    <col min="6" max="6" width="16.6640625" style="291" customWidth="1"/>
    <col min="7" max="8" width="13.109375" style="291" customWidth="1"/>
    <col min="9" max="10" width="12.5546875" style="291" customWidth="1"/>
    <col min="11" max="257" width="9.109375" style="62" customWidth="1"/>
    <col min="258" max="258" width="10.5546875" style="62" customWidth="1"/>
    <col min="259" max="259" width="27.6640625" style="62" customWidth="1"/>
    <col min="260" max="260" width="14.44140625" style="62" customWidth="1"/>
    <col min="261" max="262" width="15" style="62" customWidth="1"/>
    <col min="263" max="263" width="16.6640625" style="62" customWidth="1"/>
    <col min="264" max="264" width="13.109375" style="62" customWidth="1"/>
    <col min="265" max="266" width="12.5546875" style="62" customWidth="1"/>
    <col min="267" max="513" width="9.109375" style="62" customWidth="1"/>
    <col min="514" max="514" width="10.5546875" style="62" customWidth="1"/>
    <col min="515" max="515" width="27.6640625" style="62" customWidth="1"/>
    <col min="516" max="516" width="14.44140625" style="62" customWidth="1"/>
    <col min="517" max="518" width="15" style="62" customWidth="1"/>
    <col min="519" max="519" width="16.6640625" style="62" customWidth="1"/>
    <col min="520" max="520" width="13.109375" style="62" customWidth="1"/>
    <col min="521" max="522" width="12.5546875" style="62" customWidth="1"/>
    <col min="523" max="769" width="9.109375" style="62" customWidth="1"/>
    <col min="770" max="770" width="10.5546875" style="62" customWidth="1"/>
    <col min="771" max="771" width="27.6640625" style="62" customWidth="1"/>
    <col min="772" max="772" width="14.44140625" style="62" customWidth="1"/>
    <col min="773" max="774" width="15" style="62" customWidth="1"/>
    <col min="775" max="775" width="16.6640625" style="62" customWidth="1"/>
    <col min="776" max="776" width="13.109375" style="62" customWidth="1"/>
    <col min="777" max="778" width="12.5546875" style="62" customWidth="1"/>
    <col min="779" max="1025" width="9.109375" style="62" customWidth="1"/>
  </cols>
  <sheetData>
    <row r="1" spans="1:10">
      <c r="A1" s="292"/>
      <c r="B1" s="89" t="str">
        <f>INSTRUÇÕES!B1</f>
        <v>Tribunal Regional Federal da 6ª Região</v>
      </c>
      <c r="C1" s="293"/>
      <c r="D1" s="293"/>
      <c r="E1" s="293"/>
      <c r="F1" s="294"/>
      <c r="G1" s="295"/>
      <c r="H1" s="295"/>
      <c r="I1" s="294"/>
      <c r="J1" s="296"/>
    </row>
    <row r="2" spans="1:10">
      <c r="A2" s="297"/>
      <c r="B2" s="91" t="str">
        <f>INSTRUÇÕES!B2</f>
        <v>Seção Judiciária de Minas Gerais</v>
      </c>
      <c r="C2" s="51"/>
      <c r="D2" s="51"/>
      <c r="E2" s="51"/>
      <c r="F2" s="298"/>
      <c r="I2" s="298"/>
      <c r="J2" s="299"/>
    </row>
    <row r="3" spans="1:10">
      <c r="A3" s="153"/>
      <c r="B3" s="300" t="str">
        <f>INSTRUÇÕES!B3</f>
        <v>Subseção Judiciária de Varginha</v>
      </c>
      <c r="C3" s="51"/>
      <c r="D3" s="51"/>
      <c r="E3" s="51"/>
      <c r="F3" s="298"/>
      <c r="I3" s="298"/>
      <c r="J3" s="299"/>
    </row>
    <row r="4" spans="1:10" ht="19.5" customHeight="1">
      <c r="A4" s="633" t="s">
        <v>510</v>
      </c>
      <c r="B4" s="633"/>
      <c r="C4" s="633"/>
      <c r="D4" s="633"/>
      <c r="E4" s="633"/>
      <c r="F4" s="633"/>
      <c r="G4" s="633"/>
      <c r="H4" s="633"/>
      <c r="I4" s="633"/>
      <c r="J4" s="633"/>
    </row>
    <row r="5" spans="1:10" ht="19.5" customHeight="1">
      <c r="A5" s="634" t="s">
        <v>290</v>
      </c>
      <c r="B5" s="634"/>
      <c r="C5" s="634"/>
      <c r="D5" s="634"/>
      <c r="E5" s="634"/>
      <c r="F5" s="634"/>
      <c r="G5" s="634"/>
      <c r="H5" s="634"/>
      <c r="I5" s="634"/>
      <c r="J5" s="634"/>
    </row>
    <row r="6" spans="1:10" ht="36" customHeight="1">
      <c r="A6" s="635" t="str">
        <f>Dados!A4</f>
        <v>Sindicato utilizado - SEAC x SIEAP. Vigência: 2024. Sendo a data base da categoria 01° de Janeiro. Com número de registro no MTE MG000705/2024.</v>
      </c>
      <c r="B6" s="635"/>
      <c r="C6" s="635"/>
      <c r="D6" s="635"/>
      <c r="E6" s="635"/>
      <c r="F6" s="635"/>
      <c r="G6" s="635"/>
      <c r="H6" s="635"/>
      <c r="I6" s="635"/>
      <c r="J6" s="635"/>
    </row>
    <row r="7" spans="1:10" ht="19.5" customHeight="1">
      <c r="A7" s="636" t="str">
        <f>Dados!C7</f>
        <v>Servente de Limpeza 40% Insalubridade</v>
      </c>
      <c r="B7" s="636"/>
      <c r="C7" s="636"/>
      <c r="D7" s="636"/>
      <c r="E7" s="636"/>
      <c r="F7" s="637" t="s">
        <v>511</v>
      </c>
      <c r="G7" s="637" t="s">
        <v>512</v>
      </c>
      <c r="H7" s="637" t="s">
        <v>513</v>
      </c>
      <c r="I7" s="637" t="s">
        <v>514</v>
      </c>
      <c r="J7" s="637" t="s">
        <v>515</v>
      </c>
    </row>
    <row r="8" spans="1:10" ht="19.5" customHeight="1">
      <c r="A8" s="638" t="s">
        <v>516</v>
      </c>
      <c r="B8" s="638"/>
      <c r="C8" s="638"/>
      <c r="D8" s="638"/>
      <c r="E8" s="411" t="s">
        <v>367</v>
      </c>
      <c r="F8" s="637"/>
      <c r="G8" s="637"/>
      <c r="H8" s="637"/>
      <c r="I8" s="637"/>
      <c r="J8" s="637"/>
    </row>
    <row r="9" spans="1:10" ht="19.5" customHeight="1">
      <c r="A9" s="618" t="s">
        <v>517</v>
      </c>
      <c r="B9" s="618"/>
      <c r="C9" s="618"/>
      <c r="D9" s="618"/>
      <c r="E9" s="618"/>
      <c r="F9" s="618"/>
      <c r="G9" s="618"/>
      <c r="H9" s="618"/>
      <c r="I9" s="618"/>
      <c r="J9" s="618"/>
    </row>
    <row r="10" spans="1:10" ht="24" customHeight="1">
      <c r="A10" s="158" t="s">
        <v>368</v>
      </c>
      <c r="B10" s="628" t="s">
        <v>518</v>
      </c>
      <c r="C10" s="628"/>
      <c r="D10" s="412" t="s">
        <v>519</v>
      </c>
      <c r="E10" s="413" t="s">
        <v>520</v>
      </c>
      <c r="F10" s="629" t="s">
        <v>371</v>
      </c>
      <c r="G10" s="629"/>
      <c r="H10" s="629"/>
      <c r="I10" s="629"/>
      <c r="J10" s="629"/>
    </row>
    <row r="11" spans="1:10" ht="19.5" customHeight="1">
      <c r="A11" s="630">
        <v>1</v>
      </c>
      <c r="B11" s="518" t="str">
        <f>A7</f>
        <v>Servente de Limpeza 40% Insalubridade</v>
      </c>
      <c r="C11" s="518"/>
      <c r="D11" s="28">
        <f>Dados!D7</f>
        <v>200</v>
      </c>
      <c r="E11" s="414">
        <f>Dados!E7</f>
        <v>1491.84</v>
      </c>
      <c r="F11" s="415">
        <f>ROUND(E11/220*D11,2)</f>
        <v>1356.22</v>
      </c>
      <c r="G11" s="415">
        <f>F11</f>
        <v>1356.22</v>
      </c>
      <c r="H11" s="415"/>
      <c r="I11" s="415"/>
      <c r="J11" s="416"/>
    </row>
    <row r="12" spans="1:10" ht="19.5" customHeight="1">
      <c r="A12" s="630"/>
      <c r="B12" s="518" t="s">
        <v>521</v>
      </c>
      <c r="C12" s="518"/>
      <c r="D12" s="430">
        <f>Dados!G7</f>
        <v>0.4</v>
      </c>
      <c r="E12" s="414">
        <f>Dados!G28</f>
        <v>1412</v>
      </c>
      <c r="F12" s="415">
        <f>D12*E12</f>
        <v>564.80000000000007</v>
      </c>
      <c r="G12" s="415">
        <f>F12</f>
        <v>564.80000000000007</v>
      </c>
      <c r="H12" s="415"/>
      <c r="I12" s="415"/>
      <c r="J12" s="416">
        <f>F12</f>
        <v>564.80000000000007</v>
      </c>
    </row>
    <row r="13" spans="1:10" ht="20.25" customHeight="1">
      <c r="A13" s="630"/>
      <c r="B13" s="449" t="s">
        <v>522</v>
      </c>
      <c r="C13" s="450">
        <f>Dados!I7</f>
        <v>0</v>
      </c>
      <c r="D13" s="450">
        <f>Dados!J7</f>
        <v>0</v>
      </c>
      <c r="E13" s="417">
        <f>Dados!K10</f>
        <v>0</v>
      </c>
      <c r="F13" s="418">
        <f>ROUND((E13*D13*C13),2)</f>
        <v>0</v>
      </c>
      <c r="G13" s="418">
        <f>F13</f>
        <v>0</v>
      </c>
      <c r="H13" s="418"/>
      <c r="I13" s="418"/>
      <c r="J13" s="419"/>
    </row>
    <row r="14" spans="1:10" ht="19.5" customHeight="1">
      <c r="A14" s="630"/>
      <c r="B14" s="631" t="s">
        <v>523</v>
      </c>
      <c r="C14" s="631"/>
      <c r="D14" s="631"/>
      <c r="E14" s="631"/>
      <c r="F14" s="420">
        <f>SUM(F11:F13)</f>
        <v>1921.02</v>
      </c>
      <c r="G14" s="420">
        <f>SUM(G11:G13)</f>
        <v>1921.02</v>
      </c>
      <c r="H14" s="420">
        <f>SUM(H11:H13)</f>
        <v>0</v>
      </c>
      <c r="I14" s="420">
        <f>SUM(I11:I13)</f>
        <v>0</v>
      </c>
      <c r="J14" s="421">
        <f>SUM(J11:J13)</f>
        <v>564.80000000000007</v>
      </c>
    </row>
    <row r="15" spans="1:10" ht="19.5" customHeight="1">
      <c r="A15" s="630"/>
      <c r="B15" s="632" t="s">
        <v>524</v>
      </c>
      <c r="C15" s="632"/>
      <c r="D15" s="632"/>
      <c r="E15" s="451">
        <f>Encargos!$C$57</f>
        <v>0.76400000000000001</v>
      </c>
      <c r="F15" s="415">
        <f>ROUND((E15*F14),2)</f>
        <v>1467.66</v>
      </c>
      <c r="G15" s="415">
        <f>F15</f>
        <v>1467.66</v>
      </c>
      <c r="H15" s="415"/>
      <c r="I15" s="415"/>
      <c r="J15" s="416">
        <f>ROUND((E15*J14),2)</f>
        <v>431.51</v>
      </c>
    </row>
    <row r="16" spans="1:10" ht="19.5" customHeight="1">
      <c r="A16" s="624" t="s">
        <v>525</v>
      </c>
      <c r="B16" s="624"/>
      <c r="C16" s="624"/>
      <c r="D16" s="624"/>
      <c r="E16" s="624"/>
      <c r="F16" s="422">
        <f>SUM(F14:F15)</f>
        <v>3388.6800000000003</v>
      </c>
      <c r="G16" s="422">
        <f>SUM(G14:G15)</f>
        <v>3388.6800000000003</v>
      </c>
      <c r="H16" s="422">
        <f>SUM(H14:H15)</f>
        <v>0</v>
      </c>
      <c r="I16" s="422">
        <f>SUM(I14:I15)</f>
        <v>0</v>
      </c>
      <c r="J16" s="423">
        <f>SUM(J14:J15)</f>
        <v>996.31000000000006</v>
      </c>
    </row>
    <row r="17" spans="1:12" ht="19.5" customHeight="1">
      <c r="A17" s="625" t="s">
        <v>526</v>
      </c>
      <c r="B17" s="625"/>
      <c r="C17" s="625"/>
      <c r="D17" s="625"/>
      <c r="E17" s="625"/>
      <c r="F17" s="625"/>
      <c r="G17" s="625"/>
      <c r="H17" s="625"/>
      <c r="I17" s="625"/>
      <c r="J17" s="625"/>
    </row>
    <row r="18" spans="1:12" ht="19.5" customHeight="1">
      <c r="A18" s="619" t="s">
        <v>527</v>
      </c>
      <c r="B18" s="619"/>
      <c r="C18" s="39" t="s">
        <v>370</v>
      </c>
      <c r="D18" s="626" t="s">
        <v>528</v>
      </c>
      <c r="E18" s="626"/>
      <c r="F18" s="627" t="s">
        <v>371</v>
      </c>
      <c r="G18" s="627"/>
      <c r="H18" s="627"/>
      <c r="I18" s="627"/>
      <c r="J18" s="627"/>
    </row>
    <row r="19" spans="1:12" ht="19.5" customHeight="1">
      <c r="A19" s="610" t="s">
        <v>529</v>
      </c>
      <c r="B19" s="610"/>
      <c r="C19" s="424"/>
      <c r="D19" s="424"/>
      <c r="E19" s="424"/>
      <c r="F19" s="415">
        <f>Dados!$N$7</f>
        <v>30.27</v>
      </c>
      <c r="G19" s="415">
        <f>F19</f>
        <v>30.27</v>
      </c>
      <c r="H19" s="415"/>
      <c r="I19" s="415"/>
      <c r="J19" s="416"/>
    </row>
    <row r="20" spans="1:12" ht="19.5" customHeight="1">
      <c r="A20" s="610" t="s">
        <v>530</v>
      </c>
      <c r="B20" s="610"/>
      <c r="C20" s="424"/>
      <c r="D20" s="424"/>
      <c r="E20" s="424"/>
      <c r="F20" s="415">
        <f>Dados!$G$31</f>
        <v>7.2</v>
      </c>
      <c r="G20" s="415">
        <f>F20</f>
        <v>7.2</v>
      </c>
      <c r="H20" s="415"/>
      <c r="I20" s="415"/>
      <c r="J20" s="416"/>
    </row>
    <row r="21" spans="1:12" ht="23.25" customHeight="1">
      <c r="A21" s="623" t="s">
        <v>531</v>
      </c>
      <c r="B21" s="623"/>
      <c r="C21" s="424"/>
      <c r="D21" s="424"/>
      <c r="E21" s="424"/>
      <c r="F21" s="415">
        <f>Dados!G32</f>
        <v>48.43</v>
      </c>
      <c r="G21" s="415">
        <f>F21</f>
        <v>48.43</v>
      </c>
      <c r="H21" s="415"/>
      <c r="I21" s="415"/>
      <c r="J21" s="416"/>
    </row>
    <row r="22" spans="1:12" ht="19.5" customHeight="1">
      <c r="A22" s="610" t="s">
        <v>221</v>
      </c>
      <c r="B22" s="610"/>
      <c r="C22" s="301">
        <f>Dados!$G$35</f>
        <v>22</v>
      </c>
      <c r="D22" s="301">
        <f>Dados!$G$34</f>
        <v>2</v>
      </c>
      <c r="E22" s="424">
        <f>Dados!$G$33</f>
        <v>5</v>
      </c>
      <c r="F22" s="415">
        <f>IF(ROUND((E22*D22*C22)-(F11*Dados!$G$36),2)&lt;0,0,ROUND((E22*D22*C22)-(F11*Dados!$G$36),2))</f>
        <v>138.63</v>
      </c>
      <c r="G22" s="415">
        <f>F22</f>
        <v>138.63</v>
      </c>
      <c r="H22" s="415"/>
      <c r="I22" s="415">
        <f>F22</f>
        <v>138.63</v>
      </c>
      <c r="J22" s="416"/>
    </row>
    <row r="23" spans="1:12" ht="19.5" customHeight="1">
      <c r="A23" s="610" t="s">
        <v>230</v>
      </c>
      <c r="B23" s="610"/>
      <c r="C23" s="301">
        <f>Dados!$G$38</f>
        <v>22</v>
      </c>
      <c r="D23" s="302">
        <f>Dados!$G$39</f>
        <v>0.2</v>
      </c>
      <c r="E23" s="424">
        <f>Dados!$G$37</f>
        <v>27.24</v>
      </c>
      <c r="F23" s="223">
        <f>ROUND((IF(D11&gt;150,((C23*E23)-(C23*(D23*E23))),0)),2)</f>
        <v>479.42</v>
      </c>
      <c r="G23" s="415">
        <f>F23</f>
        <v>479.42</v>
      </c>
      <c r="H23" s="415">
        <f>$F$23</f>
        <v>479.42</v>
      </c>
      <c r="I23" s="223"/>
      <c r="J23" s="416"/>
    </row>
    <row r="24" spans="1:12" ht="19.5" customHeight="1">
      <c r="A24" s="610" t="s">
        <v>233</v>
      </c>
      <c r="B24" s="610"/>
      <c r="C24" s="301"/>
      <c r="D24" s="301"/>
      <c r="E24" s="424"/>
      <c r="F24" s="223">
        <f>Dados!$G$40</f>
        <v>0</v>
      </c>
      <c r="G24" s="415"/>
      <c r="H24" s="415"/>
      <c r="I24" s="223"/>
      <c r="J24" s="416"/>
    </row>
    <row r="25" spans="1:12" ht="19.5" customHeight="1">
      <c r="A25" s="610" t="s">
        <v>181</v>
      </c>
      <c r="B25" s="610"/>
      <c r="C25" s="301"/>
      <c r="D25" s="301"/>
      <c r="E25" s="424"/>
      <c r="F25" s="223">
        <f>Dados!R7</f>
        <v>3.4750000000000001</v>
      </c>
      <c r="G25" s="415">
        <f>F25</f>
        <v>3.4750000000000001</v>
      </c>
      <c r="H25" s="415"/>
      <c r="I25" s="223"/>
      <c r="J25" s="416"/>
    </row>
    <row r="26" spans="1:12" ht="19.5" customHeight="1">
      <c r="A26" s="610" t="s">
        <v>532</v>
      </c>
      <c r="B26" s="610"/>
      <c r="C26" s="301"/>
      <c r="D26" s="424"/>
      <c r="E26" s="424"/>
      <c r="F26" s="415">
        <f>Dados!$O$7</f>
        <v>588.05999999999995</v>
      </c>
      <c r="G26" s="415"/>
      <c r="H26" s="415"/>
      <c r="I26" s="415"/>
      <c r="J26" s="416"/>
      <c r="L26" s="51"/>
    </row>
    <row r="27" spans="1:12" ht="19.5" customHeight="1">
      <c r="A27" s="425" t="s">
        <v>533</v>
      </c>
      <c r="B27" s="426"/>
      <c r="C27" s="301"/>
      <c r="D27" s="424"/>
      <c r="E27" s="424"/>
      <c r="F27" s="415"/>
      <c r="G27" s="415"/>
      <c r="H27" s="415"/>
      <c r="I27" s="415"/>
      <c r="J27" s="416"/>
    </row>
    <row r="28" spans="1:12" ht="19.5" customHeight="1">
      <c r="A28" s="622" t="s">
        <v>534</v>
      </c>
      <c r="B28" s="622"/>
      <c r="C28" s="303"/>
      <c r="D28" s="427"/>
      <c r="E28" s="427"/>
      <c r="F28" s="418">
        <f>Dados!$S$7</f>
        <v>0</v>
      </c>
      <c r="G28" s="418">
        <f>F28</f>
        <v>0</v>
      </c>
      <c r="H28" s="418"/>
      <c r="I28" s="418"/>
      <c r="J28" s="419"/>
    </row>
    <row r="29" spans="1:12" ht="19.5" customHeight="1">
      <c r="A29" s="617" t="s">
        <v>535</v>
      </c>
      <c r="B29" s="617"/>
      <c r="C29" s="617"/>
      <c r="D29" s="617"/>
      <c r="E29" s="617"/>
      <c r="F29" s="422">
        <f>SUM(F19:F28)</f>
        <v>1295.4850000000001</v>
      </c>
      <c r="G29" s="422">
        <f>SUM(G19:G28)</f>
        <v>707.42500000000007</v>
      </c>
      <c r="H29" s="422">
        <f>SUM(H19:H28)</f>
        <v>479.42</v>
      </c>
      <c r="I29" s="422">
        <f>SUM(I19:I28)</f>
        <v>138.63</v>
      </c>
      <c r="J29" s="423">
        <f>SUM(J19:J28)</f>
        <v>0</v>
      </c>
    </row>
    <row r="30" spans="1:12" ht="19.5" customHeight="1">
      <c r="A30" s="617" t="s">
        <v>536</v>
      </c>
      <c r="B30" s="617"/>
      <c r="C30" s="617"/>
      <c r="D30" s="617"/>
      <c r="E30" s="617"/>
      <c r="F30" s="422">
        <f>F16+F29</f>
        <v>4684.1650000000009</v>
      </c>
      <c r="G30" s="422">
        <f>G16+G29</f>
        <v>4096.1050000000005</v>
      </c>
      <c r="H30" s="422">
        <f>H16+H29</f>
        <v>479.42</v>
      </c>
      <c r="I30" s="422">
        <f>I16+I29</f>
        <v>138.63</v>
      </c>
      <c r="J30" s="423">
        <f>J16+J29</f>
        <v>996.31000000000006</v>
      </c>
    </row>
    <row r="31" spans="1:12" ht="19.5" customHeight="1">
      <c r="A31" s="618" t="s">
        <v>537</v>
      </c>
      <c r="B31" s="618"/>
      <c r="C31" s="618"/>
      <c r="D31" s="618"/>
      <c r="E31" s="618"/>
      <c r="F31" s="618"/>
      <c r="G31" s="618"/>
      <c r="H31" s="618"/>
      <c r="I31" s="618"/>
      <c r="J31" s="618"/>
    </row>
    <row r="32" spans="1:12" ht="19.5" customHeight="1">
      <c r="A32" s="619" t="s">
        <v>538</v>
      </c>
      <c r="B32" s="619"/>
      <c r="C32" s="619"/>
      <c r="D32" s="73" t="s">
        <v>539</v>
      </c>
      <c r="E32" s="620" t="s">
        <v>371</v>
      </c>
      <c r="F32" s="620"/>
      <c r="G32" s="620"/>
      <c r="H32" s="620"/>
      <c r="I32" s="620"/>
      <c r="J32" s="620"/>
    </row>
    <row r="33" spans="1:12" ht="19.5" customHeight="1">
      <c r="A33" s="428" t="s">
        <v>540</v>
      </c>
      <c r="B33" s="429"/>
      <c r="C33" s="429"/>
      <c r="D33" s="430">
        <f>Dados!$G$44</f>
        <v>0.03</v>
      </c>
      <c r="E33" s="431"/>
      <c r="F33" s="415">
        <f>ROUND((F30*$D$33),2)</f>
        <v>140.52000000000001</v>
      </c>
      <c r="G33" s="415">
        <f>ROUND((G30*$D$33),2)</f>
        <v>122.88</v>
      </c>
      <c r="H33" s="415">
        <f>ROUND((H30*$D$33),2)</f>
        <v>14.38</v>
      </c>
      <c r="I33" s="415">
        <f>ROUND((I30*$D$33),2)</f>
        <v>4.16</v>
      </c>
      <c r="J33" s="416">
        <f>ROUND((J30*$D$33),2)</f>
        <v>29.89</v>
      </c>
    </row>
    <row r="34" spans="1:12" ht="19.5" customHeight="1">
      <c r="A34" s="621" t="s">
        <v>541</v>
      </c>
      <c r="B34" s="621"/>
      <c r="C34" s="621"/>
      <c r="D34" s="430"/>
      <c r="E34" s="431"/>
      <c r="F34" s="415">
        <f>F30+F33</f>
        <v>4824.6850000000013</v>
      </c>
      <c r="G34" s="415">
        <f>G30+G33</f>
        <v>4218.9850000000006</v>
      </c>
      <c r="H34" s="415">
        <f>H30+H33</f>
        <v>493.8</v>
      </c>
      <c r="I34" s="415">
        <f>I30+I33</f>
        <v>142.79</v>
      </c>
      <c r="J34" s="416">
        <f>J30+J33</f>
        <v>1026.2</v>
      </c>
    </row>
    <row r="35" spans="1:12" ht="19.5" customHeight="1">
      <c r="A35" s="432" t="s">
        <v>238</v>
      </c>
      <c r="B35" s="433"/>
      <c r="C35" s="433"/>
      <c r="D35" s="434">
        <f>Dados!$G$45</f>
        <v>6.7900000000000002E-2</v>
      </c>
      <c r="E35" s="435"/>
      <c r="F35" s="418">
        <f>ROUND((F34*$D$35),2)</f>
        <v>327.60000000000002</v>
      </c>
      <c r="G35" s="418">
        <f>ROUND((G34*$D$35),2)</f>
        <v>286.47000000000003</v>
      </c>
      <c r="H35" s="418">
        <f>ROUND((H34*$D$35),2)</f>
        <v>33.53</v>
      </c>
      <c r="I35" s="418">
        <f>ROUND((I34*$D$35),2)</f>
        <v>9.6999999999999993</v>
      </c>
      <c r="J35" s="419">
        <f>ROUND((J34*$D$35),2)</f>
        <v>69.680000000000007</v>
      </c>
    </row>
    <row r="36" spans="1:12" ht="19.5" customHeight="1">
      <c r="A36" s="436" t="s">
        <v>542</v>
      </c>
      <c r="B36" s="437"/>
      <c r="C36" s="437"/>
      <c r="D36" s="438">
        <f>SUM(D33:D35)</f>
        <v>9.7900000000000001E-2</v>
      </c>
      <c r="E36" s="439"/>
      <c r="F36" s="422">
        <f>F33+F35</f>
        <v>468.12</v>
      </c>
      <c r="G36" s="422">
        <f>G33+G35</f>
        <v>409.35</v>
      </c>
      <c r="H36" s="422">
        <f>H33+H35</f>
        <v>47.910000000000004</v>
      </c>
      <c r="I36" s="422">
        <f>I33+I35</f>
        <v>13.86</v>
      </c>
      <c r="J36" s="423">
        <f>J33+J35</f>
        <v>99.570000000000007</v>
      </c>
    </row>
    <row r="37" spans="1:12" ht="19.5" customHeight="1">
      <c r="A37" s="615" t="s">
        <v>543</v>
      </c>
      <c r="B37" s="615"/>
      <c r="C37" s="615"/>
      <c r="D37" s="615"/>
      <c r="E37" s="615"/>
      <c r="F37" s="440">
        <f>F30+F36</f>
        <v>5152.2850000000008</v>
      </c>
      <c r="G37" s="440">
        <f>G30+G36</f>
        <v>4505.4550000000008</v>
      </c>
      <c r="H37" s="440">
        <f>H30+H36</f>
        <v>527.33000000000004</v>
      </c>
      <c r="I37" s="440">
        <f>I30+I36</f>
        <v>152.49</v>
      </c>
      <c r="J37" s="441">
        <f>J30+J36</f>
        <v>1095.8800000000001</v>
      </c>
    </row>
    <row r="38" spans="1:12" ht="19.5" customHeight="1">
      <c r="A38" s="616" t="s">
        <v>544</v>
      </c>
      <c r="B38" s="616"/>
      <c r="C38" s="616"/>
      <c r="D38" s="616"/>
      <c r="E38" s="616"/>
      <c r="F38" s="616"/>
      <c r="G38" s="616"/>
      <c r="H38" s="616"/>
      <c r="I38" s="616"/>
      <c r="J38" s="616"/>
    </row>
    <row r="39" spans="1:12" ht="19.5" customHeight="1">
      <c r="A39" s="610" t="s">
        <v>244</v>
      </c>
      <c r="B39" s="610"/>
      <c r="C39" s="610"/>
      <c r="D39" s="430">
        <f>Dados!G52</f>
        <v>7.5999999999999998E-2</v>
      </c>
      <c r="E39" s="415"/>
      <c r="F39" s="415">
        <f>ROUND(($F$45*D39),2)</f>
        <v>446.24</v>
      </c>
      <c r="G39" s="415">
        <f>ROUND((G45*$D$39),2)</f>
        <v>390.22</v>
      </c>
      <c r="H39" s="415">
        <f>ROUND((H45*$D$39),2)</f>
        <v>45.67</v>
      </c>
      <c r="I39" s="415">
        <f>ROUND((I45*$D$39),2)</f>
        <v>13.21</v>
      </c>
      <c r="J39" s="416">
        <f>ROUND((J45*$D$39),2)</f>
        <v>94.91</v>
      </c>
    </row>
    <row r="40" spans="1:12" ht="19.5" customHeight="1">
      <c r="A40" s="610" t="s">
        <v>246</v>
      </c>
      <c r="B40" s="610"/>
      <c r="C40" s="610"/>
      <c r="D40" s="430">
        <f>Dados!G53</f>
        <v>1.6500000000000001E-2</v>
      </c>
      <c r="E40" s="415"/>
      <c r="F40" s="415">
        <f>ROUND((F45*$D$40),2)</f>
        <v>96.88</v>
      </c>
      <c r="G40" s="415">
        <f>ROUND((G45*$D$40),2)</f>
        <v>84.72</v>
      </c>
      <c r="H40" s="415">
        <f>ROUND((H45*$D$40),2)</f>
        <v>9.92</v>
      </c>
      <c r="I40" s="415">
        <f>ROUND((I45*$D$40),2)</f>
        <v>2.87</v>
      </c>
      <c r="J40" s="416">
        <f>ROUND((J45*$D$40),2)</f>
        <v>20.61</v>
      </c>
    </row>
    <row r="41" spans="1:12" ht="19.5" customHeight="1">
      <c r="A41" s="610" t="s">
        <v>247</v>
      </c>
      <c r="B41" s="610"/>
      <c r="C41" s="610"/>
      <c r="D41" s="430">
        <f>Dados!G54</f>
        <v>0.03</v>
      </c>
      <c r="E41" s="415"/>
      <c r="F41" s="415">
        <f>ROUND((F45*$D$41),2)</f>
        <v>176.15</v>
      </c>
      <c r="G41" s="415">
        <f>ROUND((G45*$D$41),2)</f>
        <v>154.03</v>
      </c>
      <c r="H41" s="415">
        <f>ROUND((H45*$D$41),2)</f>
        <v>18.03</v>
      </c>
      <c r="I41" s="415">
        <f>ROUND((I45*$D$41),2)</f>
        <v>5.21</v>
      </c>
      <c r="J41" s="416">
        <f>ROUND((J45*$D$41),2)</f>
        <v>37.47</v>
      </c>
    </row>
    <row r="42" spans="1:12" ht="19.5" customHeight="1">
      <c r="A42" s="610" t="s">
        <v>233</v>
      </c>
      <c r="B42" s="610"/>
      <c r="C42" s="610"/>
      <c r="D42" s="430">
        <f>Dados!G55</f>
        <v>0</v>
      </c>
      <c r="E42" s="415"/>
      <c r="F42" s="415">
        <f>ROUND((F45*$D$42),2)</f>
        <v>0</v>
      </c>
      <c r="G42" s="415">
        <f>ROUND((G45*$D$42),2)</f>
        <v>0</v>
      </c>
      <c r="H42" s="415">
        <f>ROUND((H45*$D$42),2)</f>
        <v>0</v>
      </c>
      <c r="I42" s="415">
        <f>ROUND((I45*$D$42),2)</f>
        <v>0</v>
      </c>
      <c r="J42" s="416">
        <f>ROUND((J45*$D$42),2)</f>
        <v>0</v>
      </c>
    </row>
    <row r="43" spans="1:12" ht="19.5" customHeight="1">
      <c r="A43" s="611" t="s">
        <v>545</v>
      </c>
      <c r="B43" s="611"/>
      <c r="C43" s="611"/>
      <c r="D43" s="442">
        <f>SUM(D39:D42)</f>
        <v>0.1225</v>
      </c>
      <c r="E43" s="443"/>
      <c r="F43" s="444">
        <f>SUM(F39:F42)</f>
        <v>719.27</v>
      </c>
      <c r="G43" s="444">
        <f>SUM(G39:G42)</f>
        <v>628.97</v>
      </c>
      <c r="H43" s="444">
        <f>SUM(H39:H42)</f>
        <v>73.62</v>
      </c>
      <c r="I43" s="444">
        <f>SUM(I39:I42)</f>
        <v>21.290000000000003</v>
      </c>
      <c r="J43" s="445">
        <f>SUM(J39:J41)</f>
        <v>152.99</v>
      </c>
    </row>
    <row r="44" spans="1:12" ht="19.5" customHeight="1">
      <c r="A44" s="612" t="str">
        <f>CONCATENATE("Custo Mensal - ",A7)</f>
        <v>Custo Mensal - Servente de Limpeza 40% Insalubridade</v>
      </c>
      <c r="B44" s="612"/>
      <c r="C44" s="612"/>
      <c r="D44" s="612"/>
      <c r="E44" s="612"/>
      <c r="F44" s="446">
        <f>ROUND(F37/(1-D43),2)</f>
        <v>5871.55</v>
      </c>
      <c r="G44" s="446">
        <f>ROUND(G37/(1-D43),2)</f>
        <v>5134.42</v>
      </c>
      <c r="H44" s="446">
        <f>ROUND(H37/(1-D43),2)</f>
        <v>600.95000000000005</v>
      </c>
      <c r="I44" s="446">
        <f>ROUND(I37/(1-D43),2)</f>
        <v>173.78</v>
      </c>
      <c r="J44" s="447">
        <f>ROUND(J37/(1-D43),2)</f>
        <v>1248.8699999999999</v>
      </c>
    </row>
    <row r="45" spans="1:12" ht="19.5" customHeight="1">
      <c r="A45" s="613" t="str">
        <f>CONCATENATE("Valor do Custo Mensal - ",A7)</f>
        <v>Valor do Custo Mensal - Servente de Limpeza 40% Insalubridade</v>
      </c>
      <c r="B45" s="613"/>
      <c r="C45" s="613"/>
      <c r="D45" s="613"/>
      <c r="E45" s="613"/>
      <c r="F45" s="446">
        <f>F44</f>
        <v>5871.55</v>
      </c>
      <c r="G45" s="446">
        <f>G44</f>
        <v>5134.42</v>
      </c>
      <c r="H45" s="446">
        <f>H44</f>
        <v>600.95000000000005</v>
      </c>
      <c r="I45" s="446">
        <f>I44</f>
        <v>173.78</v>
      </c>
      <c r="J45" s="447">
        <f>J44</f>
        <v>1248.8699999999999</v>
      </c>
      <c r="K45" s="304"/>
      <c r="L45" s="304"/>
    </row>
    <row r="46" spans="1:12" ht="27.75" customHeight="1">
      <c r="A46" s="614" t="s">
        <v>546</v>
      </c>
      <c r="B46" s="614"/>
      <c r="C46" s="614"/>
      <c r="D46" s="614"/>
      <c r="E46" s="614"/>
      <c r="F46" s="448">
        <f>(F45/F14)</f>
        <v>3.0564752058802096</v>
      </c>
      <c r="G46" s="448">
        <f>(G45/G14)</f>
        <v>2.6727571810808843</v>
      </c>
      <c r="H46" s="609" t="s">
        <v>547</v>
      </c>
      <c r="I46" s="609"/>
      <c r="J46" s="305">
        <f>ROUND((J45/30),2)</f>
        <v>41.63</v>
      </c>
    </row>
    <row r="47" spans="1:12" ht="19.5" customHeight="1"/>
  </sheetData>
  <sheetProtection algorithmName="SHA-512" hashValue="tp5hYFr7EqD+5Jpo9uG2Fp9oW46d0KWoNjEESUwWmyhrQx6CV4TZlVysqTSst4yf0VVHV8n6uO+u/F27SDRAIg==" saltValue="9aL6ijn18xGuNXXSSq0+Zw==" spinCount="100000"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sheetPr>
    <tabColor theme="0" tint="-0.14999847407452621"/>
    <pageSetUpPr fitToPage="1"/>
  </sheetPr>
  <dimension ref="A1:AMK47"/>
  <sheetViews>
    <sheetView showGridLines="0" zoomScaleNormal="100" zoomScaleSheetLayoutView="100" zoomScalePageLayoutView="140" workbookViewId="0">
      <selection activeCell="F26" sqref="F26"/>
    </sheetView>
  </sheetViews>
  <sheetFormatPr defaultColWidth="8.6640625" defaultRowHeight="14.4"/>
  <cols>
    <col min="1" max="1" width="10.5546875" style="62" customWidth="1"/>
    <col min="2" max="2" width="27.6640625" style="62" customWidth="1"/>
    <col min="3" max="3" width="14.44140625" style="62" customWidth="1"/>
    <col min="4" max="5" width="15" style="62" customWidth="1"/>
    <col min="6" max="6" width="16.6640625" style="291" customWidth="1"/>
    <col min="7" max="8" width="13.109375" style="291" customWidth="1"/>
    <col min="9" max="10" width="12.5546875" style="291" customWidth="1"/>
    <col min="11" max="257" width="9.109375" style="62" customWidth="1"/>
    <col min="258" max="258" width="10.5546875" style="62" customWidth="1"/>
    <col min="259" max="259" width="27.6640625" style="62" customWidth="1"/>
    <col min="260" max="260" width="14.44140625" style="62" customWidth="1"/>
    <col min="261" max="262" width="15" style="62" customWidth="1"/>
    <col min="263" max="263" width="16.6640625" style="62" customWidth="1"/>
    <col min="264" max="264" width="13.109375" style="62" customWidth="1"/>
    <col min="265" max="266" width="12.5546875" style="62" customWidth="1"/>
    <col min="267" max="513" width="9.109375" style="62" customWidth="1"/>
    <col min="514" max="514" width="10.5546875" style="62" customWidth="1"/>
    <col min="515" max="515" width="27.6640625" style="62" customWidth="1"/>
    <col min="516" max="516" width="14.44140625" style="62" customWidth="1"/>
    <col min="517" max="518" width="15" style="62" customWidth="1"/>
    <col min="519" max="519" width="16.6640625" style="62" customWidth="1"/>
    <col min="520" max="520" width="13.109375" style="62" customWidth="1"/>
    <col min="521" max="522" width="12.5546875" style="62" customWidth="1"/>
    <col min="523" max="769" width="9.109375" style="62" customWidth="1"/>
    <col min="770" max="770" width="10.5546875" style="62" customWidth="1"/>
    <col min="771" max="771" width="27.6640625" style="62" customWidth="1"/>
    <col min="772" max="772" width="14.44140625" style="62" customWidth="1"/>
    <col min="773" max="774" width="15" style="62" customWidth="1"/>
    <col min="775" max="775" width="16.6640625" style="62" customWidth="1"/>
    <col min="776" max="776" width="13.109375" style="62" customWidth="1"/>
    <col min="777" max="778" width="12.5546875" style="62" customWidth="1"/>
    <col min="779" max="1025" width="9.109375" style="62" customWidth="1"/>
  </cols>
  <sheetData>
    <row r="1" spans="1:10">
      <c r="A1" s="292"/>
      <c r="B1" s="89" t="str">
        <f>INSTRUÇÕES!B1</f>
        <v>Tribunal Regional Federal da 6ª Região</v>
      </c>
      <c r="C1" s="293"/>
      <c r="D1" s="293"/>
      <c r="E1" s="293"/>
      <c r="F1" s="294"/>
      <c r="G1" s="295"/>
      <c r="H1" s="295"/>
      <c r="I1" s="294"/>
      <c r="J1" s="296"/>
    </row>
    <row r="2" spans="1:10">
      <c r="A2" s="297"/>
      <c r="B2" s="91" t="str">
        <f>INSTRUÇÕES!B2</f>
        <v>Seção Judiciária de Minas Gerais</v>
      </c>
      <c r="C2" s="51"/>
      <c r="D2" s="51"/>
      <c r="E2" s="51"/>
      <c r="F2" s="298"/>
      <c r="I2" s="298"/>
      <c r="J2" s="299"/>
    </row>
    <row r="3" spans="1:10">
      <c r="A3" s="153"/>
      <c r="B3" s="300" t="str">
        <f>INSTRUÇÕES!B3</f>
        <v>Subseção Judiciária de Varginha</v>
      </c>
      <c r="C3" s="51"/>
      <c r="D3" s="51"/>
      <c r="E3" s="51"/>
      <c r="F3" s="298"/>
      <c r="I3" s="298"/>
      <c r="J3" s="299"/>
    </row>
    <row r="4" spans="1:10" ht="19.5" customHeight="1">
      <c r="A4" s="633" t="s">
        <v>510</v>
      </c>
      <c r="B4" s="633"/>
      <c r="C4" s="633"/>
      <c r="D4" s="633"/>
      <c r="E4" s="633"/>
      <c r="F4" s="633"/>
      <c r="G4" s="633"/>
      <c r="H4" s="633"/>
      <c r="I4" s="633"/>
      <c r="J4" s="633"/>
    </row>
    <row r="5" spans="1:10" ht="19.5" customHeight="1">
      <c r="A5" s="634" t="s">
        <v>290</v>
      </c>
      <c r="B5" s="634"/>
      <c r="C5" s="634"/>
      <c r="D5" s="634"/>
      <c r="E5" s="634"/>
      <c r="F5" s="634"/>
      <c r="G5" s="634"/>
      <c r="H5" s="634"/>
      <c r="I5" s="634"/>
      <c r="J5" s="634"/>
    </row>
    <row r="6" spans="1:10" ht="36" customHeight="1">
      <c r="A6" s="635" t="str">
        <f>Dados!A4</f>
        <v>Sindicato utilizado - SEAC x SIEAP. Vigência: 2024. Sendo a data base da categoria 01° de Janeiro. Com número de registro no MTE MG000705/2024.</v>
      </c>
      <c r="B6" s="635"/>
      <c r="C6" s="635"/>
      <c r="D6" s="635"/>
      <c r="E6" s="635"/>
      <c r="F6" s="635"/>
      <c r="G6" s="635"/>
      <c r="H6" s="635"/>
      <c r="I6" s="635"/>
      <c r="J6" s="635"/>
    </row>
    <row r="7" spans="1:10" ht="19.5" customHeight="1">
      <c r="A7" s="636" t="str">
        <f>Dados!C8</f>
        <v xml:space="preserve">Servente de Limpeza  </v>
      </c>
      <c r="B7" s="636"/>
      <c r="C7" s="636"/>
      <c r="D7" s="636"/>
      <c r="E7" s="636"/>
      <c r="F7" s="637" t="s">
        <v>511</v>
      </c>
      <c r="G7" s="637" t="s">
        <v>512</v>
      </c>
      <c r="H7" s="637" t="s">
        <v>513</v>
      </c>
      <c r="I7" s="637" t="s">
        <v>514</v>
      </c>
      <c r="J7" s="637" t="s">
        <v>515</v>
      </c>
    </row>
    <row r="8" spans="1:10" ht="19.5" customHeight="1">
      <c r="A8" s="638" t="s">
        <v>516</v>
      </c>
      <c r="B8" s="638"/>
      <c r="C8" s="638"/>
      <c r="D8" s="638"/>
      <c r="E8" s="411" t="s">
        <v>367</v>
      </c>
      <c r="F8" s="637"/>
      <c r="G8" s="637"/>
      <c r="H8" s="637"/>
      <c r="I8" s="637"/>
      <c r="J8" s="637"/>
    </row>
    <row r="9" spans="1:10" ht="19.5" customHeight="1">
      <c r="A9" s="618" t="s">
        <v>517</v>
      </c>
      <c r="B9" s="618"/>
      <c r="C9" s="618"/>
      <c r="D9" s="618"/>
      <c r="E9" s="618"/>
      <c r="F9" s="618"/>
      <c r="G9" s="618"/>
      <c r="H9" s="618"/>
      <c r="I9" s="618"/>
      <c r="J9" s="618"/>
    </row>
    <row r="10" spans="1:10" ht="24" customHeight="1">
      <c r="A10" s="158" t="s">
        <v>368</v>
      </c>
      <c r="B10" s="628" t="s">
        <v>518</v>
      </c>
      <c r="C10" s="628"/>
      <c r="D10" s="412" t="s">
        <v>519</v>
      </c>
      <c r="E10" s="413" t="s">
        <v>520</v>
      </c>
      <c r="F10" s="629" t="s">
        <v>371</v>
      </c>
      <c r="G10" s="629"/>
      <c r="H10" s="629"/>
      <c r="I10" s="629"/>
      <c r="J10" s="629"/>
    </row>
    <row r="11" spans="1:10" ht="19.5" customHeight="1">
      <c r="A11" s="630">
        <v>1</v>
      </c>
      <c r="B11" s="518" t="str">
        <f>A7</f>
        <v xml:space="preserve">Servente de Limpeza  </v>
      </c>
      <c r="C11" s="518"/>
      <c r="D11" s="28">
        <f>Dados!D8</f>
        <v>200</v>
      </c>
      <c r="E11" s="414">
        <f>Dados!E8</f>
        <v>1491.84</v>
      </c>
      <c r="F11" s="415">
        <f>ROUND(E11/220*D11,2)</f>
        <v>1356.22</v>
      </c>
      <c r="G11" s="415">
        <f>F11</f>
        <v>1356.22</v>
      </c>
      <c r="H11" s="415"/>
      <c r="I11" s="415"/>
      <c r="J11" s="416"/>
    </row>
    <row r="12" spans="1:10" ht="19.5" customHeight="1">
      <c r="A12" s="630"/>
      <c r="B12" s="518" t="s">
        <v>521</v>
      </c>
      <c r="C12" s="518"/>
      <c r="D12" s="452">
        <f>Dados!G8</f>
        <v>0</v>
      </c>
      <c r="E12" s="414">
        <f>Dados!G28</f>
        <v>1412</v>
      </c>
      <c r="F12" s="415">
        <f>D12*E12</f>
        <v>0</v>
      </c>
      <c r="G12" s="415">
        <f>F12</f>
        <v>0</v>
      </c>
      <c r="H12" s="415"/>
      <c r="I12" s="415"/>
      <c r="J12" s="416">
        <f>F12</f>
        <v>0</v>
      </c>
    </row>
    <row r="13" spans="1:10" ht="21" customHeight="1">
      <c r="A13" s="630"/>
      <c r="B13" s="449" t="s">
        <v>522</v>
      </c>
      <c r="C13" s="450">
        <f>Dados!I8</f>
        <v>0</v>
      </c>
      <c r="D13" s="450">
        <f>Dados!J8</f>
        <v>0</v>
      </c>
      <c r="E13" s="417">
        <f>Dados!K8</f>
        <v>0</v>
      </c>
      <c r="F13" s="418">
        <f>ROUND((E13*D13*C13),2)</f>
        <v>0</v>
      </c>
      <c r="G13" s="418">
        <f>F13</f>
        <v>0</v>
      </c>
      <c r="H13" s="418"/>
      <c r="I13" s="418"/>
      <c r="J13" s="419"/>
    </row>
    <row r="14" spans="1:10" ht="19.5" customHeight="1">
      <c r="A14" s="630"/>
      <c r="B14" s="631" t="s">
        <v>523</v>
      </c>
      <c r="C14" s="631"/>
      <c r="D14" s="631"/>
      <c r="E14" s="631"/>
      <c r="F14" s="420">
        <f>SUM(F11:F13)</f>
        <v>1356.22</v>
      </c>
      <c r="G14" s="420">
        <f>SUM(G11:G13)</f>
        <v>1356.22</v>
      </c>
      <c r="H14" s="420">
        <f>SUM(H11:H13)</f>
        <v>0</v>
      </c>
      <c r="I14" s="420">
        <f>SUM(I11:I13)</f>
        <v>0</v>
      </c>
      <c r="J14" s="421">
        <f>SUM(J11:J13)</f>
        <v>0</v>
      </c>
    </row>
    <row r="15" spans="1:10" ht="19.5" customHeight="1">
      <c r="A15" s="630"/>
      <c r="B15" s="632" t="s">
        <v>524</v>
      </c>
      <c r="C15" s="632"/>
      <c r="D15" s="632"/>
      <c r="E15" s="451">
        <f>Encargos!$C$57</f>
        <v>0.76400000000000001</v>
      </c>
      <c r="F15" s="415">
        <f>ROUND((E15*F14),2)</f>
        <v>1036.1500000000001</v>
      </c>
      <c r="G15" s="415">
        <f>F15</f>
        <v>1036.1500000000001</v>
      </c>
      <c r="H15" s="415"/>
      <c r="I15" s="415"/>
      <c r="J15" s="416">
        <f>ROUND((E15*J14),2)</f>
        <v>0</v>
      </c>
    </row>
    <row r="16" spans="1:10" ht="19.5" customHeight="1">
      <c r="A16" s="624" t="s">
        <v>525</v>
      </c>
      <c r="B16" s="624"/>
      <c r="C16" s="624"/>
      <c r="D16" s="624"/>
      <c r="E16" s="624"/>
      <c r="F16" s="422">
        <f>SUM(F14:F15)</f>
        <v>2392.37</v>
      </c>
      <c r="G16" s="422">
        <f>SUM(G14:G15)</f>
        <v>2392.37</v>
      </c>
      <c r="H16" s="422">
        <f>SUM(H14:H15)</f>
        <v>0</v>
      </c>
      <c r="I16" s="422">
        <f>SUM(I14:I15)</f>
        <v>0</v>
      </c>
      <c r="J16" s="423">
        <f>SUM(J14:J15)</f>
        <v>0</v>
      </c>
    </row>
    <row r="17" spans="1:12" ht="19.5" customHeight="1">
      <c r="A17" s="625" t="s">
        <v>526</v>
      </c>
      <c r="B17" s="625"/>
      <c r="C17" s="625"/>
      <c r="D17" s="625"/>
      <c r="E17" s="625"/>
      <c r="F17" s="625"/>
      <c r="G17" s="625"/>
      <c r="H17" s="625"/>
      <c r="I17" s="625"/>
      <c r="J17" s="625"/>
    </row>
    <row r="18" spans="1:12" ht="19.5" customHeight="1">
      <c r="A18" s="619" t="s">
        <v>527</v>
      </c>
      <c r="B18" s="619"/>
      <c r="C18" s="39" t="s">
        <v>370</v>
      </c>
      <c r="D18" s="626" t="s">
        <v>548</v>
      </c>
      <c r="E18" s="626"/>
      <c r="F18" s="627" t="s">
        <v>371</v>
      </c>
      <c r="G18" s="627"/>
      <c r="H18" s="627"/>
      <c r="I18" s="627"/>
      <c r="J18" s="627"/>
    </row>
    <row r="19" spans="1:12" ht="19.5" customHeight="1">
      <c r="A19" s="610" t="s">
        <v>529</v>
      </c>
      <c r="B19" s="610"/>
      <c r="C19" s="424"/>
      <c r="D19" s="424"/>
      <c r="E19" s="424"/>
      <c r="F19" s="415">
        <f>Dados!$N$8</f>
        <v>30.27</v>
      </c>
      <c r="G19" s="415">
        <f t="shared" ref="G19:G24" si="0">F19</f>
        <v>30.27</v>
      </c>
      <c r="H19" s="415"/>
      <c r="I19" s="415"/>
      <c r="J19" s="416"/>
    </row>
    <row r="20" spans="1:12" ht="19.5" customHeight="1">
      <c r="A20" s="610" t="s">
        <v>530</v>
      </c>
      <c r="B20" s="610"/>
      <c r="C20" s="424"/>
      <c r="D20" s="424"/>
      <c r="E20" s="424"/>
      <c r="F20" s="415">
        <f>Dados!$G$31</f>
        <v>7.2</v>
      </c>
      <c r="G20" s="415">
        <f t="shared" si="0"/>
        <v>7.2</v>
      </c>
      <c r="H20" s="415"/>
      <c r="I20" s="415"/>
      <c r="J20" s="416"/>
    </row>
    <row r="21" spans="1:12" ht="23.25" customHeight="1">
      <c r="A21" s="623" t="s">
        <v>531</v>
      </c>
      <c r="B21" s="623"/>
      <c r="C21" s="424"/>
      <c r="D21" s="424"/>
      <c r="E21" s="424"/>
      <c r="F21" s="415">
        <f>Dados!G32</f>
        <v>48.43</v>
      </c>
      <c r="G21" s="415">
        <f t="shared" si="0"/>
        <v>48.43</v>
      </c>
      <c r="H21" s="415"/>
      <c r="I21" s="415"/>
      <c r="J21" s="416"/>
    </row>
    <row r="22" spans="1:12" ht="19.5" customHeight="1">
      <c r="A22" s="610" t="s">
        <v>221</v>
      </c>
      <c r="B22" s="610"/>
      <c r="C22" s="301">
        <f>Dados!$G$35</f>
        <v>22</v>
      </c>
      <c r="D22" s="301">
        <f>Dados!$G$34</f>
        <v>2</v>
      </c>
      <c r="E22" s="424">
        <f>Dados!$G$33</f>
        <v>5</v>
      </c>
      <c r="F22" s="415">
        <f>IF(ROUND((E22*D22*C22)-(F11*Dados!$G$36),2)&lt;0,0,ROUND((E22*D22*C22)-(F11*Dados!$G$36),2))</f>
        <v>138.63</v>
      </c>
      <c r="G22" s="415">
        <f t="shared" si="0"/>
        <v>138.63</v>
      </c>
      <c r="H22" s="415"/>
      <c r="I22" s="415">
        <f>F22</f>
        <v>138.63</v>
      </c>
      <c r="J22" s="416"/>
    </row>
    <row r="23" spans="1:12" ht="19.5" customHeight="1">
      <c r="A23" s="610" t="s">
        <v>230</v>
      </c>
      <c r="B23" s="610"/>
      <c r="C23" s="301">
        <f>Dados!G38</f>
        <v>22</v>
      </c>
      <c r="D23" s="302">
        <f>Dados!G39</f>
        <v>0.2</v>
      </c>
      <c r="E23" s="424">
        <f>Dados!$G$37</f>
        <v>27.24</v>
      </c>
      <c r="F23" s="223">
        <f>ROUND((IF(D11&gt;150,((C23*E23)-(C23*(D23*E23))),0)),2)</f>
        <v>479.42</v>
      </c>
      <c r="G23" s="415">
        <f t="shared" si="0"/>
        <v>479.42</v>
      </c>
      <c r="H23" s="415">
        <f>$F$23</f>
        <v>479.42</v>
      </c>
      <c r="I23" s="223"/>
      <c r="J23" s="416"/>
    </row>
    <row r="24" spans="1:12" ht="19.5" customHeight="1">
      <c r="A24" s="610" t="s">
        <v>181</v>
      </c>
      <c r="B24" s="610"/>
      <c r="C24" s="301"/>
      <c r="D24" s="301"/>
      <c r="E24" s="424"/>
      <c r="F24" s="223">
        <f>Dados!R8</f>
        <v>3.4750000000000001</v>
      </c>
      <c r="G24" s="415">
        <f t="shared" si="0"/>
        <v>3.4750000000000001</v>
      </c>
      <c r="H24" s="415"/>
      <c r="I24" s="223"/>
      <c r="J24" s="416"/>
    </row>
    <row r="25" spans="1:12" ht="19.5" customHeight="1">
      <c r="A25" s="610" t="s">
        <v>233</v>
      </c>
      <c r="B25" s="610"/>
      <c r="C25" s="301"/>
      <c r="D25" s="301"/>
      <c r="E25" s="424"/>
      <c r="F25" s="223">
        <f>Dados!$G$41</f>
        <v>0</v>
      </c>
      <c r="G25" s="415"/>
      <c r="H25" s="415"/>
      <c r="I25" s="223"/>
      <c r="J25" s="416"/>
    </row>
    <row r="26" spans="1:12" ht="19.5" customHeight="1">
      <c r="A26" s="610" t="s">
        <v>532</v>
      </c>
      <c r="B26" s="610"/>
      <c r="C26" s="301"/>
      <c r="D26" s="424"/>
      <c r="E26" s="424"/>
      <c r="F26" s="415">
        <f>Dados!$O$8</f>
        <v>588.05999999999995</v>
      </c>
      <c r="G26" s="415"/>
      <c r="H26" s="415"/>
      <c r="I26" s="415"/>
      <c r="J26" s="416"/>
      <c r="L26" s="51"/>
    </row>
    <row r="27" spans="1:12" ht="19.5" customHeight="1">
      <c r="A27" s="425" t="s">
        <v>533</v>
      </c>
      <c r="B27" s="426"/>
      <c r="C27" s="301"/>
      <c r="D27" s="424"/>
      <c r="E27" s="424"/>
      <c r="F27" s="415"/>
      <c r="G27" s="415"/>
      <c r="H27" s="415"/>
      <c r="I27" s="415"/>
      <c r="J27" s="416"/>
    </row>
    <row r="28" spans="1:12" ht="19.5" customHeight="1">
      <c r="A28" s="622" t="s">
        <v>534</v>
      </c>
      <c r="B28" s="622"/>
      <c r="C28" s="303"/>
      <c r="D28" s="427"/>
      <c r="E28" s="427"/>
      <c r="F28" s="418">
        <f>Dados!$S$8</f>
        <v>0</v>
      </c>
      <c r="G28" s="418">
        <f>F28</f>
        <v>0</v>
      </c>
      <c r="H28" s="418"/>
      <c r="I28" s="418"/>
      <c r="J28" s="419"/>
    </row>
    <row r="29" spans="1:12" ht="19.5" customHeight="1">
      <c r="A29" s="617" t="s">
        <v>535</v>
      </c>
      <c r="B29" s="617"/>
      <c r="C29" s="617"/>
      <c r="D29" s="617"/>
      <c r="E29" s="617"/>
      <c r="F29" s="422">
        <f>SUM(F19:F28)</f>
        <v>1295.4850000000001</v>
      </c>
      <c r="G29" s="422">
        <f>SUM(G19:G28)</f>
        <v>707.42500000000007</v>
      </c>
      <c r="H29" s="422">
        <f>SUM(H19:H28)</f>
        <v>479.42</v>
      </c>
      <c r="I29" s="422">
        <f>SUM(I19:I28)</f>
        <v>138.63</v>
      </c>
      <c r="J29" s="423">
        <f>SUM(J19:J28)</f>
        <v>0</v>
      </c>
    </row>
    <row r="30" spans="1:12" ht="19.5" customHeight="1">
      <c r="A30" s="617" t="s">
        <v>536</v>
      </c>
      <c r="B30" s="617"/>
      <c r="C30" s="617"/>
      <c r="D30" s="617"/>
      <c r="E30" s="617"/>
      <c r="F30" s="422">
        <f>F16+F29</f>
        <v>3687.855</v>
      </c>
      <c r="G30" s="422">
        <f>G16+G29</f>
        <v>3099.7950000000001</v>
      </c>
      <c r="H30" s="422">
        <f>H16+H29</f>
        <v>479.42</v>
      </c>
      <c r="I30" s="422">
        <f>I16+I29</f>
        <v>138.63</v>
      </c>
      <c r="J30" s="423">
        <f>J16+J29</f>
        <v>0</v>
      </c>
    </row>
    <row r="31" spans="1:12" ht="19.5" customHeight="1">
      <c r="A31" s="618" t="s">
        <v>537</v>
      </c>
      <c r="B31" s="618"/>
      <c r="C31" s="618"/>
      <c r="D31" s="618"/>
      <c r="E31" s="618"/>
      <c r="F31" s="618"/>
      <c r="G31" s="618"/>
      <c r="H31" s="618"/>
      <c r="I31" s="618"/>
      <c r="J31" s="618"/>
    </row>
    <row r="32" spans="1:12" ht="19.5" customHeight="1">
      <c r="A32" s="619" t="s">
        <v>538</v>
      </c>
      <c r="B32" s="619"/>
      <c r="C32" s="619"/>
      <c r="D32" s="73" t="s">
        <v>539</v>
      </c>
      <c r="E32" s="620" t="s">
        <v>371</v>
      </c>
      <c r="F32" s="620"/>
      <c r="G32" s="620"/>
      <c r="H32" s="620"/>
      <c r="I32" s="620"/>
      <c r="J32" s="620"/>
    </row>
    <row r="33" spans="1:12" ht="19.5" customHeight="1">
      <c r="A33" s="428" t="s">
        <v>540</v>
      </c>
      <c r="B33" s="429"/>
      <c r="C33" s="429"/>
      <c r="D33" s="430">
        <f>Dados!$G$44</f>
        <v>0.03</v>
      </c>
      <c r="E33" s="431"/>
      <c r="F33" s="415">
        <f>ROUND((F30*$D$33),2)</f>
        <v>110.64</v>
      </c>
      <c r="G33" s="415">
        <f>ROUND((G30*$D$33),2)</f>
        <v>92.99</v>
      </c>
      <c r="H33" s="415">
        <f>ROUND((H30*$D$33),2)</f>
        <v>14.38</v>
      </c>
      <c r="I33" s="415">
        <f>ROUND((I30*$D$33),2)</f>
        <v>4.16</v>
      </c>
      <c r="J33" s="416">
        <f>ROUND((J30*$D$33),2)</f>
        <v>0</v>
      </c>
    </row>
    <row r="34" spans="1:12" ht="19.5" customHeight="1">
      <c r="A34" s="621" t="s">
        <v>541</v>
      </c>
      <c r="B34" s="621"/>
      <c r="C34" s="621"/>
      <c r="D34" s="430"/>
      <c r="E34" s="431"/>
      <c r="F34" s="415">
        <f>F30+F33</f>
        <v>3798.4949999999999</v>
      </c>
      <c r="G34" s="415">
        <f>G30+G33</f>
        <v>3192.7849999999999</v>
      </c>
      <c r="H34" s="415">
        <f>H30+H33</f>
        <v>493.8</v>
      </c>
      <c r="I34" s="415">
        <f>I30+I33</f>
        <v>142.79</v>
      </c>
      <c r="J34" s="416">
        <f>J30+J33</f>
        <v>0</v>
      </c>
    </row>
    <row r="35" spans="1:12" ht="19.5" customHeight="1">
      <c r="A35" s="432" t="s">
        <v>238</v>
      </c>
      <c r="B35" s="433"/>
      <c r="C35" s="433"/>
      <c r="D35" s="434">
        <f>Dados!$G$45</f>
        <v>6.7900000000000002E-2</v>
      </c>
      <c r="E35" s="435"/>
      <c r="F35" s="418">
        <f>ROUND((F34*$D$35),2)</f>
        <v>257.92</v>
      </c>
      <c r="G35" s="418">
        <f>ROUND((G34*$D$35),2)</f>
        <v>216.79</v>
      </c>
      <c r="H35" s="418">
        <f>ROUND((H34*$D$35),2)</f>
        <v>33.53</v>
      </c>
      <c r="I35" s="418">
        <f>ROUND((I34*$D$35),2)</f>
        <v>9.6999999999999993</v>
      </c>
      <c r="J35" s="419">
        <f>ROUND((J34*$D$35),2)</f>
        <v>0</v>
      </c>
    </row>
    <row r="36" spans="1:12" ht="19.5" customHeight="1">
      <c r="A36" s="436" t="s">
        <v>542</v>
      </c>
      <c r="B36" s="437"/>
      <c r="C36" s="437"/>
      <c r="D36" s="438">
        <f>SUM(D33:D35)</f>
        <v>9.7900000000000001E-2</v>
      </c>
      <c r="E36" s="439"/>
      <c r="F36" s="422">
        <f>F33+F35</f>
        <v>368.56</v>
      </c>
      <c r="G36" s="422">
        <f>G33+G35</f>
        <v>309.77999999999997</v>
      </c>
      <c r="H36" s="422">
        <f>H33+H35</f>
        <v>47.910000000000004</v>
      </c>
      <c r="I36" s="422">
        <f>I33+I35</f>
        <v>13.86</v>
      </c>
      <c r="J36" s="423">
        <f>J33+J35</f>
        <v>0</v>
      </c>
    </row>
    <row r="37" spans="1:12" ht="19.5" customHeight="1">
      <c r="A37" s="615" t="s">
        <v>543</v>
      </c>
      <c r="B37" s="615"/>
      <c r="C37" s="615"/>
      <c r="D37" s="615"/>
      <c r="E37" s="615"/>
      <c r="F37" s="440">
        <f>F30+F36</f>
        <v>4056.415</v>
      </c>
      <c r="G37" s="440">
        <f>G30+G36</f>
        <v>3409.5749999999998</v>
      </c>
      <c r="H37" s="440">
        <f>H30+H36</f>
        <v>527.33000000000004</v>
      </c>
      <c r="I37" s="440">
        <f>I30+I36</f>
        <v>152.49</v>
      </c>
      <c r="J37" s="441">
        <f>J30+J36</f>
        <v>0</v>
      </c>
    </row>
    <row r="38" spans="1:12" ht="19.5" customHeight="1">
      <c r="A38" s="616" t="s">
        <v>544</v>
      </c>
      <c r="B38" s="616"/>
      <c r="C38" s="616"/>
      <c r="D38" s="616"/>
      <c r="E38" s="616"/>
      <c r="F38" s="616"/>
      <c r="G38" s="616"/>
      <c r="H38" s="616"/>
      <c r="I38" s="616"/>
      <c r="J38" s="616"/>
    </row>
    <row r="39" spans="1:12" ht="19.5" customHeight="1">
      <c r="A39" s="610" t="s">
        <v>244</v>
      </c>
      <c r="B39" s="610"/>
      <c r="C39" s="610"/>
      <c r="D39" s="430">
        <f>Dados!G52</f>
        <v>7.5999999999999998E-2</v>
      </c>
      <c r="E39" s="415"/>
      <c r="F39" s="415">
        <f>ROUND(($F$45*D39),2)</f>
        <v>351.33</v>
      </c>
      <c r="G39" s="415">
        <f>ROUND((G45*$D$39),2)</f>
        <v>295.3</v>
      </c>
      <c r="H39" s="415">
        <f>ROUND((H45*$D$39),2)</f>
        <v>45.67</v>
      </c>
      <c r="I39" s="415">
        <f>ROUND((I45*$D$39),2)</f>
        <v>13.21</v>
      </c>
      <c r="J39" s="416">
        <f>ROUND((J45*$D$39),2)</f>
        <v>0</v>
      </c>
    </row>
    <row r="40" spans="1:12" ht="19.5" customHeight="1">
      <c r="A40" s="610" t="s">
        <v>246</v>
      </c>
      <c r="B40" s="610"/>
      <c r="C40" s="610"/>
      <c r="D40" s="430">
        <f>Dados!G53</f>
        <v>1.6500000000000001E-2</v>
      </c>
      <c r="E40" s="415"/>
      <c r="F40" s="415">
        <f>ROUND((F45*$D$40),2)</f>
        <v>76.27</v>
      </c>
      <c r="G40" s="415">
        <f>ROUND((G45*$D$40),2)</f>
        <v>64.11</v>
      </c>
      <c r="H40" s="415">
        <f>ROUND((H45*$D$40),2)</f>
        <v>9.92</v>
      </c>
      <c r="I40" s="415">
        <f>ROUND((I45*$D$40),2)</f>
        <v>2.87</v>
      </c>
      <c r="J40" s="416">
        <f>ROUND((J45*$D$40),2)</f>
        <v>0</v>
      </c>
    </row>
    <row r="41" spans="1:12" ht="19.5" customHeight="1">
      <c r="A41" s="610" t="s">
        <v>247</v>
      </c>
      <c r="B41" s="610"/>
      <c r="C41" s="610"/>
      <c r="D41" s="430">
        <f>Dados!G54</f>
        <v>0.03</v>
      </c>
      <c r="E41" s="415"/>
      <c r="F41" s="415">
        <f>ROUND((F45*$D$41),2)</f>
        <v>138.68</v>
      </c>
      <c r="G41" s="415">
        <f>ROUND((G45*$D$41),2)</f>
        <v>116.57</v>
      </c>
      <c r="H41" s="415">
        <f>ROUND((H45*$D$41),2)</f>
        <v>18.03</v>
      </c>
      <c r="I41" s="415">
        <f>ROUND((I45*$D$41),2)</f>
        <v>5.21</v>
      </c>
      <c r="J41" s="416">
        <f>ROUND((J45*$D$41),2)</f>
        <v>0</v>
      </c>
    </row>
    <row r="42" spans="1:12" ht="19.5" customHeight="1">
      <c r="A42" s="610" t="s">
        <v>233</v>
      </c>
      <c r="B42" s="610"/>
      <c r="C42" s="610"/>
      <c r="D42" s="430">
        <f>Dados!G55</f>
        <v>0</v>
      </c>
      <c r="E42" s="415"/>
      <c r="F42" s="415">
        <f>ROUND((F45*$D$42),2)</f>
        <v>0</v>
      </c>
      <c r="G42" s="415">
        <f>ROUND((G45*$D$42),2)</f>
        <v>0</v>
      </c>
      <c r="H42" s="415">
        <f>ROUND((H45*$D$42),2)</f>
        <v>0</v>
      </c>
      <c r="I42" s="415">
        <f>ROUND((I45*$D$42),2)</f>
        <v>0</v>
      </c>
      <c r="J42" s="416">
        <f>ROUND((J45*$D$42),2)</f>
        <v>0</v>
      </c>
    </row>
    <row r="43" spans="1:12" ht="19.5" customHeight="1">
      <c r="A43" s="611" t="s">
        <v>545</v>
      </c>
      <c r="B43" s="611"/>
      <c r="C43" s="611"/>
      <c r="D43" s="442">
        <f>SUM(D39:D42)</f>
        <v>0.1225</v>
      </c>
      <c r="E43" s="443"/>
      <c r="F43" s="444">
        <f>SUM(F39:F42)</f>
        <v>566.28</v>
      </c>
      <c r="G43" s="444">
        <f>SUM(G39:G42)</f>
        <v>475.98</v>
      </c>
      <c r="H43" s="444">
        <f>SUM(H39:H42)</f>
        <v>73.62</v>
      </c>
      <c r="I43" s="444">
        <f>SUM(I39:I42)</f>
        <v>21.290000000000003</v>
      </c>
      <c r="J43" s="445">
        <f>SUM(J39:J41)</f>
        <v>0</v>
      </c>
    </row>
    <row r="44" spans="1:12" ht="19.5" customHeight="1">
      <c r="A44" s="612" t="str">
        <f>CONCATENATE("Custo Mensal - ",A7)</f>
        <v xml:space="preserve">Custo Mensal - Servente de Limpeza  </v>
      </c>
      <c r="B44" s="612"/>
      <c r="C44" s="612"/>
      <c r="D44" s="612"/>
      <c r="E44" s="612"/>
      <c r="F44" s="446">
        <f>ROUND(F37/(1-D43),2)</f>
        <v>4622.7</v>
      </c>
      <c r="G44" s="446">
        <f>ROUND(G37/(1-D43),2)</f>
        <v>3885.56</v>
      </c>
      <c r="H44" s="446">
        <f>ROUND(H37/(1-D43),2)</f>
        <v>600.95000000000005</v>
      </c>
      <c r="I44" s="446">
        <f>ROUND(I37/(1-D43),2)</f>
        <v>173.78</v>
      </c>
      <c r="J44" s="447">
        <f>ROUND(J37/(1-D43),2)</f>
        <v>0</v>
      </c>
    </row>
    <row r="45" spans="1:12" ht="19.5" customHeight="1">
      <c r="A45" s="613" t="str">
        <f>CONCATENATE("Valor do Custo Mensal - ",A7)</f>
        <v xml:space="preserve">Valor do Custo Mensal - Servente de Limpeza  </v>
      </c>
      <c r="B45" s="613"/>
      <c r="C45" s="613"/>
      <c r="D45" s="613"/>
      <c r="E45" s="613"/>
      <c r="F45" s="446">
        <f>F44</f>
        <v>4622.7</v>
      </c>
      <c r="G45" s="446">
        <f>G44</f>
        <v>3885.56</v>
      </c>
      <c r="H45" s="446">
        <f>H44</f>
        <v>600.95000000000005</v>
      </c>
      <c r="I45" s="446">
        <f>I44</f>
        <v>173.78</v>
      </c>
      <c r="J45" s="447">
        <f>J44</f>
        <v>0</v>
      </c>
      <c r="K45" s="304"/>
      <c r="L45" s="304"/>
    </row>
    <row r="46" spans="1:12" ht="27.75" customHeight="1">
      <c r="A46" s="614" t="s">
        <v>546</v>
      </c>
      <c r="B46" s="614"/>
      <c r="C46" s="614"/>
      <c r="D46" s="614"/>
      <c r="E46" s="614"/>
      <c r="F46" s="448">
        <f>(F45/F14)</f>
        <v>3.4085177920986269</v>
      </c>
      <c r="G46" s="448">
        <f>(G45/G14)</f>
        <v>2.8649924053619618</v>
      </c>
      <c r="H46" s="609" t="s">
        <v>547</v>
      </c>
      <c r="I46" s="609"/>
      <c r="J46" s="305">
        <v>0</v>
      </c>
    </row>
    <row r="47" spans="1:12" ht="19.5" customHeight="1"/>
  </sheetData>
  <sheetProtection algorithmName="SHA-512" hashValue="mFftQJq9GV+gx/W6CMmakVmBc32D1zKNj6RgVTVIxxXOcbt8uLZ+habZ9/ckqCryBcaEkvL17g/H2nCeOsgxeQ==" saltValue="LsyPB2OigJCKBQswZjpIdg==" spinCount="100000" sheet="1" objects="1" scenarios="1"/>
  <mergeCells count="49">
    <mergeCell ref="A4:J4"/>
    <mergeCell ref="A5:J5"/>
    <mergeCell ref="A6:J6"/>
    <mergeCell ref="A7:E7"/>
    <mergeCell ref="F7:F8"/>
    <mergeCell ref="G7:G8"/>
    <mergeCell ref="H7:H8"/>
    <mergeCell ref="I7:I8"/>
    <mergeCell ref="J7:J8"/>
    <mergeCell ref="A8:D8"/>
    <mergeCell ref="A9:J9"/>
    <mergeCell ref="B10:C10"/>
    <mergeCell ref="F10:J10"/>
    <mergeCell ref="A11:A15"/>
    <mergeCell ref="B11:C11"/>
    <mergeCell ref="B12:C12"/>
    <mergeCell ref="B14:E14"/>
    <mergeCell ref="B15:D15"/>
    <mergeCell ref="A16:E16"/>
    <mergeCell ref="A17:J17"/>
    <mergeCell ref="A18:B18"/>
    <mergeCell ref="D18:E18"/>
    <mergeCell ref="F18:J18"/>
    <mergeCell ref="A19:B19"/>
    <mergeCell ref="A20:B20"/>
    <mergeCell ref="A21:B21"/>
    <mergeCell ref="A22:B22"/>
    <mergeCell ref="A23:B23"/>
    <mergeCell ref="A24:B24"/>
    <mergeCell ref="A25:B25"/>
    <mergeCell ref="A26:B26"/>
    <mergeCell ref="A28:B28"/>
    <mergeCell ref="A29:E29"/>
    <mergeCell ref="A30:E30"/>
    <mergeCell ref="A31:J31"/>
    <mergeCell ref="A32:C32"/>
    <mergeCell ref="E32:J32"/>
    <mergeCell ref="A34:C34"/>
    <mergeCell ref="A37:E37"/>
    <mergeCell ref="A38:J38"/>
    <mergeCell ref="A39:C39"/>
    <mergeCell ref="A40:C40"/>
    <mergeCell ref="A41:C41"/>
    <mergeCell ref="H46:I46"/>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19</vt:i4>
      </vt:variant>
    </vt:vector>
  </HeadingPairs>
  <TitlesOfParts>
    <vt:vector size="34" baseType="lpstr">
      <vt:lpstr>Ocorrências Mensais - FAT</vt:lpstr>
      <vt:lpstr>INSTRUÇÕES</vt:lpstr>
      <vt:lpstr>Dados</vt:lpstr>
      <vt:lpstr>Encargos</vt:lpstr>
      <vt:lpstr>EPI</vt:lpstr>
      <vt:lpstr>Materiais</vt:lpstr>
      <vt:lpstr>Uniformes</vt:lpstr>
      <vt:lpstr>Servente Ins</vt:lpstr>
      <vt:lpstr>Servente</vt:lpstr>
      <vt:lpstr>Servente acúmulo Copeira</vt:lpstr>
      <vt:lpstr>Zelador</vt:lpstr>
      <vt:lpstr>Assistente Adm 150</vt:lpstr>
      <vt:lpstr>Custo Estimado Substituto</vt:lpstr>
      <vt:lpstr>Resumo</vt:lpstr>
      <vt:lpstr>IPCA</vt:lpstr>
      <vt:lpstr>'Assistente Adm 150'!Area_de_impressao</vt:lpstr>
      <vt:lpstr>'Custo Estimado Substituto'!Area_de_impressao</vt:lpstr>
      <vt:lpstr>Dados!Area_de_impressao</vt:lpstr>
      <vt:lpstr>Encargos!Area_de_impressao</vt:lpstr>
      <vt:lpstr>Materiais!Area_de_impressao</vt:lpstr>
      <vt:lpstr>Servente!Area_de_impressao</vt:lpstr>
      <vt:lpstr>'Servente acúmulo Copeira'!Area_de_impressao</vt:lpstr>
      <vt:lpstr>'Servente Ins'!Area_de_impressao</vt:lpstr>
      <vt:lpstr>Uniformes!Area_de_impressao</vt:lpstr>
      <vt:lpstr>Zelador!Area_de_impressao</vt:lpstr>
      <vt:lpstr>'Assistente Adm 150'!Print_Area_0</vt:lpstr>
      <vt:lpstr>Dados!Print_Area_0</vt:lpstr>
      <vt:lpstr>Encargos!Print_Area_0</vt:lpstr>
      <vt:lpstr>Materiais!Print_Area_0</vt:lpstr>
      <vt:lpstr>Servente!Print_Area_0</vt:lpstr>
      <vt:lpstr>'Servente acúmulo Copeira'!Print_Area_0</vt:lpstr>
      <vt:lpstr>'Servente Ins'!Print_Area_0</vt:lpstr>
      <vt:lpstr>Uniformes!Print_Area_0</vt:lpstr>
      <vt:lpstr>Zelador!Print_Area_0</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Lucas Gouveia dos Santos</dc:creator>
  <cp:lastModifiedBy>Rita Bruno</cp:lastModifiedBy>
  <cp:revision>13</cp:revision>
  <dcterms:created xsi:type="dcterms:W3CDTF">2015-06-05T18:17:20Z</dcterms:created>
  <dcterms:modified xsi:type="dcterms:W3CDTF">2024-12-10T17:58:41Z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ProgId">
    <vt:lpwstr>Excel.Sheet</vt:lpwstr>
  </property>
  <property fmtid="{D5CDD505-2E9C-101B-9397-08002B2CF9AE}" pid="5" name="ScaleCrop">
    <vt:bool>false</vt:bool>
  </property>
  <property fmtid="{D5CDD505-2E9C-101B-9397-08002B2CF9AE}" pid="6" name="ShareDoc">
    <vt:bool>false</vt:bool>
  </property>
</Properties>
</file>