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2036" tabRatio="587" firstSheet="1" activeTab="1"/>
  </bookViews>
  <sheets>
    <sheet name="Ocorrências Mensais - FAT" sheetId="1" state="hidden" r:id="rId1"/>
    <sheet name="INSTRUÇÕES" sheetId="2" r:id="rId2"/>
    <sheet name="Dados" sheetId="3" r:id="rId3"/>
    <sheet name="Encargos" sheetId="4" r:id="rId4"/>
    <sheet name="Mat" sheetId="5" r:id="rId5"/>
    <sheet name="EPI" sheetId="17" r:id="rId6"/>
    <sheet name="Equip" sheetId="6" r:id="rId7"/>
    <sheet name="Unif" sheetId="7" r:id="rId8"/>
    <sheet name="Serv Ins" sheetId="9" r:id="rId9"/>
    <sheet name="Serv Copeira" sheetId="10" r:id="rId10"/>
    <sheet name="Zel" sheetId="12" r:id="rId11"/>
    <sheet name="Aux Adm" sheetId="13" r:id="rId12"/>
    <sheet name="Resumo" sheetId="14" r:id="rId13"/>
    <sheet name="Custo Estimado Substituto" sheetId="15" r:id="rId14"/>
    <sheet name="IPCA" sheetId="16" state="hidden" r:id="rId15"/>
  </sheets>
  <definedNames>
    <definedName name="_xlnm.Print_Area" localSheetId="11">'Aux Adm'!$A$1:$J$46</definedName>
    <definedName name="_xlnm.Print_Area" localSheetId="2">Dados!$A$1:$S$55</definedName>
    <definedName name="_xlnm.Print_Area" localSheetId="3">Encargos!$A$1:$H$59</definedName>
    <definedName name="_xlnm.Print_Area" localSheetId="1">INSTRUÇÕES!$A$1:$AA$85</definedName>
    <definedName name="_xlnm.Print_Area" localSheetId="4">Mat!$A$1:$L$76</definedName>
    <definedName name="_xlnm.Print_Area" localSheetId="9">'Serv Copeira'!$A$1:$J$46</definedName>
    <definedName name="_xlnm.Print_Area" localSheetId="8">'Serv Ins'!$A$1:$J$46</definedName>
    <definedName name="_xlnm.Print_Area" localSheetId="7">Unif!$A$1:$H$38</definedName>
    <definedName name="_xlnm.Print_Area" localSheetId="10">Zel!$A$1:$J$46</definedName>
    <definedName name="BS">NA()</definedName>
    <definedName name="BT">NA()</definedName>
    <definedName name="CIDADE">NA()</definedName>
    <definedName name="CIDADES">NA()</definedName>
    <definedName name="CPMF">NA()</definedName>
    <definedName name="d">NA()</definedName>
    <definedName name="ENCARGOS">NA()</definedName>
    <definedName name="Excel_BuiltIn_Print_Area_1_1">"$#REF!.$A$2:$C$99"</definedName>
    <definedName name="Excel_BuiltIn_Print_Area_6_1">NA()</definedName>
    <definedName name="Excel_BuiltIn_Print_Area_7_1">NA()</definedName>
    <definedName name="Excel_BuiltIn_Print_Area_8_1">NA()</definedName>
    <definedName name="Excel_BuiltIn_Print_Area_9_1">NA()</definedName>
    <definedName name="ISS">NA()</definedName>
    <definedName name="Jornada">NA()</definedName>
    <definedName name="Print_Area_0" localSheetId="11">'Aux Adm'!$A$1:$J$46</definedName>
    <definedName name="Print_Area_0" localSheetId="2">Dados!$A$1:$S$55</definedName>
    <definedName name="Print_Area_0" localSheetId="3">Encargos!$A$1:$H$59</definedName>
    <definedName name="Print_Area_0" localSheetId="4">Mat!$A$1:$L$76</definedName>
    <definedName name="Print_Area_0" localSheetId="9">'Serv Copeira'!$A$1:$J$46</definedName>
    <definedName name="Print_Area_0" localSheetId="8">'Serv Ins'!$A$1:$J$46</definedName>
    <definedName name="Print_Area_0" localSheetId="7">Unif!$A$1:$H$38</definedName>
    <definedName name="Print_Area_0" localSheetId="10">Zel!$A$1:$J$46</definedName>
    <definedName name="TERRIT">NA()</definedName>
    <definedName name="Tipo_de_Joranda_de_Trabalho">NA()</definedName>
    <definedName name="TP_SERV">NA()</definedName>
    <definedName name="TP_SERVPERC">NA()</definedName>
    <definedName name="VRSELEC">NA()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1" i="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70"/>
  <c r="L52" i="5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51"/>
  <c r="N27" i="1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26"/>
  <c r="L10" i="5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9"/>
  <c r="R14" i="1" l="1"/>
  <c r="R13"/>
  <c r="E12" i="6" l="1"/>
  <c r="F12" s="1"/>
  <c r="G12" s="1"/>
  <c r="A20" i="7"/>
  <c r="F19" s="1"/>
  <c r="E12" i="17"/>
  <c r="F12" s="1"/>
  <c r="F13" s="1"/>
  <c r="E10"/>
  <c r="F10" s="1"/>
  <c r="E9"/>
  <c r="F9" s="1"/>
  <c r="B3"/>
  <c r="B2"/>
  <c r="B1"/>
  <c r="E14" i="6"/>
  <c r="F14" s="1"/>
  <c r="G14" s="1"/>
  <c r="E15"/>
  <c r="F15" s="1"/>
  <c r="G15" s="1"/>
  <c r="Q7" i="3" l="1"/>
  <c r="F24" i="9" s="1"/>
  <c r="G24" s="1"/>
  <c r="Q8" i="3"/>
  <c r="F24" i="10" s="1"/>
  <c r="G24" s="1"/>
  <c r="F18" i="7"/>
  <c r="F11" i="17"/>
  <c r="Q9" i="3" s="1"/>
  <c r="F26" i="12" s="1"/>
  <c r="G26" s="1"/>
  <c r="A12" i="14"/>
  <c r="A15"/>
  <c r="P6" i="3" l="1"/>
  <c r="AG22" i="16"/>
  <c r="AH22" s="1"/>
  <c r="AE22"/>
  <c r="Z22"/>
  <c r="AA22" s="1"/>
  <c r="X22"/>
  <c r="S22"/>
  <c r="T22" s="1"/>
  <c r="Q22"/>
  <c r="P22"/>
  <c r="W22" s="1"/>
  <c r="AD22" s="1"/>
  <c r="L22"/>
  <c r="M22" s="1"/>
  <c r="J22"/>
  <c r="I22"/>
  <c r="F22"/>
  <c r="AH21"/>
  <c r="AE21"/>
  <c r="AA21"/>
  <c r="X21"/>
  <c r="T21"/>
  <c r="Q21"/>
  <c r="M21"/>
  <c r="J21"/>
  <c r="I21"/>
  <c r="P21" s="1"/>
  <c r="W21" s="1"/>
  <c r="AD21" s="1"/>
  <c r="F21"/>
  <c r="AH20"/>
  <c r="AE20"/>
  <c r="AA20"/>
  <c r="X20"/>
  <c r="T20"/>
  <c r="Q20"/>
  <c r="M20"/>
  <c r="J20"/>
  <c r="I20"/>
  <c r="P20" s="1"/>
  <c r="W20" s="1"/>
  <c r="AD20" s="1"/>
  <c r="F20"/>
  <c r="AH19"/>
  <c r="AE19"/>
  <c r="AA19"/>
  <c r="X19"/>
  <c r="T19"/>
  <c r="Q19"/>
  <c r="M19"/>
  <c r="J19"/>
  <c r="I19"/>
  <c r="P19" s="1"/>
  <c r="W19" s="1"/>
  <c r="AD19" s="1"/>
  <c r="F19"/>
  <c r="AH18"/>
  <c r="AE18"/>
  <c r="AA18"/>
  <c r="X18"/>
  <c r="T18"/>
  <c r="Q18"/>
  <c r="M18"/>
  <c r="J18"/>
  <c r="I18"/>
  <c r="P18" s="1"/>
  <c r="W18" s="1"/>
  <c r="AD18" s="1"/>
  <c r="F18"/>
  <c r="AH17"/>
  <c r="AE17"/>
  <c r="AA17"/>
  <c r="X17"/>
  <c r="T17"/>
  <c r="Q17"/>
  <c r="M17"/>
  <c r="J17"/>
  <c r="I17"/>
  <c r="P17" s="1"/>
  <c r="W17" s="1"/>
  <c r="AD17" s="1"/>
  <c r="F17"/>
  <c r="AH16"/>
  <c r="AE16"/>
  <c r="AA16"/>
  <c r="X16"/>
  <c r="T16"/>
  <c r="Q16"/>
  <c r="M16"/>
  <c r="J16"/>
  <c r="I16"/>
  <c r="P16" s="1"/>
  <c r="W16" s="1"/>
  <c r="AD16" s="1"/>
  <c r="F16"/>
  <c r="AH15"/>
  <c r="AE15"/>
  <c r="AA15"/>
  <c r="X15"/>
  <c r="T15"/>
  <c r="Q15"/>
  <c r="M15"/>
  <c r="J15"/>
  <c r="I15"/>
  <c r="P15" s="1"/>
  <c r="W15" s="1"/>
  <c r="AD15" s="1"/>
  <c r="F15"/>
  <c r="AH14"/>
  <c r="AE14"/>
  <c r="AA14"/>
  <c r="X14"/>
  <c r="T14"/>
  <c r="Q14"/>
  <c r="M14"/>
  <c r="J14"/>
  <c r="I14"/>
  <c r="P14" s="1"/>
  <c r="W14" s="1"/>
  <c r="AD14" s="1"/>
  <c r="F14"/>
  <c r="AH13"/>
  <c r="AE13"/>
  <c r="AA13"/>
  <c r="X13"/>
  <c r="T13"/>
  <c r="Q13"/>
  <c r="M13"/>
  <c r="J13"/>
  <c r="I13"/>
  <c r="P13" s="1"/>
  <c r="W13" s="1"/>
  <c r="AD13" s="1"/>
  <c r="F13"/>
  <c r="AH12"/>
  <c r="AE12"/>
  <c r="AA12"/>
  <c r="X12"/>
  <c r="T12"/>
  <c r="Q12"/>
  <c r="M12"/>
  <c r="J12"/>
  <c r="I12"/>
  <c r="P12" s="1"/>
  <c r="W12" s="1"/>
  <c r="AD12" s="1"/>
  <c r="F12"/>
  <c r="AH11"/>
  <c r="AE11"/>
  <c r="AA11"/>
  <c r="X11"/>
  <c r="T11"/>
  <c r="Q11"/>
  <c r="M11"/>
  <c r="J11"/>
  <c r="I11"/>
  <c r="P11" s="1"/>
  <c r="W11" s="1"/>
  <c r="AD11" s="1"/>
  <c r="F11"/>
  <c r="AG10"/>
  <c r="AH10" s="1"/>
  <c r="AI10" s="1"/>
  <c r="AE10"/>
  <c r="Z10"/>
  <c r="AA10" s="1"/>
  <c r="AB10" s="1"/>
  <c r="AB11" s="1"/>
  <c r="X10"/>
  <c r="S10"/>
  <c r="T10" s="1"/>
  <c r="U10" s="1"/>
  <c r="Q10"/>
  <c r="L10"/>
  <c r="M10" s="1"/>
  <c r="N10" s="1"/>
  <c r="J10"/>
  <c r="I10"/>
  <c r="P10" s="1"/>
  <c r="W10" s="1"/>
  <c r="AD10" s="1"/>
  <c r="F10"/>
  <c r="G10" s="1"/>
  <c r="E24" i="15"/>
  <c r="B24"/>
  <c r="E23"/>
  <c r="E21"/>
  <c r="E19"/>
  <c r="E18"/>
  <c r="I5"/>
  <c r="H5"/>
  <c r="G5"/>
  <c r="F5"/>
  <c r="B3"/>
  <c r="B2"/>
  <c r="B1"/>
  <c r="Q15" i="14"/>
  <c r="N15"/>
  <c r="D15"/>
  <c r="C15"/>
  <c r="B15"/>
  <c r="Q14"/>
  <c r="N14"/>
  <c r="D14"/>
  <c r="C14"/>
  <c r="B14"/>
  <c r="U13"/>
  <c r="U16" s="1"/>
  <c r="Q13"/>
  <c r="N13"/>
  <c r="D13"/>
  <c r="C13"/>
  <c r="B13"/>
  <c r="Q12"/>
  <c r="N12"/>
  <c r="D12"/>
  <c r="C12"/>
  <c r="B12"/>
  <c r="B3"/>
  <c r="A5" s="1"/>
  <c r="B2"/>
  <c r="B1"/>
  <c r="D42" i="13"/>
  <c r="D41"/>
  <c r="D40"/>
  <c r="D39"/>
  <c r="D35"/>
  <c r="D33"/>
  <c r="J29"/>
  <c r="F25"/>
  <c r="F24"/>
  <c r="E23"/>
  <c r="D23"/>
  <c r="E22"/>
  <c r="D22"/>
  <c r="C22"/>
  <c r="F21"/>
  <c r="G21" s="1"/>
  <c r="F20"/>
  <c r="G20" s="1"/>
  <c r="I14"/>
  <c r="I16" s="1"/>
  <c r="H14"/>
  <c r="H16" s="1"/>
  <c r="E13"/>
  <c r="D13"/>
  <c r="C13"/>
  <c r="E12"/>
  <c r="D12"/>
  <c r="E11"/>
  <c r="D11"/>
  <c r="A7"/>
  <c r="A45" s="1"/>
  <c r="B3"/>
  <c r="B2"/>
  <c r="B1"/>
  <c r="D42" i="12"/>
  <c r="D41"/>
  <c r="D40"/>
  <c r="D39"/>
  <c r="D35"/>
  <c r="D33"/>
  <c r="J29"/>
  <c r="F25"/>
  <c r="F24"/>
  <c r="E23"/>
  <c r="D23"/>
  <c r="E22"/>
  <c r="D22"/>
  <c r="C22"/>
  <c r="F21"/>
  <c r="G21" s="1"/>
  <c r="F20"/>
  <c r="G20" s="1"/>
  <c r="I14"/>
  <c r="I16" s="1"/>
  <c r="H14"/>
  <c r="H16" s="1"/>
  <c r="D13"/>
  <c r="C13"/>
  <c r="E12"/>
  <c r="D12"/>
  <c r="E11"/>
  <c r="D11"/>
  <c r="A7"/>
  <c r="A45" s="1"/>
  <c r="B3"/>
  <c r="B2"/>
  <c r="B1"/>
  <c r="D42" i="10"/>
  <c r="D41"/>
  <c r="D40"/>
  <c r="D39"/>
  <c r="D35"/>
  <c r="D33"/>
  <c r="J29"/>
  <c r="F25"/>
  <c r="E23"/>
  <c r="D23"/>
  <c r="E22"/>
  <c r="D22"/>
  <c r="C22"/>
  <c r="F21"/>
  <c r="G21" s="1"/>
  <c r="F20"/>
  <c r="G20" s="1"/>
  <c r="I14"/>
  <c r="I16" s="1"/>
  <c r="H14"/>
  <c r="H16" s="1"/>
  <c r="D13"/>
  <c r="C13"/>
  <c r="E12"/>
  <c r="D12"/>
  <c r="E11"/>
  <c r="D11"/>
  <c r="A7"/>
  <c r="A44" s="1"/>
  <c r="B3"/>
  <c r="B2"/>
  <c r="B1"/>
  <c r="D42" i="9"/>
  <c r="D41"/>
  <c r="D40"/>
  <c r="D39"/>
  <c r="D35"/>
  <c r="D33"/>
  <c r="J29"/>
  <c r="F25"/>
  <c r="E23"/>
  <c r="D23"/>
  <c r="E22"/>
  <c r="D22"/>
  <c r="C22"/>
  <c r="F21"/>
  <c r="G21" s="1"/>
  <c r="F20"/>
  <c r="G20" s="1"/>
  <c r="I14"/>
  <c r="I16" s="1"/>
  <c r="H14"/>
  <c r="H16" s="1"/>
  <c r="D13"/>
  <c r="C13"/>
  <c r="E12"/>
  <c r="D12"/>
  <c r="E11"/>
  <c r="D11"/>
  <c r="A7"/>
  <c r="A45" s="1"/>
  <c r="B3"/>
  <c r="B2"/>
  <c r="B1"/>
  <c r="K36" i="7"/>
  <c r="L36" s="1"/>
  <c r="M36" s="1"/>
  <c r="N36" s="1"/>
  <c r="O36" s="1"/>
  <c r="A36"/>
  <c r="K34"/>
  <c r="L34" s="1"/>
  <c r="M34" s="1"/>
  <c r="N34" s="1"/>
  <c r="O34" s="1"/>
  <c r="K33"/>
  <c r="L33" s="1"/>
  <c r="M33" s="1"/>
  <c r="N33" s="1"/>
  <c r="O33" s="1"/>
  <c r="K28"/>
  <c r="L28" s="1"/>
  <c r="M28" s="1"/>
  <c r="N28" s="1"/>
  <c r="O28" s="1"/>
  <c r="A28"/>
  <c r="F26" s="1"/>
  <c r="H26" s="1"/>
  <c r="K27"/>
  <c r="L27" s="1"/>
  <c r="M27" s="1"/>
  <c r="N27" s="1"/>
  <c r="O27" s="1"/>
  <c r="K24"/>
  <c r="L24" s="1"/>
  <c r="M24" s="1"/>
  <c r="N24" s="1"/>
  <c r="O24" s="1"/>
  <c r="K19"/>
  <c r="L19" s="1"/>
  <c r="M19" s="1"/>
  <c r="N19" s="1"/>
  <c r="O19" s="1"/>
  <c r="K18"/>
  <c r="L18" s="1"/>
  <c r="M18" s="1"/>
  <c r="N18" s="1"/>
  <c r="O18" s="1"/>
  <c r="K13"/>
  <c r="L13" s="1"/>
  <c r="M13" s="1"/>
  <c r="N13" s="1"/>
  <c r="O13" s="1"/>
  <c r="A13"/>
  <c r="F12" s="1"/>
  <c r="H12" s="1"/>
  <c r="K11"/>
  <c r="L11" s="1"/>
  <c r="M11" s="1"/>
  <c r="N11" s="1"/>
  <c r="O11" s="1"/>
  <c r="K10"/>
  <c r="L10" s="1"/>
  <c r="M10" s="1"/>
  <c r="N10" s="1"/>
  <c r="O10" s="1"/>
  <c r="K9"/>
  <c r="L9" s="1"/>
  <c r="M9" s="1"/>
  <c r="N9" s="1"/>
  <c r="O9" s="1"/>
  <c r="B3"/>
  <c r="B2"/>
  <c r="B1"/>
  <c r="E13" i="6"/>
  <c r="F13" s="1"/>
  <c r="G13" s="1"/>
  <c r="E11"/>
  <c r="F11" s="1"/>
  <c r="G11" s="1"/>
  <c r="E10"/>
  <c r="F10" s="1"/>
  <c r="G10" s="1"/>
  <c r="E9"/>
  <c r="F9" s="1"/>
  <c r="G9" s="1"/>
  <c r="B3"/>
  <c r="B2"/>
  <c r="B1"/>
  <c r="O74" i="5"/>
  <c r="P74" s="1"/>
  <c r="Q74" s="1"/>
  <c r="R74" s="1"/>
  <c r="S74" s="1"/>
  <c r="O73"/>
  <c r="P73" s="1"/>
  <c r="Q73" s="1"/>
  <c r="R73" s="1"/>
  <c r="S73" s="1"/>
  <c r="O72"/>
  <c r="P72" s="1"/>
  <c r="Q72" s="1"/>
  <c r="R72" s="1"/>
  <c r="S72" s="1"/>
  <c r="O71"/>
  <c r="P71" s="1"/>
  <c r="Q71" s="1"/>
  <c r="R71" s="1"/>
  <c r="S71" s="1"/>
  <c r="O70"/>
  <c r="P70" s="1"/>
  <c r="Q70" s="1"/>
  <c r="R70" s="1"/>
  <c r="S70" s="1"/>
  <c r="O69"/>
  <c r="P69" s="1"/>
  <c r="Q69" s="1"/>
  <c r="R69" s="1"/>
  <c r="S69" s="1"/>
  <c r="O68"/>
  <c r="P68" s="1"/>
  <c r="Q68" s="1"/>
  <c r="R68" s="1"/>
  <c r="S68" s="1"/>
  <c r="O67"/>
  <c r="P67" s="1"/>
  <c r="Q67" s="1"/>
  <c r="R67" s="1"/>
  <c r="S67" s="1"/>
  <c r="O60"/>
  <c r="P60" s="1"/>
  <c r="Q60" s="1"/>
  <c r="R60" s="1"/>
  <c r="S60" s="1"/>
  <c r="O59"/>
  <c r="P59" s="1"/>
  <c r="Q59" s="1"/>
  <c r="R59" s="1"/>
  <c r="S59" s="1"/>
  <c r="O58"/>
  <c r="P58" s="1"/>
  <c r="Q58" s="1"/>
  <c r="R58" s="1"/>
  <c r="S58" s="1"/>
  <c r="O57"/>
  <c r="P57" s="1"/>
  <c r="Q57" s="1"/>
  <c r="R57" s="1"/>
  <c r="S57" s="1"/>
  <c r="O56"/>
  <c r="P56" s="1"/>
  <c r="Q56" s="1"/>
  <c r="R56" s="1"/>
  <c r="S56" s="1"/>
  <c r="O55"/>
  <c r="P55" s="1"/>
  <c r="Q55" s="1"/>
  <c r="R55" s="1"/>
  <c r="S55" s="1"/>
  <c r="O54"/>
  <c r="P54" s="1"/>
  <c r="Q54" s="1"/>
  <c r="R54" s="1"/>
  <c r="S54" s="1"/>
  <c r="O53"/>
  <c r="P53" s="1"/>
  <c r="Q53" s="1"/>
  <c r="R53" s="1"/>
  <c r="S53" s="1"/>
  <c r="O52"/>
  <c r="P52" s="1"/>
  <c r="Q52" s="1"/>
  <c r="R52" s="1"/>
  <c r="S52" s="1"/>
  <c r="O51"/>
  <c r="P51" s="1"/>
  <c r="Q51" s="1"/>
  <c r="R51" s="1"/>
  <c r="S51" s="1"/>
  <c r="O44"/>
  <c r="P44" s="1"/>
  <c r="Q44" s="1"/>
  <c r="R44" s="1"/>
  <c r="S44" s="1"/>
  <c r="O43"/>
  <c r="P43" s="1"/>
  <c r="Q43" s="1"/>
  <c r="R43" s="1"/>
  <c r="S43" s="1"/>
  <c r="O42"/>
  <c r="P42" s="1"/>
  <c r="Q42" s="1"/>
  <c r="R42" s="1"/>
  <c r="S42" s="1"/>
  <c r="O41"/>
  <c r="P41" s="1"/>
  <c r="Q41" s="1"/>
  <c r="R41" s="1"/>
  <c r="S41" s="1"/>
  <c r="O40"/>
  <c r="P40" s="1"/>
  <c r="Q40" s="1"/>
  <c r="R40" s="1"/>
  <c r="S40" s="1"/>
  <c r="O39"/>
  <c r="P39" s="1"/>
  <c r="Q39" s="1"/>
  <c r="R39" s="1"/>
  <c r="S39" s="1"/>
  <c r="O38"/>
  <c r="P38" s="1"/>
  <c r="Q38" s="1"/>
  <c r="R38" s="1"/>
  <c r="S38" s="1"/>
  <c r="O37"/>
  <c r="P37" s="1"/>
  <c r="Q37" s="1"/>
  <c r="R37" s="1"/>
  <c r="S37" s="1"/>
  <c r="O36"/>
  <c r="P36" s="1"/>
  <c r="Q36" s="1"/>
  <c r="R36" s="1"/>
  <c r="S36" s="1"/>
  <c r="O35"/>
  <c r="P35" s="1"/>
  <c r="Q35" s="1"/>
  <c r="R35" s="1"/>
  <c r="S35" s="1"/>
  <c r="O34"/>
  <c r="P34" s="1"/>
  <c r="Q34" s="1"/>
  <c r="R34" s="1"/>
  <c r="S34" s="1"/>
  <c r="O33"/>
  <c r="P33" s="1"/>
  <c r="Q33" s="1"/>
  <c r="R33" s="1"/>
  <c r="S33" s="1"/>
  <c r="O32"/>
  <c r="P32" s="1"/>
  <c r="Q32" s="1"/>
  <c r="R32" s="1"/>
  <c r="S32" s="1"/>
  <c r="O31"/>
  <c r="P31" s="1"/>
  <c r="Q31" s="1"/>
  <c r="R31" s="1"/>
  <c r="S31" s="1"/>
  <c r="O30"/>
  <c r="P30" s="1"/>
  <c r="Q30" s="1"/>
  <c r="R30" s="1"/>
  <c r="S30" s="1"/>
  <c r="O29"/>
  <c r="P29" s="1"/>
  <c r="Q29" s="1"/>
  <c r="R29" s="1"/>
  <c r="S29" s="1"/>
  <c r="O28"/>
  <c r="P28" s="1"/>
  <c r="Q28" s="1"/>
  <c r="R28" s="1"/>
  <c r="S28" s="1"/>
  <c r="O27"/>
  <c r="P27" s="1"/>
  <c r="Q27" s="1"/>
  <c r="R27" s="1"/>
  <c r="S27" s="1"/>
  <c r="O26"/>
  <c r="P26" s="1"/>
  <c r="Q26" s="1"/>
  <c r="R26" s="1"/>
  <c r="S26" s="1"/>
  <c r="O25"/>
  <c r="P25" s="1"/>
  <c r="Q25" s="1"/>
  <c r="R25" s="1"/>
  <c r="S25" s="1"/>
  <c r="O24"/>
  <c r="P24" s="1"/>
  <c r="Q24" s="1"/>
  <c r="R24" s="1"/>
  <c r="S24" s="1"/>
  <c r="O23"/>
  <c r="P23" s="1"/>
  <c r="Q23" s="1"/>
  <c r="R23" s="1"/>
  <c r="S23" s="1"/>
  <c r="O22"/>
  <c r="P22" s="1"/>
  <c r="Q22" s="1"/>
  <c r="R22" s="1"/>
  <c r="S22" s="1"/>
  <c r="O21"/>
  <c r="P21" s="1"/>
  <c r="Q21" s="1"/>
  <c r="R21" s="1"/>
  <c r="S21" s="1"/>
  <c r="O20"/>
  <c r="P20" s="1"/>
  <c r="Q20" s="1"/>
  <c r="R20" s="1"/>
  <c r="S20" s="1"/>
  <c r="O19"/>
  <c r="P19" s="1"/>
  <c r="Q19" s="1"/>
  <c r="R19" s="1"/>
  <c r="S19" s="1"/>
  <c r="O18"/>
  <c r="P18" s="1"/>
  <c r="Q18" s="1"/>
  <c r="R18" s="1"/>
  <c r="S18" s="1"/>
  <c r="O17"/>
  <c r="P17" s="1"/>
  <c r="Q17" s="1"/>
  <c r="R17" s="1"/>
  <c r="S17" s="1"/>
  <c r="O15"/>
  <c r="P15" s="1"/>
  <c r="Q15" s="1"/>
  <c r="R15" s="1"/>
  <c r="S15" s="1"/>
  <c r="O14"/>
  <c r="P14" s="1"/>
  <c r="Q14" s="1"/>
  <c r="R14" s="1"/>
  <c r="S14" s="1"/>
  <c r="O13"/>
  <c r="P13" s="1"/>
  <c r="Q13" s="1"/>
  <c r="R13" s="1"/>
  <c r="S13" s="1"/>
  <c r="O11"/>
  <c r="P11" s="1"/>
  <c r="Q11" s="1"/>
  <c r="R11" s="1"/>
  <c r="S11" s="1"/>
  <c r="O10"/>
  <c r="P10" s="1"/>
  <c r="Q10" s="1"/>
  <c r="R10" s="1"/>
  <c r="S10" s="1"/>
  <c r="O9"/>
  <c r="P9" s="1"/>
  <c r="Q9" s="1"/>
  <c r="R9" s="1"/>
  <c r="S9" s="1"/>
  <c r="B3"/>
  <c r="B2"/>
  <c r="B1"/>
  <c r="C48" i="4"/>
  <c r="C49" s="1"/>
  <c r="C56" s="1"/>
  <c r="C43"/>
  <c r="C42"/>
  <c r="C41"/>
  <c r="C39"/>
  <c r="E8" i="15" s="1"/>
  <c r="C36" i="4"/>
  <c r="C33"/>
  <c r="H56" s="1"/>
  <c r="C31"/>
  <c r="C32" s="1"/>
  <c r="C27"/>
  <c r="C21"/>
  <c r="C22" s="1"/>
  <c r="F53" s="1"/>
  <c r="B3"/>
  <c r="B2"/>
  <c r="B1"/>
  <c r="F73" i="3"/>
  <c r="G73" s="1"/>
  <c r="H73" s="1"/>
  <c r="I73" s="1"/>
  <c r="J73" s="1"/>
  <c r="G55"/>
  <c r="B47"/>
  <c r="G37"/>
  <c r="G22"/>
  <c r="C16" i="4" s="1"/>
  <c r="C18" s="1"/>
  <c r="H49" s="1"/>
  <c r="F10" i="3"/>
  <c r="M10" s="1"/>
  <c r="I7" i="15" s="1"/>
  <c r="F9" i="3"/>
  <c r="F8"/>
  <c r="K8" s="1"/>
  <c r="L8" s="1"/>
  <c r="H7"/>
  <c r="F7"/>
  <c r="O6"/>
  <c r="A4"/>
  <c r="B3"/>
  <c r="B2"/>
  <c r="B1"/>
  <c r="G96" i="1"/>
  <c r="G95"/>
  <c r="G64"/>
  <c r="G63"/>
  <c r="F19"/>
  <c r="S14"/>
  <c r="P14"/>
  <c r="K14"/>
  <c r="K15" i="14" s="1"/>
  <c r="F14" i="1"/>
  <c r="H15" i="14" s="1"/>
  <c r="C14" i="1"/>
  <c r="B14"/>
  <c r="A14"/>
  <c r="S13"/>
  <c r="P13"/>
  <c r="K13"/>
  <c r="K14" i="14" s="1"/>
  <c r="F13" i="1"/>
  <c r="H14" i="14" s="1"/>
  <c r="C13" i="1"/>
  <c r="B13"/>
  <c r="A13"/>
  <c r="S12"/>
  <c r="K12"/>
  <c r="K13" i="14" s="1"/>
  <c r="F12" i="1"/>
  <c r="H13" i="14" s="1"/>
  <c r="C12" i="1"/>
  <c r="B12"/>
  <c r="A12"/>
  <c r="S11"/>
  <c r="P11"/>
  <c r="K11"/>
  <c r="K12" i="14" s="1"/>
  <c r="F11" i="1"/>
  <c r="H12" i="14" s="1"/>
  <c r="C11" i="1"/>
  <c r="B11"/>
  <c r="A11"/>
  <c r="F5"/>
  <c r="E5"/>
  <c r="B3"/>
  <c r="B2"/>
  <c r="B1"/>
  <c r="F24" i="7" l="1"/>
  <c r="H24" s="1"/>
  <c r="F25"/>
  <c r="H25" s="1"/>
  <c r="F33"/>
  <c r="H33" s="1"/>
  <c r="F36"/>
  <c r="H36" s="1"/>
  <c r="F35"/>
  <c r="H35" s="1"/>
  <c r="F34"/>
  <c r="H34" s="1"/>
  <c r="G16" i="6"/>
  <c r="R9" i="3" s="1"/>
  <c r="F28" i="12" s="1"/>
  <c r="G28" s="1"/>
  <c r="F12" i="10"/>
  <c r="J12" s="1"/>
  <c r="J14" s="1"/>
  <c r="F12" i="13"/>
  <c r="J12" s="1"/>
  <c r="J14" s="1"/>
  <c r="G65" i="1"/>
  <c r="G97"/>
  <c r="D43" i="10"/>
  <c r="E20" i="15"/>
  <c r="M8" i="3"/>
  <c r="G7" i="15" s="1"/>
  <c r="E13" i="10"/>
  <c r="F13" s="1"/>
  <c r="G13" s="1"/>
  <c r="D36" i="13"/>
  <c r="AB12" i="16"/>
  <c r="AB13" s="1"/>
  <c r="AB14" s="1"/>
  <c r="AB15" s="1"/>
  <c r="AB16" s="1"/>
  <c r="AB17" s="1"/>
  <c r="AB18" s="1"/>
  <c r="AB19" s="1"/>
  <c r="AB20" s="1"/>
  <c r="AB21" s="1"/>
  <c r="AB22" s="1"/>
  <c r="AB23" s="1"/>
  <c r="D63" i="3" s="1"/>
  <c r="N63" s="1"/>
  <c r="V13" i="1"/>
  <c r="M7" i="3"/>
  <c r="F7" i="15" s="1"/>
  <c r="AI11" i="16"/>
  <c r="AI12" s="1"/>
  <c r="AI13" s="1"/>
  <c r="AI14" s="1"/>
  <c r="AI15" s="1"/>
  <c r="AI16" s="1"/>
  <c r="AI17" s="1"/>
  <c r="AI18" s="1"/>
  <c r="AI19" s="1"/>
  <c r="AI20" s="1"/>
  <c r="AI21" s="1"/>
  <c r="F11" i="10"/>
  <c r="G11" s="1"/>
  <c r="Q16" i="14"/>
  <c r="N11" i="16"/>
  <c r="N12" s="1"/>
  <c r="N13" s="1"/>
  <c r="N14" s="1"/>
  <c r="N15" s="1"/>
  <c r="N16" s="1"/>
  <c r="N17" s="1"/>
  <c r="N18" s="1"/>
  <c r="N19" s="1"/>
  <c r="N20" s="1"/>
  <c r="N21" s="1"/>
  <c r="D36" i="9"/>
  <c r="D36" i="10"/>
  <c r="A45"/>
  <c r="F27" i="7"/>
  <c r="H27" s="1"/>
  <c r="B11" i="10"/>
  <c r="F11" i="13"/>
  <c r="F22" s="1"/>
  <c r="A44" i="9"/>
  <c r="C35" i="4"/>
  <c r="C37" s="1"/>
  <c r="C54" s="1"/>
  <c r="N16" i="14"/>
  <c r="H50" i="4"/>
  <c r="B11" i="12"/>
  <c r="B11" i="9"/>
  <c r="F11" i="12"/>
  <c r="G11" s="1"/>
  <c r="F13" i="13"/>
  <c r="G13" s="1"/>
  <c r="F28" i="7"/>
  <c r="H28" s="1"/>
  <c r="F11" i="9"/>
  <c r="G11" s="1"/>
  <c r="A44" i="12"/>
  <c r="U11" i="16"/>
  <c r="U12" s="1"/>
  <c r="U13" s="1"/>
  <c r="U14" s="1"/>
  <c r="U15" s="1"/>
  <c r="U16" s="1"/>
  <c r="U17" s="1"/>
  <c r="U18" s="1"/>
  <c r="U19" s="1"/>
  <c r="U20" s="1"/>
  <c r="U21" s="1"/>
  <c r="U22" s="1"/>
  <c r="U23" s="1"/>
  <c r="D62" i="3" s="1"/>
  <c r="N62" s="1"/>
  <c r="D43" i="9"/>
  <c r="D43" i="13"/>
  <c r="F12" i="9"/>
  <c r="J12" s="1"/>
  <c r="J14" s="1"/>
  <c r="D36" i="12"/>
  <c r="D16" i="14"/>
  <c r="G11" i="16"/>
  <c r="G12" s="1"/>
  <c r="G13" s="1"/>
  <c r="G14" s="1"/>
  <c r="G15" s="1"/>
  <c r="G16" s="1"/>
  <c r="G17" s="1"/>
  <c r="G18" s="1"/>
  <c r="G19" s="1"/>
  <c r="G20" s="1"/>
  <c r="G21" s="1"/>
  <c r="G22" s="1"/>
  <c r="G23" s="1"/>
  <c r="D60" i="3" s="1"/>
  <c r="N60" s="1"/>
  <c r="G53" i="4"/>
  <c r="H53"/>
  <c r="C23" i="12"/>
  <c r="F23" s="1"/>
  <c r="C23" i="10"/>
  <c r="F23" s="1"/>
  <c r="C23" i="9"/>
  <c r="F23" s="1"/>
  <c r="C23" i="13"/>
  <c r="F23" s="1"/>
  <c r="F9" i="7"/>
  <c r="H9" s="1"/>
  <c r="F13"/>
  <c r="H13" s="1"/>
  <c r="F10"/>
  <c r="H10" s="1"/>
  <c r="F11"/>
  <c r="H11" s="1"/>
  <c r="K16" i="14"/>
  <c r="A6"/>
  <c r="A6" i="13"/>
  <c r="A6" i="12"/>
  <c r="A6" i="10"/>
  <c r="A6" i="9"/>
  <c r="C51" i="4"/>
  <c r="C28"/>
  <c r="C29" s="1"/>
  <c r="C53" s="1"/>
  <c r="H16" i="14"/>
  <c r="W13" i="1"/>
  <c r="D43" i="12"/>
  <c r="C23" i="4"/>
  <c r="F51"/>
  <c r="H18" i="7"/>
  <c r="H19"/>
  <c r="E13" i="9"/>
  <c r="F13" s="1"/>
  <c r="G13" s="1"/>
  <c r="M9" i="3"/>
  <c r="I8" i="15"/>
  <c r="E13" i="12"/>
  <c r="F13" s="1"/>
  <c r="G13" s="1"/>
  <c r="F12"/>
  <c r="N22" i="16"/>
  <c r="N23" s="1"/>
  <c r="D61" i="3" s="1"/>
  <c r="N61" s="1"/>
  <c r="E9" i="15"/>
  <c r="C44" i="4"/>
  <c r="F52"/>
  <c r="AI22" i="16"/>
  <c r="AI23" s="1"/>
  <c r="D64" i="3" s="1"/>
  <c r="N64" s="1"/>
  <c r="A44" i="13"/>
  <c r="B11"/>
  <c r="G12" i="10" l="1"/>
  <c r="G14" s="1"/>
  <c r="G12" i="9"/>
  <c r="G14" s="1"/>
  <c r="G11" i="13"/>
  <c r="G12"/>
  <c r="F14"/>
  <c r="H29" i="7"/>
  <c r="H30" s="1"/>
  <c r="N9" i="3" s="1"/>
  <c r="F14" i="9"/>
  <c r="F22" i="10"/>
  <c r="I22" s="1"/>
  <c r="I29" s="1"/>
  <c r="I30" s="1"/>
  <c r="I33" s="1"/>
  <c r="I34" s="1"/>
  <c r="I35" s="1"/>
  <c r="F14"/>
  <c r="M11" i="3"/>
  <c r="G22" i="13"/>
  <c r="I14" i="15"/>
  <c r="I22" i="13"/>
  <c r="I29" s="1"/>
  <c r="I30" s="1"/>
  <c r="I33" s="1"/>
  <c r="F22" i="12"/>
  <c r="H37" i="7"/>
  <c r="F22" i="9"/>
  <c r="F14" i="12"/>
  <c r="F8" i="15"/>
  <c r="F9"/>
  <c r="G23" i="9"/>
  <c r="F13" i="15"/>
  <c r="H23" i="9"/>
  <c r="H29" s="1"/>
  <c r="H30" s="1"/>
  <c r="C45" i="4"/>
  <c r="C46" s="1"/>
  <c r="C55" s="1"/>
  <c r="I13" i="15"/>
  <c r="G23" i="13"/>
  <c r="H23"/>
  <c r="H29" s="1"/>
  <c r="H30" s="1"/>
  <c r="I9" i="15"/>
  <c r="I10" s="1"/>
  <c r="I11" s="1"/>
  <c r="I29" s="1"/>
  <c r="E10"/>
  <c r="H13"/>
  <c r="G23" i="12"/>
  <c r="H23"/>
  <c r="H29" s="1"/>
  <c r="H30" s="1"/>
  <c r="G8" i="15"/>
  <c r="G9"/>
  <c r="H14" i="7"/>
  <c r="H15" s="1"/>
  <c r="J12" i="12"/>
  <c r="J14" s="1"/>
  <c r="G12"/>
  <c r="G14" s="1"/>
  <c r="H52" i="4"/>
  <c r="G52"/>
  <c r="H7" i="15"/>
  <c r="F28" i="9"/>
  <c r="G28" s="1"/>
  <c r="F28" i="10"/>
  <c r="G28" s="1"/>
  <c r="F54" i="4"/>
  <c r="G51"/>
  <c r="H51"/>
  <c r="G23" i="10"/>
  <c r="G13" i="15"/>
  <c r="H23" i="10"/>
  <c r="H29" s="1"/>
  <c r="H30" s="1"/>
  <c r="H20" i="7"/>
  <c r="H21" s="1"/>
  <c r="C24" i="4"/>
  <c r="C25" s="1"/>
  <c r="C52" s="1"/>
  <c r="G54" l="1"/>
  <c r="G55" s="1"/>
  <c r="G57" s="1"/>
  <c r="G59" s="1"/>
  <c r="N7" i="3"/>
  <c r="F19" i="9" s="1"/>
  <c r="N8" i="3"/>
  <c r="F19" i="10" s="1"/>
  <c r="G14" i="13"/>
  <c r="G22" i="10"/>
  <c r="G14" i="15"/>
  <c r="G16" s="1"/>
  <c r="G30" s="1"/>
  <c r="I16"/>
  <c r="I30" s="1"/>
  <c r="I31" s="1"/>
  <c r="I36" i="10"/>
  <c r="I37" s="1"/>
  <c r="I44" s="1"/>
  <c r="I45" s="1"/>
  <c r="G13" i="14" s="1"/>
  <c r="I13" s="1"/>
  <c r="C57" i="4"/>
  <c r="G20" i="3" s="1"/>
  <c r="F19" i="12"/>
  <c r="F10" i="15"/>
  <c r="F11" s="1"/>
  <c r="F29" s="1"/>
  <c r="H38" i="7"/>
  <c r="I22" i="12"/>
  <c r="I29" s="1"/>
  <c r="I30" s="1"/>
  <c r="I33" s="1"/>
  <c r="H14" i="15"/>
  <c r="H16" s="1"/>
  <c r="H30" s="1"/>
  <c r="G22" i="12"/>
  <c r="H54" i="4"/>
  <c r="H55" s="1"/>
  <c r="H57" s="1"/>
  <c r="H59" s="1"/>
  <c r="G10" i="15"/>
  <c r="G11" s="1"/>
  <c r="G29" s="1"/>
  <c r="I22" i="9"/>
  <c r="I29" s="1"/>
  <c r="I30" s="1"/>
  <c r="F14" i="15"/>
  <c r="F16" s="1"/>
  <c r="F30" s="1"/>
  <c r="G22" i="9"/>
  <c r="H9" i="15"/>
  <c r="H8"/>
  <c r="H33" i="13"/>
  <c r="H34" s="1"/>
  <c r="H35" s="1"/>
  <c r="H33" i="12"/>
  <c r="I34" i="13"/>
  <c r="I35" s="1"/>
  <c r="I36" s="1"/>
  <c r="I37" s="1"/>
  <c r="I44" s="1"/>
  <c r="I45" s="1"/>
  <c r="H33" i="10"/>
  <c r="H34" s="1"/>
  <c r="H35" s="1"/>
  <c r="F55" i="4"/>
  <c r="F57"/>
  <c r="F59" s="1"/>
  <c r="H33" i="9"/>
  <c r="N10" i="3" l="1"/>
  <c r="F19" i="13" s="1"/>
  <c r="I40" i="10"/>
  <c r="I41"/>
  <c r="I42"/>
  <c r="E15" i="13"/>
  <c r="F15" s="1"/>
  <c r="E15" i="10"/>
  <c r="F15" s="1"/>
  <c r="E15" i="9"/>
  <c r="J15" s="1"/>
  <c r="J16" s="1"/>
  <c r="J30" s="1"/>
  <c r="E15" i="12"/>
  <c r="J15" s="1"/>
  <c r="J16" s="1"/>
  <c r="J30" s="1"/>
  <c r="G31" i="15"/>
  <c r="G18" s="1"/>
  <c r="G19" s="1"/>
  <c r="I39" i="10"/>
  <c r="F29" i="12"/>
  <c r="G19"/>
  <c r="G29" s="1"/>
  <c r="I34"/>
  <c r="I35" s="1"/>
  <c r="I36" s="1"/>
  <c r="I37" s="1"/>
  <c r="I44" s="1"/>
  <c r="I45" s="1"/>
  <c r="I41" s="1"/>
  <c r="I33" i="9"/>
  <c r="I34" s="1"/>
  <c r="I35" s="1"/>
  <c r="F31" i="15"/>
  <c r="F18" s="1"/>
  <c r="F19" s="1"/>
  <c r="F20" s="1"/>
  <c r="I41" i="13"/>
  <c r="I39"/>
  <c r="G15" i="14"/>
  <c r="I15" s="1"/>
  <c r="I42" i="13"/>
  <c r="I40"/>
  <c r="T14" i="1"/>
  <c r="W11" s="1"/>
  <c r="T11"/>
  <c r="W14"/>
  <c r="T12"/>
  <c r="T13"/>
  <c r="H34" i="12"/>
  <c r="H35" s="1"/>
  <c r="H36" s="1"/>
  <c r="H37" s="1"/>
  <c r="H44" s="1"/>
  <c r="H45" s="1"/>
  <c r="G19" i="10"/>
  <c r="G29" s="1"/>
  <c r="H36" i="13"/>
  <c r="H37" s="1"/>
  <c r="H44" s="1"/>
  <c r="H45" s="1"/>
  <c r="I18" i="15"/>
  <c r="G19" i="9"/>
  <c r="G29" s="1"/>
  <c r="H34"/>
  <c r="H35" s="1"/>
  <c r="H36" s="1"/>
  <c r="H37" s="1"/>
  <c r="H44" s="1"/>
  <c r="H45" s="1"/>
  <c r="H36" i="10"/>
  <c r="H37" s="1"/>
  <c r="H44" s="1"/>
  <c r="H45" s="1"/>
  <c r="H10" i="15"/>
  <c r="H11" s="1"/>
  <c r="H29" s="1"/>
  <c r="H31" s="1"/>
  <c r="J15" i="13" l="1"/>
  <c r="J16" s="1"/>
  <c r="J30" s="1"/>
  <c r="J33" s="1"/>
  <c r="J34" s="1"/>
  <c r="J35" s="1"/>
  <c r="F29"/>
  <c r="G19"/>
  <c r="G29" s="1"/>
  <c r="F15" i="12"/>
  <c r="F16" s="1"/>
  <c r="F30" s="1"/>
  <c r="I43" i="10"/>
  <c r="F15" i="9"/>
  <c r="F16" s="1"/>
  <c r="J15" i="10"/>
  <c r="J16" s="1"/>
  <c r="J30" s="1"/>
  <c r="J33" s="1"/>
  <c r="I39" i="12"/>
  <c r="I36" i="9"/>
  <c r="I37" s="1"/>
  <c r="I44" s="1"/>
  <c r="I45" s="1"/>
  <c r="I40" i="12"/>
  <c r="I42"/>
  <c r="G14" i="14"/>
  <c r="I14" s="1"/>
  <c r="H41" i="9"/>
  <c r="H39"/>
  <c r="P12" i="14"/>
  <c r="R12" s="1"/>
  <c r="H42" i="9"/>
  <c r="H40"/>
  <c r="T15" i="1"/>
  <c r="W12"/>
  <c r="W15" s="1"/>
  <c r="J33" i="9"/>
  <c r="J34" s="1"/>
  <c r="J35" s="1"/>
  <c r="F25" i="15"/>
  <c r="F32" s="1"/>
  <c r="F33" s="1"/>
  <c r="G20"/>
  <c r="G25" s="1"/>
  <c r="G32" s="1"/>
  <c r="G33" s="1"/>
  <c r="H18"/>
  <c r="J33" i="12"/>
  <c r="H42"/>
  <c r="H40"/>
  <c r="P14" i="14"/>
  <c r="R14" s="1"/>
  <c r="H41" i="12"/>
  <c r="H39"/>
  <c r="I19" i="15"/>
  <c r="I20" s="1"/>
  <c r="I25" s="1"/>
  <c r="I32" s="1"/>
  <c r="I33" s="1"/>
  <c r="H41" i="10"/>
  <c r="H39"/>
  <c r="P13" i="14"/>
  <c r="R13" s="1"/>
  <c r="H42" i="10"/>
  <c r="H40"/>
  <c r="G15"/>
  <c r="G16" s="1"/>
  <c r="G30" s="1"/>
  <c r="F16"/>
  <c r="H42" i="13"/>
  <c r="H40"/>
  <c r="P15" i="14"/>
  <c r="R15" s="1"/>
  <c r="H41" i="13"/>
  <c r="H39"/>
  <c r="G15"/>
  <c r="G16" s="1"/>
  <c r="F16"/>
  <c r="I43"/>
  <c r="G30" l="1"/>
  <c r="G33" s="1"/>
  <c r="F30"/>
  <c r="F33" s="1"/>
  <c r="G15" i="12"/>
  <c r="G16" s="1"/>
  <c r="G30" s="1"/>
  <c r="G33" s="1"/>
  <c r="G34" s="1"/>
  <c r="G35" s="1"/>
  <c r="G15" i="9"/>
  <c r="G16" s="1"/>
  <c r="G30" s="1"/>
  <c r="G33" s="1"/>
  <c r="G34" s="1"/>
  <c r="G35" s="1"/>
  <c r="H43" i="10"/>
  <c r="H43" i="12"/>
  <c r="I41" i="9"/>
  <c r="G12" i="14"/>
  <c r="I12" s="1"/>
  <c r="I16" s="1"/>
  <c r="H15" i="1" s="1"/>
  <c r="I40" i="9"/>
  <c r="I39"/>
  <c r="I42"/>
  <c r="H43" i="13"/>
  <c r="I43" i="12"/>
  <c r="I21" i="15"/>
  <c r="I22"/>
  <c r="M15" i="14"/>
  <c r="O15" s="1"/>
  <c r="I24" i="15"/>
  <c r="I23"/>
  <c r="G23"/>
  <c r="G21"/>
  <c r="G22"/>
  <c r="M13" i="14"/>
  <c r="O13" s="1"/>
  <c r="G24" i="15"/>
  <c r="G33" i="10"/>
  <c r="H19" i="15"/>
  <c r="H20" s="1"/>
  <c r="H25" s="1"/>
  <c r="H32" s="1"/>
  <c r="H33" s="1"/>
  <c r="J34" i="10"/>
  <c r="J35" s="1"/>
  <c r="J36" s="1"/>
  <c r="J37" s="1"/>
  <c r="J44" s="1"/>
  <c r="J45" s="1"/>
  <c r="H43" i="9"/>
  <c r="F21" i="15"/>
  <c r="M12" i="14"/>
  <c r="F22" i="15"/>
  <c r="F23"/>
  <c r="F24"/>
  <c r="F33" i="12"/>
  <c r="F34" s="1"/>
  <c r="F35" s="1"/>
  <c r="J36" i="13"/>
  <c r="J37" s="1"/>
  <c r="J44" s="1"/>
  <c r="J45" s="1"/>
  <c r="R16" i="14"/>
  <c r="M15" i="1" s="1"/>
  <c r="J34" i="12"/>
  <c r="J35" s="1"/>
  <c r="J36" s="1"/>
  <c r="J37" s="1"/>
  <c r="J44" s="1"/>
  <c r="J45" s="1"/>
  <c r="J36" i="9"/>
  <c r="J37" s="1"/>
  <c r="J44" s="1"/>
  <c r="J45" s="1"/>
  <c r="I43" l="1"/>
  <c r="J41" i="12"/>
  <c r="J39"/>
  <c r="J42"/>
  <c r="J40"/>
  <c r="J42" i="10"/>
  <c r="J40"/>
  <c r="J41"/>
  <c r="J39"/>
  <c r="J42" i="9"/>
  <c r="J40"/>
  <c r="J41"/>
  <c r="J39"/>
  <c r="J46"/>
  <c r="T13" i="14" s="1"/>
  <c r="J41" i="13"/>
  <c r="J39"/>
  <c r="J42"/>
  <c r="J40"/>
  <c r="H22" i="15"/>
  <c r="M14" i="14"/>
  <c r="O14" s="1"/>
  <c r="H21" i="15"/>
  <c r="H24"/>
  <c r="H23"/>
  <c r="O12" i="14"/>
  <c r="F36" i="12"/>
  <c r="F37" s="1"/>
  <c r="F44" s="1"/>
  <c r="F45" s="1"/>
  <c r="G36" i="9"/>
  <c r="G37" s="1"/>
  <c r="G44" s="1"/>
  <c r="G45" s="1"/>
  <c r="G34" i="10"/>
  <c r="G35" s="1"/>
  <c r="G36" s="1"/>
  <c r="G37" s="1"/>
  <c r="G44" s="1"/>
  <c r="G45" s="1"/>
  <c r="G34" i="13"/>
  <c r="G35" s="1"/>
  <c r="G36" s="1"/>
  <c r="G37" s="1"/>
  <c r="G44" s="1"/>
  <c r="G45" s="1"/>
  <c r="F34"/>
  <c r="F35" s="1"/>
  <c r="F36" s="1"/>
  <c r="F37" s="1"/>
  <c r="F44" s="1"/>
  <c r="F45" s="1"/>
  <c r="G36" i="12"/>
  <c r="G37" s="1"/>
  <c r="G44" s="1"/>
  <c r="G45" s="1"/>
  <c r="O16" i="14" l="1"/>
  <c r="L15" i="1" s="1"/>
  <c r="M16" i="14"/>
  <c r="J13"/>
  <c r="L13" s="1"/>
  <c r="S13" s="1"/>
  <c r="O12" i="1" s="1"/>
  <c r="G46" i="10"/>
  <c r="G39"/>
  <c r="G42"/>
  <c r="G41"/>
  <c r="G40"/>
  <c r="E14" i="14"/>
  <c r="F14" s="1"/>
  <c r="F41" i="12"/>
  <c r="F39"/>
  <c r="F46"/>
  <c r="F42"/>
  <c r="F40"/>
  <c r="J43" i="13"/>
  <c r="J43" i="12"/>
  <c r="J14" i="14"/>
  <c r="L14" s="1"/>
  <c r="S14" s="1"/>
  <c r="O13" i="1" s="1"/>
  <c r="G46" i="12"/>
  <c r="G41"/>
  <c r="G40"/>
  <c r="G39"/>
  <c r="G42"/>
  <c r="F41" i="13"/>
  <c r="F39"/>
  <c r="F46"/>
  <c r="E15" i="14"/>
  <c r="F15" s="1"/>
  <c r="F42" i="13"/>
  <c r="F40"/>
  <c r="J15" i="14"/>
  <c r="L15" s="1"/>
  <c r="S15" s="1"/>
  <c r="O14" i="1" s="1"/>
  <c r="G42" i="13"/>
  <c r="G40"/>
  <c r="G41"/>
  <c r="G39"/>
  <c r="G46"/>
  <c r="V13" i="14"/>
  <c r="A20"/>
  <c r="J12"/>
  <c r="G46" i="9"/>
  <c r="G39"/>
  <c r="G42"/>
  <c r="G41"/>
  <c r="G40"/>
  <c r="J43"/>
  <c r="J43" i="10"/>
  <c r="G43" i="9" l="1"/>
  <c r="W14" i="14"/>
  <c r="Q13" i="1" s="1"/>
  <c r="V16" i="14"/>
  <c r="P12" i="1"/>
  <c r="F43" i="13"/>
  <c r="G43" i="10"/>
  <c r="J16" i="14"/>
  <c r="L12"/>
  <c r="V14" i="1"/>
  <c r="G43" i="13"/>
  <c r="G43" i="12"/>
  <c r="F43"/>
  <c r="W15" i="14"/>
  <c r="Q14" i="1" s="1"/>
  <c r="V11" s="1"/>
  <c r="L16" i="14" l="1"/>
  <c r="K15" i="1" s="1"/>
  <c r="O15" s="1"/>
  <c r="S12" i="14"/>
  <c r="P15" i="1"/>
  <c r="N15"/>
  <c r="S16" i="14" l="1"/>
  <c r="O11" i="1"/>
  <c r="O26" l="1"/>
  <c r="L26" s="1"/>
  <c r="G26" s="1"/>
  <c r="H26" s="1"/>
  <c r="J9" i="5" l="1"/>
  <c r="K9" s="1"/>
  <c r="I26" i="1"/>
  <c r="O42"/>
  <c r="L42" s="1"/>
  <c r="G42" s="1"/>
  <c r="H42" s="1"/>
  <c r="O49"/>
  <c r="L49" s="1"/>
  <c r="G49" s="1"/>
  <c r="H49" s="1"/>
  <c r="O30"/>
  <c r="L30" s="1"/>
  <c r="G30" s="1"/>
  <c r="H30" s="1"/>
  <c r="O37"/>
  <c r="L37" s="1"/>
  <c r="G37" s="1"/>
  <c r="H37" s="1"/>
  <c r="O41"/>
  <c r="L41" s="1"/>
  <c r="G41" s="1"/>
  <c r="H41" s="1"/>
  <c r="O46"/>
  <c r="L46" s="1"/>
  <c r="G46" s="1"/>
  <c r="H46" s="1"/>
  <c r="O34"/>
  <c r="L34" s="1"/>
  <c r="G34" s="1"/>
  <c r="O59"/>
  <c r="L59" s="1"/>
  <c r="G59" s="1"/>
  <c r="O51"/>
  <c r="L51" s="1"/>
  <c r="G51" s="1"/>
  <c r="H51" s="1"/>
  <c r="O50"/>
  <c r="L50" s="1"/>
  <c r="G50" s="1"/>
  <c r="H50" s="1"/>
  <c r="O52"/>
  <c r="L52" s="1"/>
  <c r="G52" s="1"/>
  <c r="O38"/>
  <c r="L38" s="1"/>
  <c r="G38" s="1"/>
  <c r="H38" s="1"/>
  <c r="O32"/>
  <c r="L32" s="1"/>
  <c r="G32" s="1"/>
  <c r="H32" s="1"/>
  <c r="O47"/>
  <c r="L47" s="1"/>
  <c r="G47" s="1"/>
  <c r="O60"/>
  <c r="L60" s="1"/>
  <c r="G60" s="1"/>
  <c r="O48"/>
  <c r="L48" s="1"/>
  <c r="G48" s="1"/>
  <c r="O56"/>
  <c r="L56" s="1"/>
  <c r="G56" s="1"/>
  <c r="H56" s="1"/>
  <c r="O57"/>
  <c r="L57" s="1"/>
  <c r="G57" s="1"/>
  <c r="H57" s="1"/>
  <c r="O40"/>
  <c r="L40" s="1"/>
  <c r="G40" s="1"/>
  <c r="H40" s="1"/>
  <c r="O39"/>
  <c r="L39" s="1"/>
  <c r="G39" s="1"/>
  <c r="H39" s="1"/>
  <c r="O35"/>
  <c r="L35" s="1"/>
  <c r="G35" s="1"/>
  <c r="H35" s="1"/>
  <c r="O53"/>
  <c r="L53" s="1"/>
  <c r="G53" s="1"/>
  <c r="H53" s="1"/>
  <c r="O36"/>
  <c r="L36" s="1"/>
  <c r="G36" s="1"/>
  <c r="H36" s="1"/>
  <c r="O31"/>
  <c r="L31" s="1"/>
  <c r="G31" s="1"/>
  <c r="H31" s="1"/>
  <c r="O45"/>
  <c r="L45" s="1"/>
  <c r="G45" s="1"/>
  <c r="O43"/>
  <c r="L43" s="1"/>
  <c r="G43" s="1"/>
  <c r="H43" s="1"/>
  <c r="O61"/>
  <c r="L61" s="1"/>
  <c r="G61" s="1"/>
  <c r="H61" s="1"/>
  <c r="O54"/>
  <c r="L54" s="1"/>
  <c r="G54" s="1"/>
  <c r="H54" s="1"/>
  <c r="O28"/>
  <c r="L28" s="1"/>
  <c r="G28" s="1"/>
  <c r="H28" s="1"/>
  <c r="O27"/>
  <c r="L27" s="1"/>
  <c r="G27" s="1"/>
  <c r="H27" s="1"/>
  <c r="O58"/>
  <c r="L58" s="1"/>
  <c r="G58" s="1"/>
  <c r="H58" s="1"/>
  <c r="O29"/>
  <c r="L29" s="1"/>
  <c r="G29" s="1"/>
  <c r="H29" s="1"/>
  <c r="O55"/>
  <c r="L55" s="1"/>
  <c r="G55" s="1"/>
  <c r="H55" s="1"/>
  <c r="O44"/>
  <c r="L44" s="1"/>
  <c r="G44" s="1"/>
  <c r="O33"/>
  <c r="L33" s="1"/>
  <c r="G33" s="1"/>
  <c r="H44" l="1"/>
  <c r="J27" i="5"/>
  <c r="K27" s="1"/>
  <c r="H34" i="1"/>
  <c r="J17" i="5"/>
  <c r="K17" s="1"/>
  <c r="I48" i="1"/>
  <c r="H48"/>
  <c r="H52"/>
  <c r="J35" i="5"/>
  <c r="K35" s="1"/>
  <c r="J43"/>
  <c r="K43" s="1"/>
  <c r="H60" i="1"/>
  <c r="I47"/>
  <c r="H47"/>
  <c r="H45"/>
  <c r="I45"/>
  <c r="J28" i="5"/>
  <c r="K28" s="1"/>
  <c r="I59" i="1"/>
  <c r="H59"/>
  <c r="I33"/>
  <c r="H33"/>
  <c r="J19" i="5"/>
  <c r="K19" s="1"/>
  <c r="I53" i="1"/>
  <c r="J36" i="5"/>
  <c r="K36" s="1"/>
  <c r="J20"/>
  <c r="K20" s="1"/>
  <c r="I37" i="1"/>
  <c r="I28"/>
  <c r="J11" i="5"/>
  <c r="K11" s="1"/>
  <c r="I35" i="1"/>
  <c r="J18" i="5"/>
  <c r="K18" s="1"/>
  <c r="J13"/>
  <c r="K13" s="1"/>
  <c r="I30" i="1"/>
  <c r="I54"/>
  <c r="J37" i="5"/>
  <c r="K37" s="1"/>
  <c r="I50" i="1"/>
  <c r="J33" i="5"/>
  <c r="K33" s="1"/>
  <c r="I49" i="1"/>
  <c r="J32" i="5"/>
  <c r="K32" s="1"/>
  <c r="I61" i="1"/>
  <c r="J44" i="5"/>
  <c r="K44" s="1"/>
  <c r="J14"/>
  <c r="K14" s="1"/>
  <c r="I31" i="1"/>
  <c r="J22" i="5"/>
  <c r="K22" s="1"/>
  <c r="I39" i="1"/>
  <c r="J15" i="5"/>
  <c r="K15" s="1"/>
  <c r="I32" i="1"/>
  <c r="I27"/>
  <c r="J10" i="5"/>
  <c r="K10" s="1"/>
  <c r="J38"/>
  <c r="K38" s="1"/>
  <c r="I55" i="1"/>
  <c r="I43"/>
  <c r="J26" i="5"/>
  <c r="K26" s="1"/>
  <c r="I40" i="1"/>
  <c r="J23" i="5"/>
  <c r="K23" s="1"/>
  <c r="I38" i="1"/>
  <c r="J21" i="5"/>
  <c r="K21" s="1"/>
  <c r="J34"/>
  <c r="K34" s="1"/>
  <c r="I51" i="1"/>
  <c r="I42"/>
  <c r="J25" i="5"/>
  <c r="K25" s="1"/>
  <c r="J29"/>
  <c r="K29" s="1"/>
  <c r="I46" i="1"/>
  <c r="I29"/>
  <c r="J12" i="5"/>
  <c r="K12" s="1"/>
  <c r="J40"/>
  <c r="K40" s="1"/>
  <c r="I57" i="1"/>
  <c r="I41"/>
  <c r="J24" i="5"/>
  <c r="K24" s="1"/>
  <c r="I58" i="1"/>
  <c r="J41" i="5"/>
  <c r="K41" s="1"/>
  <c r="I52" i="1"/>
  <c r="I60"/>
  <c r="I36"/>
  <c r="J31" i="5"/>
  <c r="K31" s="1"/>
  <c r="J42"/>
  <c r="K42" s="1"/>
  <c r="I44" i="1"/>
  <c r="J16" i="5"/>
  <c r="K16" s="1"/>
  <c r="J39"/>
  <c r="K39" s="1"/>
  <c r="I56" i="1"/>
  <c r="I34"/>
  <c r="J30" i="5"/>
  <c r="K30" s="1"/>
  <c r="K45" l="1"/>
  <c r="H62" i="1"/>
  <c r="O8" i="3" l="1"/>
  <c r="O7"/>
  <c r="H63" i="1"/>
  <c r="H64" s="1"/>
  <c r="H66" s="1"/>
  <c r="H65" s="1"/>
  <c r="F26" i="10" l="1"/>
  <c r="F29" s="1"/>
  <c r="F30" s="1"/>
  <c r="F26" i="9"/>
  <c r="F29" s="1"/>
  <c r="F30" s="1"/>
  <c r="R11" i="1"/>
  <c r="F33" i="10" l="1"/>
  <c r="F34" s="1"/>
  <c r="F35" s="1"/>
  <c r="F33" i="9"/>
  <c r="F36" i="10" l="1"/>
  <c r="F37" s="1"/>
  <c r="F44" s="1"/>
  <c r="F45" s="1"/>
  <c r="F34" i="9"/>
  <c r="F35" s="1"/>
  <c r="F36" s="1"/>
  <c r="F37" s="1"/>
  <c r="F44" s="1"/>
  <c r="F45" s="1"/>
  <c r="E12" i="14" l="1"/>
  <c r="F12" s="1"/>
  <c r="F40" i="9"/>
  <c r="F39"/>
  <c r="F42"/>
  <c r="F46"/>
  <c r="F41"/>
  <c r="F39" i="10"/>
  <c r="E13" i="14"/>
  <c r="F13" s="1"/>
  <c r="W13" s="1"/>
  <c r="Q12" i="1" s="1"/>
  <c r="F41" i="10"/>
  <c r="F40"/>
  <c r="F42"/>
  <c r="F46"/>
  <c r="F43" l="1"/>
  <c r="F43" i="9"/>
  <c r="F16" i="14"/>
  <c r="W12"/>
  <c r="Q11" i="1" l="1"/>
  <c r="W16" i="14"/>
  <c r="W18" s="1"/>
  <c r="Q15" i="1" l="1"/>
  <c r="V12"/>
  <c r="V15" s="1"/>
  <c r="O70"/>
  <c r="L70" s="1"/>
  <c r="G70" s="1"/>
  <c r="I70" l="1"/>
  <c r="H70"/>
  <c r="J51" i="5"/>
  <c r="K51" s="1"/>
  <c r="O92" i="1"/>
  <c r="L92" s="1"/>
  <c r="G92" s="1"/>
  <c r="H92" s="1"/>
  <c r="O82"/>
  <c r="L82" s="1"/>
  <c r="G82" s="1"/>
  <c r="H82" s="1"/>
  <c r="O79"/>
  <c r="L79" s="1"/>
  <c r="G79" s="1"/>
  <c r="H79" s="1"/>
  <c r="O76"/>
  <c r="L76" s="1"/>
  <c r="G76" s="1"/>
  <c r="H76" s="1"/>
  <c r="O90"/>
  <c r="L90" s="1"/>
  <c r="G90" s="1"/>
  <c r="H90" s="1"/>
  <c r="O93"/>
  <c r="L93" s="1"/>
  <c r="G93" s="1"/>
  <c r="H93" s="1"/>
  <c r="O80"/>
  <c r="L80" s="1"/>
  <c r="G80" s="1"/>
  <c r="H80" s="1"/>
  <c r="O74"/>
  <c r="L74" s="1"/>
  <c r="G74" s="1"/>
  <c r="O87"/>
  <c r="L87" s="1"/>
  <c r="G87" s="1"/>
  <c r="H87" s="1"/>
  <c r="O86"/>
  <c r="L86" s="1"/>
  <c r="G86" s="1"/>
  <c r="H86" s="1"/>
  <c r="O91"/>
  <c r="L91" s="1"/>
  <c r="G91" s="1"/>
  <c r="H91" s="1"/>
  <c r="O89"/>
  <c r="L89" s="1"/>
  <c r="G89" s="1"/>
  <c r="H89" s="1"/>
  <c r="O73"/>
  <c r="L73" s="1"/>
  <c r="G73" s="1"/>
  <c r="H73" s="1"/>
  <c r="O81"/>
  <c r="L81" s="1"/>
  <c r="G81" s="1"/>
  <c r="H81" s="1"/>
  <c r="O77"/>
  <c r="L77" s="1"/>
  <c r="G77" s="1"/>
  <c r="H77" s="1"/>
  <c r="O85"/>
  <c r="L85" s="1"/>
  <c r="G85" s="1"/>
  <c r="O72"/>
  <c r="L72" s="1"/>
  <c r="G72" s="1"/>
  <c r="H72" s="1"/>
  <c r="O75"/>
  <c r="L75" s="1"/>
  <c r="G75" s="1"/>
  <c r="H75" s="1"/>
  <c r="O78"/>
  <c r="L78" s="1"/>
  <c r="G78" s="1"/>
  <c r="O83"/>
  <c r="L83" s="1"/>
  <c r="G83" s="1"/>
  <c r="H83" s="1"/>
  <c r="O88"/>
  <c r="L88" s="1"/>
  <c r="G88" s="1"/>
  <c r="H88" s="1"/>
  <c r="O71"/>
  <c r="L71" s="1"/>
  <c r="G71" s="1"/>
  <c r="H71" s="1"/>
  <c r="O84"/>
  <c r="L84" s="1"/>
  <c r="G84" s="1"/>
  <c r="J67" i="5" l="1"/>
  <c r="K67" s="1"/>
  <c r="I85" i="1"/>
  <c r="H85"/>
  <c r="J66" i="5"/>
  <c r="K66" s="1"/>
  <c r="J65"/>
  <c r="K65" s="1"/>
  <c r="H84" i="1"/>
  <c r="J59" i="5"/>
  <c r="K59" s="1"/>
  <c r="H78" i="1"/>
  <c r="I74"/>
  <c r="H74"/>
  <c r="J55" i="5"/>
  <c r="K55" s="1"/>
  <c r="I73" i="1"/>
  <c r="J54" i="5"/>
  <c r="K54" s="1"/>
  <c r="I72" i="1"/>
  <c r="J53" i="5"/>
  <c r="K53" s="1"/>
  <c r="J68"/>
  <c r="K68" s="1"/>
  <c r="I87" i="1"/>
  <c r="J64" i="5"/>
  <c r="K64" s="1"/>
  <c r="I83" i="1"/>
  <c r="I79"/>
  <c r="J60" i="5"/>
  <c r="K60" s="1"/>
  <c r="J58"/>
  <c r="K58" s="1"/>
  <c r="I77" i="1"/>
  <c r="J63" i="5"/>
  <c r="K63" s="1"/>
  <c r="I82" i="1"/>
  <c r="I81"/>
  <c r="J62" i="5"/>
  <c r="K62" s="1"/>
  <c r="I80" i="1"/>
  <c r="J61" i="5"/>
  <c r="K61" s="1"/>
  <c r="I92" i="1"/>
  <c r="J73" i="5"/>
  <c r="K73" s="1"/>
  <c r="I75" i="1"/>
  <c r="J56" i="5"/>
  <c r="K56" s="1"/>
  <c r="I71" i="1"/>
  <c r="J52" i="5"/>
  <c r="K52" s="1"/>
  <c r="I93" i="1"/>
  <c r="J74" i="5"/>
  <c r="K74" s="1"/>
  <c r="J69"/>
  <c r="K69" s="1"/>
  <c r="I88" i="1"/>
  <c r="J71" i="5"/>
  <c r="K71" s="1"/>
  <c r="I90" i="1"/>
  <c r="J72" i="5"/>
  <c r="K72" s="1"/>
  <c r="I91" i="1"/>
  <c r="I76"/>
  <c r="J57" i="5"/>
  <c r="K57" s="1"/>
  <c r="I89" i="1"/>
  <c r="I78"/>
  <c r="J70" i="5"/>
  <c r="K70" s="1"/>
  <c r="I84" i="1"/>
  <c r="I86"/>
  <c r="K75" i="5" l="1"/>
  <c r="H94" i="1"/>
  <c r="P8" i="3" l="1"/>
  <c r="R12" i="1" s="1"/>
  <c r="R15" s="1"/>
  <c r="W17" i="14"/>
  <c r="H95" i="1"/>
  <c r="H96" l="1"/>
  <c r="H98" s="1"/>
  <c r="H97" s="1"/>
</calcChain>
</file>

<file path=xl/sharedStrings.xml><?xml version="1.0" encoding="utf-8"?>
<sst xmlns="http://schemas.openxmlformats.org/spreadsheetml/2006/main" count="1462" uniqueCount="704">
  <si>
    <t xml:space="preserve">OCORRÊNCIAS MENSAIS DO FATURAMENTO </t>
  </si>
  <si>
    <t>UTILIZAÇÃO DO GESTOR CONTRATUAL PARA REALIZAÇÃO DO FATURAMENTO MENSAL</t>
  </si>
  <si>
    <t>DEFINIR VERSÃO DE APRESENTAÇÃO:</t>
  </si>
  <si>
    <t>PLANILHA PARA LICITAÇÃO (PRECIFICAÇÃO)</t>
  </si>
  <si>
    <t>DEFINIR BASE DE DESCONTOS/GLOSAS:</t>
  </si>
  <si>
    <t>MÊS CONTÁBIL</t>
  </si>
  <si>
    <r>
      <rPr>
        <b/>
        <sz val="10"/>
        <rFont val="Calibri"/>
        <family val="2"/>
        <charset val="1"/>
      </rPr>
      <t xml:space="preserve">INSTRUÇÕES DE PREENCHIMENTO
UTILIZAÇÃO EXCLUSIVA FISCAL/GESTOR
PARA AUXILIAR NO VALOR DE FATURAMENTO
Preencher as células destacadas na cor </t>
    </r>
    <r>
      <rPr>
        <b/>
        <sz val="10"/>
        <color rgb="FFFF0000"/>
        <rFont val="Calibri"/>
        <family val="2"/>
        <charset val="1"/>
      </rPr>
      <t>vermelha</t>
    </r>
    <r>
      <rPr>
        <b/>
        <sz val="10"/>
        <rFont val="Calibri"/>
        <family val="2"/>
        <charset val="1"/>
      </rPr>
      <t xml:space="preserve"> para realização dos cálculos das demais abas.
Não é necessário preenchimento de outras abas.</t>
    </r>
  </si>
  <si>
    <t>Informar número de Postos que não utilizam V.T.
(Coluna "D")</t>
  </si>
  <si>
    <t>Informar se titular do posto é optante pelo recebimento de V.T.
(Coluna "E")</t>
  </si>
  <si>
    <t>Desconto automático de V.T.
(Coluna "F")</t>
  </si>
  <si>
    <t>Preencher o número de dias (corridos) que o terceirizado que não recebe vt ficou afastado por férias ou faltas
(Coluna "G")</t>
  </si>
  <si>
    <t>Preencher nº de dias úteis em que o optante de V.T realizou trabalho em Home Office OU dias de Recesso Forense / Ponto facultativo
(Coluna "H")</t>
  </si>
  <si>
    <t>Conversão das horas de ausência em dias de ausência
(Coluna "I")</t>
  </si>
  <si>
    <t>Conversão das horas de ausência em dias de ausência
(Coluna "J")</t>
  </si>
  <si>
    <t>Nº dias de faltas comuns sem substituição.
(Coluna "K")</t>
  </si>
  <si>
    <t>Informar número de dias por férias no mês (dias)
(Coluna "L")</t>
  </si>
  <si>
    <t>Desconto de V.A. por dias de recesso forense e/ou ponto facultativo.
(Coluna "M")</t>
  </si>
  <si>
    <t>Nº de dias corridos de férias sem substituição quando o adicional de insalubridade é passado para outra servente do quadro.
(Coluna "N")</t>
  </si>
  <si>
    <t>Somatório de glosas.
(Coluna "O")</t>
  </si>
  <si>
    <t>Somatório de acrésimo por substituição do posto insalubre por outro profissional do quadro.
(Coluna "P")</t>
  </si>
  <si>
    <t>Informativo sobre valor faturado por tipo de função.
(Coluna "Q")</t>
  </si>
  <si>
    <t>Valores correspondentes ao fornecimento de materiais e epis.
(incluindo impostos)
(Coluna "R")</t>
  </si>
  <si>
    <t>Informar código de elemento de despesa
(Coluna "S")</t>
  </si>
  <si>
    <t>INFORMATIVO PARA GESTÃO CONTRATUAL</t>
  </si>
  <si>
    <t>Quant</t>
  </si>
  <si>
    <t>Descrição das Categorias</t>
  </si>
  <si>
    <t>Carga Horária (horas)</t>
  </si>
  <si>
    <t>Nº Postos não optantes pelo recebimento de V.T.</t>
  </si>
  <si>
    <t>Realizar glosa por não fornecimento de V.T.?</t>
  </si>
  <si>
    <t>Dias de
Glosa V.T.
Para Não Optantes</t>
  </si>
  <si>
    <t>Ajuste de V.T para fornecimento para
postos Não Optantes</t>
  </si>
  <si>
    <t>Dias de Home Office OU Recesso para os postos Optantes de V.T.</t>
  </si>
  <si>
    <t>Dias de faltas após conversão das horas
(planilha auxiliar)</t>
  </si>
  <si>
    <t>Quant. Atrasos e Faltas</t>
  </si>
  <si>
    <t>Dias de Férias</t>
  </si>
  <si>
    <t>Dias de Glosas de V.A no Mês</t>
  </si>
  <si>
    <t>*1 Dias de Deslocamento de Insalubridade</t>
  </si>
  <si>
    <t>VALOR TOTAL GLOSADO</t>
  </si>
  <si>
    <t>VALOR TOTAL ACRESCIDO</t>
  </si>
  <si>
    <t>Valor Mensal 
Faturado com aplicação de descontos</t>
  </si>
  <si>
    <t>VALOR TOTAL INSUMOS FORNECIDOS NO MÊS.</t>
  </si>
  <si>
    <t xml:space="preserve">Elemento de Despesa </t>
  </si>
  <si>
    <t>VALOR DE RETENÇÃO CONTA VINCULADA</t>
  </si>
  <si>
    <t>CÓDIGOS ELEMENTO DE DESPESA</t>
  </si>
  <si>
    <t>FATURAMENTO MENSAL</t>
  </si>
  <si>
    <t>RETENÇÃO 
GLOSA CONTA VINCULADA
(VERIFICAR NECESSIDADE)</t>
  </si>
  <si>
    <t>SIM</t>
  </si>
  <si>
    <t>ELEMENTO 2</t>
  </si>
  <si>
    <t>ELEMENTO 1</t>
  </si>
  <si>
    <t>VALOR TOTAL GLOSADOS</t>
  </si>
  <si>
    <t>OBSERVAÇÕES:</t>
  </si>
  <si>
    <t>1. Para apoio ao lançamento de ausências de horas, sugere-se a utilização da planilha complementar abaixo. O preenchimento das horas convertidas deve ocorrer na Coluna "I".</t>
  </si>
  <si>
    <t>Planilha auxiliar para conversão de horas de ausências em dias de faltas. (preenchimento coluna "I")</t>
  </si>
  <si>
    <t>Jornada</t>
  </si>
  <si>
    <t>Total de Horas</t>
  </si>
  <si>
    <t>Total de Minutos</t>
  </si>
  <si>
    <t>Conversão em Dias</t>
  </si>
  <si>
    <t>Obs: Informar a jornada de trabalho do posto analisado. Em sequência, informar as horas completas faltantes e posteriormente os minutos. Ex: 10:25h faltantes - Lançar 10 na célula "D22" e lançar 25 na célula "E22".
Lançar o resultado convertido na coluna "H".</t>
  </si>
  <si>
    <t>2. Na célula “N15” deverá ser informado a quantidade de dias em que o trabalho insalubre foi realizado por outra servente do quadro, durante as férias da Servente de Limpeza 40% insalubre - titular.</t>
  </si>
  <si>
    <t>ITEM</t>
  </si>
  <si>
    <t>DESCRIÇÃO DO MATERIAL DE IMPEZA
SERVENTES DE LIMPEZA</t>
  </si>
  <si>
    <t>GASTO MENSAL</t>
  </si>
  <si>
    <r>
      <rPr>
        <b/>
        <u/>
        <sz val="10"/>
        <rFont val="Calibri"/>
        <family val="2"/>
        <charset val="1"/>
      </rPr>
      <t xml:space="preserve">ANÁLISE CRÍTICA </t>
    </r>
    <r>
      <rPr>
        <b/>
        <sz val="10"/>
        <rFont val="Calibri"/>
        <family val="2"/>
        <charset val="1"/>
      </rPr>
      <t>SOBRE O FORNECIMENTO DOS MATERIAIS
ESTIMATIVA MENSAL x FORNECIMENTO EFETIVO
(INFORMAÇÃO COMO PARÂMETRO DE INDICATIVO)</t>
    </r>
  </si>
  <si>
    <t>REFERÊNCIA MENSAL PARA FORNECIMENTO</t>
  </si>
  <si>
    <t>Material</t>
  </si>
  <si>
    <t>Unid.</t>
  </si>
  <si>
    <t>Marcas de Referência</t>
  </si>
  <si>
    <t>QNTDE "REAL" FORNECIDA
NO MÊS</t>
  </si>
  <si>
    <t>Custo Mensal</t>
  </si>
  <si>
    <t>Quantidade Mensal</t>
  </si>
  <si>
    <t>Quantidade Total</t>
  </si>
  <si>
    <t>Periodicidade</t>
  </si>
  <si>
    <t>Divisor</t>
  </si>
  <si>
    <t>Galão</t>
  </si>
  <si>
    <t>Condor</t>
  </si>
  <si>
    <t>Bombril</t>
  </si>
  <si>
    <t>DESPESA MENSAL</t>
  </si>
  <si>
    <t>TAXA ADMINISTRATIVA</t>
  </si>
  <si>
    <t>LUCRO</t>
  </si>
  <si>
    <t>TRIBUTOS</t>
  </si>
  <si>
    <t>VALOR TOTAL COM MATERIAIS DE LIMPEZA</t>
  </si>
  <si>
    <t>MATERIAIS DE LIMPEZA COPA
COPEIRA</t>
  </si>
  <si>
    <t>unid</t>
  </si>
  <si>
    <t>Desentupidor de pia</t>
  </si>
  <si>
    <t>unid.</t>
  </si>
  <si>
    <t>pct</t>
  </si>
  <si>
    <t>Santepel</t>
  </si>
  <si>
    <t>VALOR TOTAL COM MATERIAIS DE COPA</t>
  </si>
  <si>
    <t>LISTA PARA OPÇÕES DE GLOSAS</t>
  </si>
  <si>
    <t>DIAS ÚTEIS (CONTRATO)</t>
  </si>
  <si>
    <t>Obs: Desconto por dias definidos em contrato.</t>
  </si>
  <si>
    <t>Obs: Desconto atualmente aplicado (30 dias corridos).</t>
  </si>
  <si>
    <t>DIAS DO MÊS VIGENTE</t>
  </si>
  <si>
    <t>Informar</t>
  </si>
  <si>
    <t>Obs: Desconto por dias úteis mensais, ocorrência variável, devendo ser informado mensalmente.</t>
  </si>
  <si>
    <t>JORNADA DE TRABALHO</t>
  </si>
  <si>
    <t>DIVISOR DE HORAS</t>
  </si>
  <si>
    <t>LISTA PARA TOTAL DE POSTOS</t>
  </si>
  <si>
    <t>Tribunal Regional Federal da 6ª Região</t>
  </si>
  <si>
    <t>Seção Judiciária de Minas Gerais</t>
  </si>
  <si>
    <t>Subseção Judiciária de Sete Lagoas</t>
  </si>
  <si>
    <t>1.</t>
  </si>
  <si>
    <t>SOMENTE SERÃO ACEITAS MODIFICAÇÕES NAS CÉLULAS DESTACADAS NA COR AMARELA COMO NO EXEMPLO ABAIXO:</t>
  </si>
  <si>
    <t>Células de livre edição.</t>
  </si>
  <si>
    <t>2.</t>
  </si>
  <si>
    <r>
      <rPr>
        <sz val="10"/>
        <rFont val="Calibri"/>
        <family val="2"/>
        <charset val="1"/>
      </rPr>
      <t xml:space="preserve">As demais células estarão </t>
    </r>
    <r>
      <rPr>
        <b/>
        <sz val="10"/>
        <rFont val="Calibri"/>
        <family val="2"/>
        <charset val="1"/>
      </rPr>
      <t>bloqueadas</t>
    </r>
    <r>
      <rPr>
        <sz val="10"/>
        <rFont val="Calibri"/>
        <family val="2"/>
        <charset val="1"/>
      </rPr>
      <t xml:space="preserve"> para edição das licitantes.</t>
    </r>
  </si>
  <si>
    <t>3.</t>
  </si>
  <si>
    <t>As Abas necessárias para o preenchimento estão organizadas em uma sequência lógica, sendo Dados; Encargos; Materiais (limpeza, copa e limpeza de veículos); EPI; Equipamentos; Uniforme.</t>
  </si>
  <si>
    <t>Os nomes das abas estarão abreviados para otimização da planilha.</t>
  </si>
  <si>
    <r>
      <rPr>
        <b/>
        <sz val="10"/>
        <rFont val="Calibri"/>
        <family val="2"/>
        <charset val="1"/>
      </rPr>
      <t xml:space="preserve">Sugere-se o preenchimento das seguintes abas em sequência: </t>
    </r>
    <r>
      <rPr>
        <sz val="10"/>
        <rFont val="Calibri"/>
        <family val="2"/>
        <charset val="1"/>
      </rPr>
      <t>Dados, Encargos, Materiais, EPI, Equipamentos e Uniforme, para a realização de cálculos completa da planilha de composição de custos.</t>
    </r>
  </si>
  <si>
    <t>3.1</t>
  </si>
  <si>
    <t>Estas Abas estarão destacadas na Cor Amarela.</t>
  </si>
  <si>
    <t>3.2</t>
  </si>
  <si>
    <t>PREENCHIMENTO ABA "DADOS"</t>
  </si>
  <si>
    <t xml:space="preserve"> - Informar piso salarial de cada categoria, correspondente à jornada de 220h. (Células "E7":"E11").</t>
  </si>
  <si>
    <t xml:space="preserve"> - Informar o percentual de acúmulo de função a ser aplicado. (Célula "I10").</t>
  </si>
  <si>
    <t xml:space="preserve"> - Informar o salário base para cálculo da atividade acumulada. (Célula "K10").</t>
  </si>
  <si>
    <t xml:space="preserve"> - Informar os Dados da Apresentação da Proposta e relacionados à Convenção Coletiva de Trabalho. Tais informações não interferem na execução de cálculos, servem apenas para instruir o processo da análise da proposta. (Células "E14:E18").</t>
  </si>
  <si>
    <t xml:space="preserve"> - Informar o percentual correspondente ao RAT, conforme atividade principal da licitante. (Célula "G24").</t>
  </si>
  <si>
    <t xml:space="preserve"> - Informar o fator correspondente ao FAP, conforme extraído do relatório FapWeb. (Célula "G25").</t>
  </si>
  <si>
    <t xml:space="preserve"> - Informar o valor do salário mínimo nacional vigente (base de cálculo para a cotação de insalubridade). (Célula "G28").</t>
  </si>
  <si>
    <t xml:space="preserve"> - Informar o valor unitário do Seguro de Vida, nos casos exigidos, conforme legislação vigente. (Célula "G31").</t>
  </si>
  <si>
    <t xml:space="preserve"> - Informar o valor unitário do Programa de Assistência Familiar - PAF, nos casos exigidos, conforme legislação vigente. (Célula "G32").</t>
  </si>
  <si>
    <t xml:space="preserve"> - Informar o valor unitário da tarifa de transporte público vigente à data de apresentação da proposta, conforme legislação vigente. (Célula "G33").</t>
  </si>
  <si>
    <t xml:space="preserve"> - Informar o quantitativo unitário diário de tarifas de transporte público (ex.: 1 tarifa para ida e 1 tarifa para volta = Total de 2 tarifas). (Célula "G34").</t>
  </si>
  <si>
    <t xml:space="preserve"> - Informar o percentual de desconto à título de participação do trabalhador em relação ao fornecimento de vale transporte, nos casos exigidos, conforme legislação vigente. (Célula "G35").</t>
  </si>
  <si>
    <t xml:space="preserve"> - Informar o valor unitário do ticket de Vale Alimentação, nos casos exigidos, conforme legislação vigente. (Célula "G37").</t>
  </si>
  <si>
    <t xml:space="preserve"> - Informar o percentual de desconto à título de participação do trabalhador em relação ao fornecimento de Vale Alimentação, nos casos exigidos, conforme legislação vigente. (Célula "G39").</t>
  </si>
  <si>
    <t xml:space="preserve"> - Incluir outros custos não previstos previamente, bem como descrevê-los, em caso de previsão legal, devendo ser apresentadas justificativas para a inserção. (Células "B40" e "G40").</t>
  </si>
  <si>
    <t xml:space="preserve"> - Incluir outros custos não previstos previamente, bem como descrevê-los, em caso de previsão legal, devendo ser apresentadas justificativas para a inserção. (Células "B41" e "G41").</t>
  </si>
  <si>
    <t xml:space="preserve"> - Informar o percentual relativo às Despesas Administrativas da licitante. (Células "G44").</t>
  </si>
  <si>
    <t xml:space="preserve"> - Informar o percentual relativo ao Lucro da licitante. (Células "G45").</t>
  </si>
  <si>
    <t xml:space="preserve"> - Informar a opção tributária da licitante (Células "F51") conforme legislação vigente, OBSERVANDO as instruções contantes na Célula "B48".</t>
  </si>
  <si>
    <t xml:space="preserve"> - Informar o percentual da alíquota COFINS (Células "G52") conforme legislação vigente, OBSERVANDO as instruções contantes na Célula "B48".</t>
  </si>
  <si>
    <t xml:space="preserve"> - Informar o percentual da alíquota PIS/PASEP (Células "G53") conforme legislação vigente, OBSERVANDO as instruções contantes na Célula "B48".</t>
  </si>
  <si>
    <t xml:space="preserve"> - Informar o percentual da alíquota ISSQN (Células "G54") conforme legislação vigente, OBSERVANDO as instruções contantes na Célula "B48".</t>
  </si>
  <si>
    <t xml:space="preserve"> - Incluir outros impostos não inseridos previamente, bem como descrevê-los, em caso de previsão legal, devendo ser apresentadas justificativas para a inserção. (Células "B55" e "G55").</t>
  </si>
  <si>
    <t xml:space="preserve"> - Alterar SOMENTE aqueles destacados na COR AMARELA.</t>
  </si>
  <si>
    <t>3.3</t>
  </si>
  <si>
    <t>PREENCHIMENTO ABA "ENCARGOS"</t>
  </si>
  <si>
    <t xml:space="preserve"> - Informar os percentuais de encargos nas células destacadas em amarelo dispostas na "Coluna C", de acordo com sua descrição "Coluna B".</t>
  </si>
  <si>
    <t xml:space="preserve"> - Atentar-se às observações continuadas ao final do quadro de encargos (Célula "B59"), com as demais instruções cabíveis aos percentuais dispostos nesta Aba.</t>
  </si>
  <si>
    <t>3.4</t>
  </si>
  <si>
    <t>PREENCHIMENTO ABA "MATERIAIS"</t>
  </si>
  <si>
    <t xml:space="preserve"> - Atentar-se para o preenchimento de todos os quadros dispostos nesta Aba, sendo:</t>
  </si>
  <si>
    <t xml:space="preserve"> - O preenchimento das células da Coluna "H" está permitida somente para inserção de Observações, caso necessário.</t>
  </si>
  <si>
    <t>3.5</t>
  </si>
  <si>
    <t>PREENCHIMENTO ABA "EQUIPAMENTOS"</t>
  </si>
  <si>
    <t xml:space="preserve"> - Informar os valores unitários de cada item nas células destacadas em amarelo dispostas na "Coluna D", de acordo com sua descrição "Colunas B:C".</t>
  </si>
  <si>
    <t>3.6</t>
  </si>
  <si>
    <t>PREENCHIMENTO ABA "UNIFORMES"</t>
  </si>
  <si>
    <t xml:space="preserve"> - Informar os valores unitários de cada peça de uniforme nas células destacadas em amarelo dispostas na "Coluna G", de acordo com sua descrição "Colunas B:F".</t>
  </si>
  <si>
    <t>4.</t>
  </si>
  <si>
    <r>
      <rPr>
        <sz val="10"/>
        <rFont val="Calibri"/>
        <family val="2"/>
        <charset val="1"/>
      </rPr>
      <t>A Aba "</t>
    </r>
    <r>
      <rPr>
        <b/>
        <sz val="10"/>
        <rFont val="Calibri"/>
        <family val="2"/>
        <charset val="1"/>
      </rPr>
      <t>Especificações</t>
    </r>
    <r>
      <rPr>
        <sz val="10"/>
        <rFont val="Calibri"/>
        <family val="2"/>
        <charset val="1"/>
      </rPr>
      <t xml:space="preserve">", corresponde ao detalhamento dos </t>
    </r>
    <r>
      <rPr>
        <b/>
        <sz val="10"/>
        <rFont val="Calibri"/>
        <family val="2"/>
        <charset val="1"/>
      </rPr>
      <t>Uniformes</t>
    </r>
    <r>
      <rPr>
        <sz val="10"/>
        <rFont val="Calibri"/>
        <family val="2"/>
        <charset val="1"/>
      </rPr>
      <t>, servindo apenas para consulta e entendimento dos tipos de uniforme solicitados para o fornecimento.</t>
    </r>
  </si>
  <si>
    <t>4.1</t>
  </si>
  <si>
    <t>Esta aba está destacada na Cor Laranja.</t>
  </si>
  <si>
    <t>5.</t>
  </si>
  <si>
    <r>
      <rPr>
        <sz val="10"/>
        <rFont val="Calibri"/>
        <family val="2"/>
        <charset val="1"/>
      </rPr>
      <t xml:space="preserve">Destaca-se que após o preenchimento destas Abas (de acordo com as instruções contidas no item 3), os preços individuais das </t>
    </r>
    <r>
      <rPr>
        <b/>
        <sz val="10"/>
        <rFont val="Calibri"/>
        <family val="2"/>
        <charset val="1"/>
      </rPr>
      <t>categorias</t>
    </r>
    <r>
      <rPr>
        <sz val="10"/>
        <rFont val="Calibri"/>
        <family val="2"/>
        <charset val="1"/>
      </rPr>
      <t xml:space="preserve"> profissionais serão refletidos automaticamente para as suas abas correspondentes (Serv Ins, Serv, Copeira, Zel ac. e Aux).</t>
    </r>
  </si>
  <si>
    <t>5.1</t>
  </si>
  <si>
    <r>
      <rPr>
        <b/>
        <sz val="10"/>
        <rFont val="Calibri"/>
        <family val="2"/>
        <charset val="1"/>
      </rPr>
      <t>Não será necessário realizar nenhuma alteração nas abas contendo o detalhamento de custos de cada categoria profissional.</t>
    </r>
    <r>
      <rPr>
        <sz val="10"/>
        <rFont val="Calibri"/>
        <family val="2"/>
        <charset val="1"/>
      </rPr>
      <t xml:space="preserve"> Estas abas conterão apenas o reflexo dos dados preenchidos nas abas anteriores (conforme explicação nº 3).</t>
    </r>
  </si>
  <si>
    <t>5.2</t>
  </si>
  <si>
    <t>Estas abas estão destacadas na Cor Cinza.</t>
  </si>
  <si>
    <t>6.</t>
  </si>
  <si>
    <r>
      <rPr>
        <sz val="10"/>
        <rFont val="Calibri"/>
        <family val="2"/>
        <charset val="1"/>
      </rPr>
      <t>A Aba "</t>
    </r>
    <r>
      <rPr>
        <b/>
        <sz val="10"/>
        <rFont val="Calibri"/>
        <family val="2"/>
        <charset val="1"/>
      </rPr>
      <t>Resumo</t>
    </r>
    <r>
      <rPr>
        <sz val="10"/>
        <rFont val="Calibri"/>
        <family val="2"/>
        <charset val="1"/>
      </rPr>
      <t>" contém o detalhamento dos custos unitários por categoria profissional, além de conter o preço final da proposta.</t>
    </r>
  </si>
  <si>
    <t>6.1</t>
  </si>
  <si>
    <r>
      <rPr>
        <sz val="10"/>
        <rFont val="Calibri"/>
        <family val="2"/>
        <charset val="1"/>
      </rPr>
      <t xml:space="preserve">Para efeitos de lance/oferta, as licitantes devem considerar o valor da célula "T17", da Aba "Resumo", correspondente ao </t>
    </r>
    <r>
      <rPr>
        <b/>
        <sz val="10"/>
        <rFont val="Calibri"/>
        <family val="2"/>
        <charset val="1"/>
      </rPr>
      <t>VALOR MENSAL.</t>
    </r>
  </si>
  <si>
    <t>6.2</t>
  </si>
  <si>
    <t>Esta aba está destacada na Cor Azul.</t>
  </si>
  <si>
    <t>7.</t>
  </si>
  <si>
    <r>
      <rPr>
        <sz val="10"/>
        <rFont val="Calibri"/>
        <family val="2"/>
        <charset val="1"/>
      </rPr>
      <t>A Aba "</t>
    </r>
    <r>
      <rPr>
        <b/>
        <sz val="10"/>
        <rFont val="Calibri"/>
        <family val="2"/>
        <charset val="1"/>
      </rPr>
      <t>Custo Estimado Substituto</t>
    </r>
    <r>
      <rPr>
        <sz val="10"/>
        <rFont val="Calibri"/>
        <family val="2"/>
        <charset val="1"/>
      </rPr>
      <t>" contém valores estimados com os profissionais substitutos do titular em férias.</t>
    </r>
  </si>
  <si>
    <t>7.1</t>
  </si>
  <si>
    <t>Não será necessário realizar nenhuma alteração nesta aba, pois conterá apenas o reflexo dos dados preenchidos nas abas anteriores (conforme explicação nº 3).</t>
  </si>
  <si>
    <t>7.2</t>
  </si>
  <si>
    <t>Elemento de Despesa</t>
  </si>
  <si>
    <t>Quantidade de Postos</t>
  </si>
  <si>
    <t>Carga Horária
(Horas)</t>
  </si>
  <si>
    <t>*OBS 1 -
Salário Base I (Piso Para 220h/m)
(R$)</t>
  </si>
  <si>
    <t>Salário Base II
(Conforme Jornada Contratada)
(R$)</t>
  </si>
  <si>
    <t xml:space="preserve">
Insalubridade
Grau de Risco
(%)</t>
  </si>
  <si>
    <t>Valor Insalubridade
(R$)</t>
  </si>
  <si>
    <t>*OBS 2 -
Acúmulo de Função / Acréscimo Salarial
(%)</t>
  </si>
  <si>
    <t>*OBS 3 -
Tempo de Execução de Atividades em Acúmulo
(%)</t>
  </si>
  <si>
    <t>*OBS 4 -
Base Para Cálculo de Acúmulo de Função
(R$)</t>
  </si>
  <si>
    <t>Valor Acúmulo de Função
(R$)</t>
  </si>
  <si>
    <t>Remuneração Total
(Grupo A)
(R$)</t>
  </si>
  <si>
    <t>Uniforme
(R$)</t>
  </si>
  <si>
    <t>Material de Limpeza Rateado
(R$)</t>
  </si>
  <si>
    <t>Material de Copa Rateado
(R$)</t>
  </si>
  <si>
    <t>Depreciação Rateada
(R$)</t>
  </si>
  <si>
    <t>CÓDIGO DE ELEMENTO DE DESPESA
(CONTROLE DA CONTRATANTE)</t>
  </si>
  <si>
    <t>RATEIO
INSUMOS</t>
  </si>
  <si>
    <t>Servente de Limpeza 40% Insalubridade</t>
  </si>
  <si>
    <t>Auxiliar Administrativo</t>
  </si>
  <si>
    <t>OBS 1: Inserir piso salarial correspondente à jornada de 220h mensais.      OBS 2: Informar % de acúmulo de função.</t>
  </si>
  <si>
    <t>OBS 3: Informar % do tempo de acúmulo de função.   OBS 4: Informar salário base.</t>
  </si>
  <si>
    <t>TOTAL</t>
  </si>
  <si>
    <t>DADOS DA PROPOSTA</t>
  </si>
  <si>
    <t>Data de apresentação da proposta</t>
  </si>
  <si>
    <t>ABERTURA DA PROPOSTA</t>
  </si>
  <si>
    <t>Informar data de abertura do certame / data final para cadastro da proposta comercial.</t>
  </si>
  <si>
    <t>Sindicato utilizado</t>
  </si>
  <si>
    <t>SINTAPPI/MG</t>
  </si>
  <si>
    <t>Informar o sindicato utilizado pela Licitante.</t>
  </si>
  <si>
    <t>Número de registro da CCT - Código MTE</t>
  </si>
  <si>
    <t>MG002103/2024</t>
  </si>
  <si>
    <t>Informar o número de registro da Convenção Coletiva de Tralbalho utilizada no processo licitatório, junto ao Ministério do Trabalho e Emprego.</t>
  </si>
  <si>
    <t>Vigência da CCT utilizada</t>
  </si>
  <si>
    <t>01/04/2024 à 31/03/2025</t>
  </si>
  <si>
    <t>Informar a vigência da Convenção Coletiva de Trabalho utilizada no processo licitatório.</t>
  </si>
  <si>
    <t>Data base da categoria</t>
  </si>
  <si>
    <t>01º de Abril</t>
  </si>
  <si>
    <t>Informar a data base da Convenção Coletiva de Trabalho utilizada no processo licitatório.</t>
  </si>
  <si>
    <t>ENCARGOS SOCIAIS E TRABALHISTAS</t>
  </si>
  <si>
    <t>-</t>
  </si>
  <si>
    <t>Percentual de Encargos (TOTAL)</t>
  </si>
  <si>
    <t>SAT - Seguro Acidentes Trabalho</t>
  </si>
  <si>
    <t>RAT (Atividade Principal)</t>
  </si>
  <si>
    <t>Informar percentual correspondente à atividade preponderante da Licitante.</t>
  </si>
  <si>
    <t>FAP (Conforme FapWeb)</t>
  </si>
  <si>
    <t>Informar Fator extraído do documento FapWeb da Licitante.</t>
  </si>
  <si>
    <t>SALÁRIO BASE PARE CÁLCULO DE INSALUBRIDADE</t>
  </si>
  <si>
    <t>Informar base salarial para fins de cálculo de Insalubridade.</t>
  </si>
  <si>
    <t>BENEFÍCIOS</t>
  </si>
  <si>
    <t>Seguro de Vida em Grupo</t>
  </si>
  <si>
    <t>Inserir valor unitário mensal.</t>
  </si>
  <si>
    <t>Programa de Assistência Familiar - PAF</t>
  </si>
  <si>
    <t>Vale Transporte</t>
  </si>
  <si>
    <t>Valor da tarifa</t>
  </si>
  <si>
    <t>Inserir o valor unitário da tarifa.</t>
  </si>
  <si>
    <t>Número de Tarifas por dia</t>
  </si>
  <si>
    <t>Inserir a quantidade de tarifas diárias.</t>
  </si>
  <si>
    <t>Número de dias para fornecimento</t>
  </si>
  <si>
    <t>Número de dias utilizados para a precificação. Número determinado em edital. Não será permitido alteração.</t>
  </si>
  <si>
    <t>Custeio do trabalhador (participação legal)</t>
  </si>
  <si>
    <t>Inserir percentual de participação do trabalhador.</t>
  </si>
  <si>
    <t>Vale Alimentação</t>
  </si>
  <si>
    <t>Valor Unitário do Ticket</t>
  </si>
  <si>
    <t>Inserir valor unitário do Ticket.</t>
  </si>
  <si>
    <t>Outros (inserir somente com a justificativa legal)</t>
  </si>
  <si>
    <t>Inserir valor unitário mensal, quando preenchido, e apresentar as justificativas legais para inclusão.</t>
  </si>
  <si>
    <t>MONTANTE C</t>
  </si>
  <si>
    <t>Despesas Administrativas</t>
  </si>
  <si>
    <t>Informar percentual da Licitante.</t>
  </si>
  <si>
    <t>Lucro</t>
  </si>
  <si>
    <t>MONTANTE D</t>
  </si>
  <si>
    <t>OBS:</t>
  </si>
  <si>
    <t>Opção Tributária</t>
  </si>
  <si>
    <t>LUCRO REAL</t>
  </si>
  <si>
    <t>Informar opção tributária da Licitante. Atentar-se às observações do "Montante D".</t>
  </si>
  <si>
    <t>COFINS</t>
  </si>
  <si>
    <t>Informar percentual da Licitante. Atentar-se às observações do "Montante D".</t>
  </si>
  <si>
    <t>PIS/PASEP</t>
  </si>
  <si>
    <t>ISSQN</t>
  </si>
  <si>
    <t>Informar percentual do código tributário municipal, local da execução das atividades.</t>
  </si>
  <si>
    <t>Informar o tipo de tributo e apresentar as justificativas legais para inclusão. Informar percentual da Licitante. Atentar-se às observações do "Montante D".</t>
  </si>
  <si>
    <t>Soma dos tributos</t>
  </si>
  <si>
    <t>PREVISÃO DE REAJUSTE IPCA - 12 (DOZE) MESES DE CONTRATO - INFORMATIVO PARA SER UTILIZADO DURANTE A GESTÃO CONTRATUAL</t>
  </si>
  <si>
    <t>UNIFORME</t>
  </si>
  <si>
    <t>MATERIAIS
DIVERSOS</t>
  </si>
  <si>
    <t>EPI COVID</t>
  </si>
  <si>
    <t>SEG VIDA</t>
  </si>
  <si>
    <t>FATOR DE APLICAÇÃO
(2 CASAS DECIMAIS)</t>
  </si>
  <si>
    <t>DATA DE APROVAÇÃO IPCA</t>
  </si>
  <si>
    <t>DOCUMENTO RELACIONADO ID</t>
  </si>
  <si>
    <t>1º REAJUSTE IPCA</t>
  </si>
  <si>
    <t>Percentual (%) aprovado</t>
  </si>
  <si>
    <t>Aplicar reajuste após solicitação da contratada?</t>
  </si>
  <si>
    <t>NÃO</t>
  </si>
  <si>
    <t>2º REAJUSTE IPCA</t>
  </si>
  <si>
    <t>3º REAJUSTE IPCA</t>
  </si>
  <si>
    <t>4º REAJUSTE IPCA</t>
  </si>
  <si>
    <t>5º REAJUSTE IPCA</t>
  </si>
  <si>
    <t>CONTROLE DE REAJUSTE IPCA - UNIFORME</t>
  </si>
  <si>
    <t>APLICAR
VALOR</t>
  </si>
  <si>
    <t>INICIAL</t>
  </si>
  <si>
    <t>CONTROLE DE REAJUSTE IPCA - MATERIAIS DIVERSOS</t>
  </si>
  <si>
    <t>CONTROLE DE REAJUSTE IPCA - EPI COVID</t>
  </si>
  <si>
    <t>CONTROLE DE REAJUSTE IPCA - SEGURO DE VIDA</t>
  </si>
  <si>
    <t>VALOR INICIAL DO CONTRATO</t>
  </si>
  <si>
    <t>1º REAJUSTE POR IPCA</t>
  </si>
  <si>
    <t>2º REAJUSTE POR IPCA</t>
  </si>
  <si>
    <t>3º REAJUSTE POR IPCA</t>
  </si>
  <si>
    <t>4º REAJUSTE POR IPCA</t>
  </si>
  <si>
    <t>5º REAJUSTE POR IPCA</t>
  </si>
  <si>
    <t>HISTÓRICO - CONTROLE DE CONTRATO - VERSÃO DE PLANILHA DE CUSTOS</t>
  </si>
  <si>
    <t>Planilha / Proposta comercial - Início do contrato (Licitação)</t>
  </si>
  <si>
    <t>PLANILHA - ID</t>
  </si>
  <si>
    <t>Obs: Planiha apresentada e aceita durante a fase de lances.</t>
  </si>
  <si>
    <t>1º Termo Aditivo</t>
  </si>
  <si>
    <t>Obs: Planilha ajustada com o acréscimo de 1 posto "X" - 200h.</t>
  </si>
  <si>
    <t>1º Termo de Apostilamento</t>
  </si>
  <si>
    <t>Obs: Repactuação CCT 2024 / Alteração do salário mínimo nacional.</t>
  </si>
  <si>
    <t>INFORMAR TERMO ADITIVO / APOSTILAMENTO / ALTERAÇÃO CONTRATUAL</t>
  </si>
  <si>
    <t>Obs: Descrever alerações. EX: Como é realizado no Extrato.</t>
  </si>
  <si>
    <t>Planilha de Encargos Sociais e Trabalhistas</t>
  </si>
  <si>
    <t>INSTRUÇÕES DE PREENCHIMENTO - Informar/Alterar somente as células destacadas na Cor Amarela, de acordo com o percentual da Licitante.</t>
  </si>
  <si>
    <t>QUADRO RESUMO</t>
  </si>
  <si>
    <t>DESCRIÇÃO</t>
  </si>
  <si>
    <t>PERCENTUAL</t>
  </si>
  <si>
    <t>Grupo A</t>
  </si>
  <si>
    <t>Encargos Previdenciários, FGTS e Outras Contribuições</t>
  </si>
  <si>
    <t>PREVIDÊNCIA SOCIAL - INSS</t>
  </si>
  <si>
    <t>SESI ou SESC</t>
  </si>
  <si>
    <t>SENAI ou SENAC</t>
  </si>
  <si>
    <t>INCRA</t>
  </si>
  <si>
    <t>Salário Educação</t>
  </si>
  <si>
    <t>FGTS</t>
  </si>
  <si>
    <t>SAT - Seguro Acidentes Trabalho - (RAT x FAP)</t>
  </si>
  <si>
    <t xml:space="preserve">  Alterar FAP e RAT na aba "DADOS"</t>
  </si>
  <si>
    <t>SEBRAE</t>
  </si>
  <si>
    <t>Total Grupo A - Encargos previdenciários, FGTS e Outras Contribuições</t>
  </si>
  <si>
    <t>Grupo B</t>
  </si>
  <si>
    <t>Grupo B.1</t>
  </si>
  <si>
    <t>13º Salário</t>
  </si>
  <si>
    <t>Adicional de Férias</t>
  </si>
  <si>
    <t>Subtotal</t>
  </si>
  <si>
    <t>Incidência do Grupo A sobre 13º salário e adicional de férias</t>
  </si>
  <si>
    <t>Total Grupo B.1 - 13º salário e adicional de férias</t>
  </si>
  <si>
    <t>Grupo B.2</t>
  </si>
  <si>
    <t>Afastamento Maternidade</t>
  </si>
  <si>
    <t>Licença Maternidade</t>
  </si>
  <si>
    <t>Incidência do Grupo A sobre o afastamento maternidade</t>
  </si>
  <si>
    <t>Total Grupo B.2 - Afastamento maternidade</t>
  </si>
  <si>
    <t>Grupo B.3</t>
  </si>
  <si>
    <t>Provisão para Rescisão</t>
  </si>
  <si>
    <t>Aviso Prévio Indenizado</t>
  </si>
  <si>
    <t>Incidência do FGTS sobre o Aviso Prévio Indenizado</t>
  </si>
  <si>
    <t>Multa do FGTS do Aviso Prévio Indenizado</t>
  </si>
  <si>
    <t>Aviso Prévio Trabalhado</t>
  </si>
  <si>
    <t xml:space="preserve">Incidência do Grupo A sobre o Aviso Prévio Trabalhado </t>
  </si>
  <si>
    <t xml:space="preserve">Multa do FGTS do Aviso Prévio Trabalhado </t>
  </si>
  <si>
    <t>Total Grupo B.3 - Provisão para rescisão</t>
  </si>
  <si>
    <t>Grupo B.4</t>
  </si>
  <si>
    <t>Composição do Custo de Reposição do Profissional Ausente</t>
  </si>
  <si>
    <t>Remuneração do profissional substituto</t>
  </si>
  <si>
    <t>Ausência por doença</t>
  </si>
  <si>
    <t>Licença Paternidade</t>
  </si>
  <si>
    <t>Ausências Legais</t>
  </si>
  <si>
    <t>Ausência por acidente de trabalho</t>
  </si>
  <si>
    <t>PERCENTUAIS PARA CONTINGENCIAMENTO DE ENCARGOS TRABALHISTAS A SEREM APLICADOS SOBRE A NOTA FISCAL (UTILIZAÇÃO DURANTE A VIGÊNCIA CONTRATUAL)</t>
  </si>
  <si>
    <t>Incidência do submódulo 4.1 sobre custo de reposição</t>
  </si>
  <si>
    <t>Total Grupo B.4 - Custo de reposição do profissional ausente</t>
  </si>
  <si>
    <t>Título</t>
  </si>
  <si>
    <t>VARIAÇÃO RAT AJUSTADO 0,50% A 6%</t>
  </si>
  <si>
    <t>Grupo C</t>
  </si>
  <si>
    <t>Outros (especificar)</t>
  </si>
  <si>
    <t>EMPRESAS</t>
  </si>
  <si>
    <t>Indenização Adicional</t>
  </si>
  <si>
    <t xml:space="preserve">Grupo </t>
  </si>
  <si>
    <t>Mínimo</t>
  </si>
  <si>
    <t>Máximo</t>
  </si>
  <si>
    <t>LICITANTE</t>
  </si>
  <si>
    <t>Total Grupo C - Indenização Adicional</t>
  </si>
  <si>
    <t>SUBMÓDULO E.1 - da IN 02/2008 MPOG:</t>
  </si>
  <si>
    <t>Quadro Resumo - Encargos Sociais e Trabalhistas</t>
  </si>
  <si>
    <t>SAT (RATxFAP):</t>
  </si>
  <si>
    <t>13º salário</t>
  </si>
  <si>
    <t>13º Salário + Adicional de Férias</t>
  </si>
  <si>
    <t>Férias</t>
  </si>
  <si>
    <t>1/3 constitucional</t>
  </si>
  <si>
    <t>Custo de Rescisão</t>
  </si>
  <si>
    <t>Custo de Reposição do profissional Ausente</t>
  </si>
  <si>
    <t>Incidência do Grupo A (*)</t>
  </si>
  <si>
    <t>Multa do FGTS</t>
  </si>
  <si>
    <t>Total dos Encargos Sociais Trabalhistas</t>
  </si>
  <si>
    <t>Encargos a contingenciar</t>
  </si>
  <si>
    <t>Taxa da conta-corrente vinculada (inciso II art. 2º IN 001/2013</t>
  </si>
  <si>
    <t>1. Não deverá haver alteração nos itens 9(9,09%), 10(3,03%), 13(3,49%) e 16(9,09%) dos percentuais acima, considerando que a Justiça Federal segue as diretrizes da IN 1/2016, de 20 de janeiro de 2016, do CJF, bem como o disposto no Art. 12 da Lei 13.932/2019, com vigência a partir de 01/01/2020.</t>
  </si>
  <si>
    <t>Total a contingenciar</t>
  </si>
  <si>
    <t>INSTRUÇÕES DE PREENCHIMENTO - Informar/Alterar somente as células destacadas na Cor Amarela, de acordo com o valor unitário da Licitante.</t>
  </si>
  <si>
    <t>VALORES UNITÁRIOS DO CONTRATO, CORRIGIDOS PELO REAJUSTE DE IPCA.</t>
  </si>
  <si>
    <t>DESCRIÇÃO DO MATERIAL</t>
  </si>
  <si>
    <t>OBSERVAÇÕES</t>
  </si>
  <si>
    <t>REFERÊNCIA</t>
  </si>
  <si>
    <t>Preço Unitário</t>
  </si>
  <si>
    <t>Quantidade</t>
  </si>
  <si>
    <t>DIVISOR</t>
  </si>
  <si>
    <t>VALOR INICIAL DO CONTRATO
(Informar após o término da licitação)</t>
  </si>
  <si>
    <t>Bimestral</t>
  </si>
  <si>
    <t>Alcool gel 70% - 5 litros galão - gel à base de álcool a 70% com ação antisséptica. Ideal para ser usado como complemento na higienização de mãos em hospitais, laboratórios, dentistas, clinicas, consultórios e indústria em geral. Composição: álcool etílico, polímero carboxílico, neutralizante, umectante, conservante, quelante e água deionizada. Prazo de validade: 24 meses a partir da data de fabricação.</t>
  </si>
  <si>
    <t>Mensal</t>
  </si>
  <si>
    <t>Semestral</t>
  </si>
  <si>
    <t>Desentupidor Pia Material: Borracha Flexível , Cor: Preta , Material Cabo: Plástico Resistente , Comprimento Cabo: 20 CM, Tipo: Sanfonado</t>
  </si>
  <si>
    <t>Desentupidor Vaso Sanitário Material: Borracha Flexível, Comprimento Cabo: 50 CM, Altura: 10 CM, Cor: Preta , Diâmetro: 16 CM, MaterialCabo: Madeira</t>
  </si>
  <si>
    <t>Detergente líquido para louça, neutro, embalagem de 500ml, com tampa Push Pool. Deverá conter glicerina e ser testado e aprovado por dermatologistas. Com fórmula biodegradável. Deve possuir registro na Anvisa/Ministério da Saúde, o qual deverá estar impresso no rótulo.</t>
  </si>
  <si>
    <t>Escova para lavar multiuso, oval, base plastica e cerdas de escova para lavar multiuso, oval, base plastica e cerdas de nylon.</t>
  </si>
  <si>
    <t>ESPONJA DE LÃ DE AÇO, composição básica: aço carbono abrasivo, p/ limpeza em geral, acondicionada em embalagemplástica original do fabricante, peso líquido aproximado de 60g, pacote c/ 08 unidades.</t>
  </si>
  <si>
    <t>Anual</t>
  </si>
  <si>
    <t>Fardo c/ 64 unidades</t>
  </si>
  <si>
    <t>PAPEL TOALHA INTERFOLHADO, 2 dobras, 100% fibras celulósicas,branco extra luxo , sem pintas ou outros tipos de sujidades, boa qualidade , medindo aproximadamente 23cm x 23 cm , acondicionado em caixa c/1000 folhas.</t>
  </si>
  <si>
    <t>Rodo com base de plástico e borracha dupla expandida de 40cm de largura, acompanha cabo de madeira plastificado de aproximadamente 1,26m.</t>
  </si>
  <si>
    <t>Marca de Referência</t>
  </si>
  <si>
    <t>PREÇO UNITÁRIO</t>
  </si>
  <si>
    <t>Trimestral</t>
  </si>
  <si>
    <t>Guardanapo de limpeza, em papel absorvente, folha simples, na cor branca, não gofrado, 4 dobras, dimensões mínimas 24cm x 22cm, 100% fibras naturais, embalado em pacote com 50 unidades, com dados do fabricante, data de fabricação e prazo de validade. Produto fabricado de acordo com as normas da ABNT/NBR. Do tipo Coquetel, Santepel, Snob ou de melhor qualidade</t>
  </si>
  <si>
    <t>Valores em R$</t>
  </si>
  <si>
    <t>Item</t>
  </si>
  <si>
    <t>Especificação</t>
  </si>
  <si>
    <t>Quant.</t>
  </si>
  <si>
    <t>Valor Unitário</t>
  </si>
  <si>
    <t>Valor Total</t>
  </si>
  <si>
    <t>Repasse Mensal</t>
  </si>
  <si>
    <t>Serviços de Limpeza e Conservação</t>
  </si>
  <si>
    <t>CATEGORIA</t>
  </si>
  <si>
    <t>QUANT.</t>
  </si>
  <si>
    <t>DESCRIÇÃO DE UNIFORME</t>
  </si>
  <si>
    <t>CORES</t>
  </si>
  <si>
    <t>TOTAL DO QUANTITATIVO</t>
  </si>
  <si>
    <t xml:space="preserve">Servente </t>
  </si>
  <si>
    <t>Calça</t>
  </si>
  <si>
    <t>Camisa</t>
  </si>
  <si>
    <t>TOTAL DE POSTOS</t>
  </si>
  <si>
    <t>Calçado</t>
  </si>
  <si>
    <t>Preta</t>
  </si>
  <si>
    <t>Soma</t>
  </si>
  <si>
    <t xml:space="preserve">CÁLCULO VALOR DO REPASSE MENSAL SERVENTE DE LIMPEZA </t>
  </si>
  <si>
    <t xml:space="preserve"> Copeira</t>
  </si>
  <si>
    <t>Avental</t>
  </si>
  <si>
    <t>Preto</t>
  </si>
  <si>
    <t>Touca</t>
  </si>
  <si>
    <t>Touca de poliéster com aba em tecido</t>
  </si>
  <si>
    <t>Zelador</t>
  </si>
  <si>
    <t>Azul Marinho</t>
  </si>
  <si>
    <t>CÁLCULO VALOR DO REPASSE MENSAL  DE ZELADOR</t>
  </si>
  <si>
    <t>Branco</t>
  </si>
  <si>
    <t>CÁLCULO VALOR DO REPASSE MENSAL AUXILIAR ADMINISTRATIVO</t>
  </si>
  <si>
    <t>Planilha de Custo e Formação de Preço Mensal Por Categoria Profissional</t>
  </si>
  <si>
    <t>COM MATERIAL</t>
  </si>
  <si>
    <t>SEM MATERIAL</t>
  </si>
  <si>
    <t>CUSTO DE VALE ALIMENTAÇÃO</t>
  </si>
  <si>
    <t>CUSTO DE VALE-TRANSPORTE</t>
  </si>
  <si>
    <t>CUSTO INSALUBRIDADE</t>
  </si>
  <si>
    <t>33390.37.02 - Limpeza e Conservação</t>
  </si>
  <si>
    <t>MONTANTE "A" - Mão de Obra</t>
  </si>
  <si>
    <t>Função</t>
  </si>
  <si>
    <t>Carga Horária Mensal</t>
  </si>
  <si>
    <t xml:space="preserve"> Salário Base</t>
  </si>
  <si>
    <t>Adicional de Insalubridade</t>
  </si>
  <si>
    <t>Adicional Acúmulo de Função</t>
  </si>
  <si>
    <t>TOTAL DA REMUNERAÇÃO</t>
  </si>
  <si>
    <t xml:space="preserve">Encargos sociais e trabalhistas                         </t>
  </si>
  <si>
    <t>Total do Montante "A" ( Mão de Obra)</t>
  </si>
  <si>
    <t>MONTANTE "B" - INSUMOS</t>
  </si>
  <si>
    <t>Itens</t>
  </si>
  <si>
    <t>Valores Unitários</t>
  </si>
  <si>
    <t>Uniforme</t>
  </si>
  <si>
    <t xml:space="preserve">Seguro de vida  </t>
  </si>
  <si>
    <t>Material de Limpeza</t>
  </si>
  <si>
    <t>Material de Copa</t>
  </si>
  <si>
    <t>Depreciação de Equipamentos</t>
  </si>
  <si>
    <t>Total do Montante "B" (Insumos)</t>
  </si>
  <si>
    <t>Montante "A" + Montante "B"</t>
  </si>
  <si>
    <t>MONTANTE "C" - DEMAIS COMPONENTES</t>
  </si>
  <si>
    <t>ITENS</t>
  </si>
  <si>
    <t>Percentual</t>
  </si>
  <si>
    <t>Despesas administrativas/operacionais</t>
  </si>
  <si>
    <t>Base de cálculo do lucro</t>
  </si>
  <si>
    <t>Total do Montante "C" (Demais componentes)</t>
  </si>
  <si>
    <t>Montante "A" + Montante "B" + Montante "C"</t>
  </si>
  <si>
    <t>MONTANTE "D" - TRIBUTOS</t>
  </si>
  <si>
    <t>Total do Montante "D" (Tributos)</t>
  </si>
  <si>
    <t>FATOR K</t>
  </si>
  <si>
    <t>Deslocamento Insalubridade</t>
  </si>
  <si>
    <t>Valores Unitarios</t>
  </si>
  <si>
    <t xml:space="preserve">MÊS: </t>
  </si>
  <si>
    <t>VALORES EM R$</t>
  </si>
  <si>
    <t>ELEMENTO DE DESPESA</t>
  </si>
  <si>
    <t>CATEGORIA PROFISSIONAL</t>
  </si>
  <si>
    <t>TOTAL DO FATURAMENTO MENSAL</t>
  </si>
  <si>
    <t>CUSTO MENSAL</t>
  </si>
  <si>
    <t>GLOSA VALE TRANSPORTE</t>
  </si>
  <si>
    <t>GLOSA DE ATRASOS, FALTAS E DESCONTO DO TITULAR EM FÉRIAS (sem material)</t>
  </si>
  <si>
    <t>GLOSA VALE ALIMENTAÇÃO</t>
  </si>
  <si>
    <t>TOTAL GLOSAS</t>
  </si>
  <si>
    <t>ACRÉSCIMO DE INSALUBRIDADE</t>
  </si>
  <si>
    <t>Homem-Mês</t>
  </si>
  <si>
    <t>Custo Mensal  do vale-transporte da categoria com Encargos</t>
  </si>
  <si>
    <t xml:space="preserve">GLOSA </t>
  </si>
  <si>
    <t>Glosa de Atrasos e Faltas</t>
  </si>
  <si>
    <t>Desconto Mensal do Titular em Férias sem substituição</t>
  </si>
  <si>
    <t>Desconto de Vale Alimentação em recesso forense ou ponto facultativo.</t>
  </si>
  <si>
    <t>Total da Glosa de Atrasos, Faltas, Desconto do Titular em Férias sem substituição e Desconto de V.A para recessos.</t>
  </si>
  <si>
    <t>PAGAMENTO INSALUBRIDADE EM SUBSTITUIÇÃO</t>
  </si>
  <si>
    <t>Custo Unitário da categoria</t>
  </si>
  <si>
    <t>Custo Mensal da categoria</t>
  </si>
  <si>
    <t>Dias de afastamento</t>
  </si>
  <si>
    <t>Valor da Glosa do vale transporte da categoria</t>
  </si>
  <si>
    <t>Custo Homem-Mês               (sem material)</t>
  </si>
  <si>
    <t>Valor da Glosa de Atrasos e Faltas</t>
  </si>
  <si>
    <t>Custo Unitário da categoria Planilha de Férias</t>
  </si>
  <si>
    <t xml:space="preserve">Valor do Desconto Mensal </t>
  </si>
  <si>
    <t>Custo Mensal  do vale alimentação da categoria com Encargos</t>
  </si>
  <si>
    <t>Dias de Recesso e/ou ponto facultativo</t>
  </si>
  <si>
    <t>Valor da Glosa do vale alimentação da categoria</t>
  </si>
  <si>
    <t>Valor Insalubridade por dia</t>
  </si>
  <si>
    <t>Quantidade de Dias</t>
  </si>
  <si>
    <t>Valor Devido</t>
  </si>
  <si>
    <t xml:space="preserve">TOTAL DO FATURAMENTO MENSAL </t>
  </si>
  <si>
    <t>Valor para Lance - Registro de oferta</t>
  </si>
  <si>
    <t>VALOR DO MATERIAL</t>
  </si>
  <si>
    <t>TOTAL DO FATURAMENTO ANUAL</t>
  </si>
  <si>
    <t>2. Na célula “R12” deverá ser informado a quantidade de dias em que o trabalho insalubre foi realizado por outra servente do quadro, durante as férias da titular.</t>
  </si>
  <si>
    <t xml:space="preserve">DESCRIÇÃO </t>
  </si>
  <si>
    <t>4.5</t>
  </si>
  <si>
    <t>Valor em R$</t>
  </si>
  <si>
    <t>Módulo 1 - Total da Remuneração</t>
  </si>
  <si>
    <t>A</t>
  </si>
  <si>
    <t>G</t>
  </si>
  <si>
    <t>Total do Custo MENSAL de Reposição do Profissional Ausente em Férias</t>
  </si>
  <si>
    <t>Total do Custo ANUAL de Reposição do Profissional Ausente em Férias</t>
  </si>
  <si>
    <t>Módulo 2 - Benefícios Mensais e Diários</t>
  </si>
  <si>
    <t>Vale-Alimentação</t>
  </si>
  <si>
    <t>B</t>
  </si>
  <si>
    <t>Vale-Transporte</t>
  </si>
  <si>
    <t>C</t>
  </si>
  <si>
    <t>Outros (sem concessão do intervalo intrajornada)</t>
  </si>
  <si>
    <t>Total de Benefícios Mensais e Diários</t>
  </si>
  <si>
    <t>Módulo 5 - Custos Indiretos, Lucros e Tributos</t>
  </si>
  <si>
    <t>Custos Indiretos (Despesas Operacionais e Administrativas)</t>
  </si>
  <si>
    <t>Tributos</t>
  </si>
  <si>
    <t>C.1</t>
  </si>
  <si>
    <t>Tributos Federais (PIS E COFINS)</t>
  </si>
  <si>
    <t>C.2</t>
  </si>
  <si>
    <t>Tributos Estaduais (especificar)</t>
  </si>
  <si>
    <t>C.3</t>
  </si>
  <si>
    <t>Tributos Municipais (ISS)</t>
  </si>
  <si>
    <t>C.4</t>
  </si>
  <si>
    <t>Total dos Custos Indiretos e Tributos</t>
  </si>
  <si>
    <t>CUSTO TOTAL DO PROFISSIONAL SUBSTITUTO</t>
  </si>
  <si>
    <t>Resumo do Custo Por Empregado Substituto do Titular em Férias</t>
  </si>
  <si>
    <t>Mão de Obra Vinculada à Execução Contratual  (Valor Por Empregado)</t>
  </si>
  <si>
    <t>Módulo 1 - Composição Remuneração * 12 (Anual)</t>
  </si>
  <si>
    <t>Subtotal (A+B)</t>
  </si>
  <si>
    <t>E</t>
  </si>
  <si>
    <t>Módulo 5 - Custos Indiretos, Tributos e Lucro</t>
  </si>
  <si>
    <t xml:space="preserve">Valor Total Mensal Por Empregado Substituto do Titular em Férias </t>
  </si>
  <si>
    <t>Período:</t>
  </si>
  <si>
    <t xml:space="preserve">ÍNDICE </t>
  </si>
  <si>
    <t>IPCA/ IBGE</t>
  </si>
  <si>
    <t>DIAS</t>
  </si>
  <si>
    <t>Pró-rata</t>
  </si>
  <si>
    <t>VALOR ATUAL</t>
  </si>
  <si>
    <t>ANO</t>
  </si>
  <si>
    <t>MÊS</t>
  </si>
  <si>
    <t>ÍNDICE %</t>
  </si>
  <si>
    <t>%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</si>
  <si>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</si>
  <si>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</si>
  <si>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</si>
  <si>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</si>
  <si>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</si>
  <si>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</si>
  <si>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</si>
  <si>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</si>
  <si>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</si>
  <si>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</si>
  <si>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</si>
  <si>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JUL</t>
  </si>
  <si>
    <t>INDICE ACUMULADO</t>
  </si>
  <si>
    <t>Subseção Judiciária de Poços de Caldas</t>
  </si>
  <si>
    <t>Servente de Limpeza  ac. Copeira</t>
  </si>
  <si>
    <t>33390.37.01 - Serviços Administrativos</t>
  </si>
  <si>
    <t xml:space="preserve">SALÁRIO MINÍMO NACIONAL </t>
  </si>
  <si>
    <t>Escada de alumínio cavalete 8 degraus</t>
  </si>
  <si>
    <t>Escada de alumínio extensiva 16 degraus</t>
  </si>
  <si>
    <t>Furadeira 5/8, marca Bosch ou Makita</t>
  </si>
  <si>
    <t>Jogo de broca, com 10 peças</t>
  </si>
  <si>
    <t>Tesoura para corte de grama 48cm</t>
  </si>
  <si>
    <t>Cortador de grama tipo roçadeira</t>
  </si>
  <si>
    <t>Total da Depreciação de Máquinas e Equipamentos</t>
  </si>
  <si>
    <t>Facilita, Gelalcool</t>
  </si>
  <si>
    <t>Balde Material: Plástico , Material Alça: Arame Galvanizado , Capacidade: 12 L,Cor: Preta , Características Adicionais: Reforço Fundo E Borda</t>
  </si>
  <si>
    <t>Cesto de lixo, 100 litros, com tampa e sem pedal</t>
  </si>
  <si>
    <t>CHEFF Clorado diluído (1x10) p/ vasos sanitários - galão de 5L</t>
  </si>
  <si>
    <t>Audax Gold, Renko</t>
  </si>
  <si>
    <t>Bettanin, San Marcus</t>
  </si>
  <si>
    <t>San Marcus, Dell Forte ou similar</t>
  </si>
  <si>
    <t>Desinfetante concentrado 1x25 - fragância Floral - Galão de 5 litros</t>
  </si>
  <si>
    <t>Audax</t>
  </si>
  <si>
    <t>Desinfetante sanitário em pedra 25g</t>
  </si>
  <si>
    <t>Harpic, Pato</t>
  </si>
  <si>
    <t>Ypê, Limpol</t>
  </si>
  <si>
    <t>Bettanin, Alklin, Condor</t>
  </si>
  <si>
    <t>Espanador de pena nº 25</t>
  </si>
  <si>
    <t>Duster</t>
  </si>
  <si>
    <t>Esponja Para Lavagem De Louças E Limpeza Em Geral, Dupla Face Sintética, Um Lado Em Espuma Poliuretano E Outro Em Fibra Sintética Abrasiva,Antibacteriana, Embalagem com 8(oito) Unid, Formato Retangular, Medindo Aproximadamente 110mm X 75mm X 20mm De Espessura</t>
  </si>
  <si>
    <t>Pacte.</t>
  </si>
  <si>
    <t>Bettanin, Scotch, Brite, Esfrebom</t>
  </si>
  <si>
    <t>Bombril, Assolan</t>
  </si>
  <si>
    <t>Limpa Metal - 200ml</t>
  </si>
  <si>
    <t>Kaol ou similar</t>
  </si>
  <si>
    <t>Lustra Móveis - 500ml</t>
  </si>
  <si>
    <t>Poliflor ou similar</t>
  </si>
  <si>
    <t>Luvas de Látex, forrada, de boa qualidade</t>
  </si>
  <si>
    <t>Scotch Brite, Limpano</t>
  </si>
  <si>
    <t>Mangueira reforçada 1/2", anti torção - 50m</t>
  </si>
  <si>
    <t>Limpador Multiuso - 500ml</t>
  </si>
  <si>
    <t>Veja, Uau ou similar</t>
  </si>
  <si>
    <t>Pá para lixo com cabo longo</t>
  </si>
  <si>
    <t>Bettanin ou similar</t>
  </si>
  <si>
    <t>Pano multiuso de boa qualidade 33x50cm</t>
  </si>
  <si>
    <t>Perfex, Alklin</t>
  </si>
  <si>
    <t>Papel higiênico branco,folha dupla 30m - 1ª qualidade (fardo com 64 rolos)</t>
  </si>
  <si>
    <t>Tork, Personal Neve</t>
  </si>
  <si>
    <t>Fardo</t>
  </si>
  <si>
    <t>Economy, Jofel, Supremo</t>
  </si>
  <si>
    <t>Removedor para limpeza - sem cheiro - galão 5L</t>
  </si>
  <si>
    <t>Bull, Zulu</t>
  </si>
  <si>
    <t>Condor, Bettanin, Alklin</t>
  </si>
  <si>
    <t>Rodo limpa vidros com esponja, cabo longo</t>
  </si>
  <si>
    <t>Sabão em barra 200gr pacote com 5 unidades</t>
  </si>
  <si>
    <t>Ypê, Minuano</t>
  </si>
  <si>
    <t>Sabão em pó</t>
  </si>
  <si>
    <t>Quilo</t>
  </si>
  <si>
    <t>Tixan, Brilhante, Surf</t>
  </si>
  <si>
    <t>Sabonete Líquido Perolizado, Erva Doce, Concentrado - Galão com 5l</t>
  </si>
  <si>
    <t>Start, Química, Ikebana</t>
  </si>
  <si>
    <t>Saco de Algodão Tipo: Alvejado , Tamanho: 60 X 80 CM, Cor:Branco , Características Adicionais: Dupla Face - 24 batidas (pano de chão)</t>
  </si>
  <si>
    <t>Saco de lixo 20l, preto, resistente</t>
  </si>
  <si>
    <t>cento</t>
  </si>
  <si>
    <t>Bunzl ou similar</t>
  </si>
  <si>
    <t>Saco de lixo 60l, preto, resistente</t>
  </si>
  <si>
    <t>Saco de lixo 100l, preto, resistente</t>
  </si>
  <si>
    <t>Suporte de metal para vassouras e rodos, capacidade até 3 peças</t>
  </si>
  <si>
    <t>Vassoura de pelo 40cm</t>
  </si>
  <si>
    <t>Vassoura Piaçava</t>
  </si>
  <si>
    <t>Vassoura redonda p/ vaso sanitário com suporte</t>
  </si>
  <si>
    <t>Água sanitária - galão de 5l</t>
  </si>
  <si>
    <t>galão</t>
  </si>
  <si>
    <t>Ypê, Audax, Facilita</t>
  </si>
  <si>
    <t>Álcool Granel - 65% - galão de 5l</t>
  </si>
  <si>
    <t>Tupi ou similar</t>
  </si>
  <si>
    <t>Brilho alumínio - frasco 500ml</t>
  </si>
  <si>
    <t>Brilhalumínio, DEO, Alumil</t>
  </si>
  <si>
    <t>Cloro líquido concentrado 1 x 15 - galão de 5 litros</t>
  </si>
  <si>
    <t>Audax, Butterfly, Daclor</t>
  </si>
  <si>
    <t>Bettanin, San Marcus ou similar</t>
  </si>
  <si>
    <t>Detergente líquido - neutro - 500ml</t>
  </si>
  <si>
    <t>Escova de nylon de lavar roupas</t>
  </si>
  <si>
    <t>Bettanin, Esfrebom, Scotch Brite, Alklin</t>
  </si>
  <si>
    <t>Guardanapo de limpeza, em papel absorvente, folha simples, na cor branca, não gofrado, 4 dobras, dimensões mínimas 33cm x 30cm, 100% fibras naturais, embalado em pacote com 50 unidades, com dados do fabricante, data de fabricação e prazo de validade. Produto fabricado de acordo com as normas da ABNT/NBR. Do tipo Coquetel, Santepel, Snob ou de melhor qualidade</t>
  </si>
  <si>
    <t>Lã de aço, pacote com 8 unidades</t>
  </si>
  <si>
    <t>Bombril, Assonlan ou similar</t>
  </si>
  <si>
    <t>Limpador multiuso 500ml</t>
  </si>
  <si>
    <t>Veja, uau</t>
  </si>
  <si>
    <t>Luva forrada de boa qualidade</t>
  </si>
  <si>
    <t>Pá para lixo, material:plástico com cabo, material cabo: madeira, comprimento cabo: 70cm</t>
  </si>
  <si>
    <t>Pano de prato - branco</t>
  </si>
  <si>
    <t>Pano multiuso 33x50cm</t>
  </si>
  <si>
    <t>Rodo plástico push 40cm especificação: com cepa de polipropileno; propriedades mínimas; cepa medindo 40cm de comprimento; eva; duplo; cabo de madeira (cedrinho) revestido de polipropileno; gancho de polietileno de alta densidade; rosca de polietileno de baixa densidade; embalado em embalagem apropriada.</t>
  </si>
  <si>
    <t>Alklin</t>
  </si>
  <si>
    <t>Sabão em pedra 200g - pacote com 5 unidades</t>
  </si>
  <si>
    <t>Minuano, Ypê</t>
  </si>
  <si>
    <t>quilo</t>
  </si>
  <si>
    <t>Saco de lixo - 20l preto, reforçado</t>
  </si>
  <si>
    <t>Sapólio em pó - 300g</t>
  </si>
  <si>
    <t>Condor, Bettanin</t>
  </si>
  <si>
    <t>Cinturão de segurança tipo paraquedista, mod. 3 pontas cfe. ABNT NBR 15836</t>
  </si>
  <si>
    <t>Talabarte com 2 conectores, classe A ou classe T, conforme ABNT NBR 15837</t>
  </si>
  <si>
    <t>Depreciação 10% ao Ano</t>
  </si>
  <si>
    <t xml:space="preserve">RELAÇÃO DE MÁQUINAS E EQUIPAMENTOS </t>
  </si>
  <si>
    <t>RELAÇÃO DE EPI</t>
  </si>
  <si>
    <t>Calçado de segurança, tipo botina, em couro curtido ao cromo, palmilha de montagem em material sintético, solado de poliuretano bidensidade injetado diretamente ao cabedal, com biqueira de aço. Cor: Preto</t>
  </si>
  <si>
    <t>Bota em PVC, atendendo as Normas de Segurança do Trabalho, com solado antiderrapante. Desenho de cabedal tipo C e cano longo de 25 cm.</t>
  </si>
  <si>
    <t>Total de EPI do Zelador</t>
  </si>
  <si>
    <t>Total de EPI de Servente</t>
  </si>
  <si>
    <t>Modelo polo feminino, confeccionada em malha Piquet ou similar, sendo 50% poliéster e 50% algodão, em tecido não transparente com gramatura entre 190 a 220g/m2. Modelo gola: tipo colarinho, com pé de gola, pespontada, com um botão para fechamento. Manga curta simples, sem botões. Comprimento alongado para permitir colocar dentro da calça. Aviamento e botões na mesma cor do tecido. Logotipo da empresa bordado no lado esquerdo. Sem bolsos. Etiqueta de composição e identificação do tecido, confecção, tamanho da peça e instruções de lavagem, conforme determinação do INMETRO. Cor: cinza chumbo</t>
  </si>
  <si>
    <t>Cinza Chumbo</t>
  </si>
  <si>
    <t>Calça modelo em corte reto tradicional, confeccionada em jeans com elastano, sendo, no mínimo 97% algodão e 3% elastano. Frente com 2 bolsos embutidos e zíper de metal com um botão no cós para fechamento. Parte de trás com dois bolsos. Cós total no próprio tecido com 5 (cinco) passadores de cinto. Cor preto ou azul marinho.</t>
  </si>
  <si>
    <t>Jaqueta</t>
  </si>
  <si>
    <t>Jaqueta forrada, gola padre, fechamento frontal com zíper aparente de nylon de primeira qualidade, punhos e cós com elástico, dois bolsos laterias embutidos fundos e grandes, acabamento retilíneo. Confeccionada em moletom, sendo 70% algodão e 30% poliéster. Características adicionais: sem capuz, aviamentos e zíper na mesma cor do tecido e logotipo da empresa bordado. Cor: preto ou azul marinho</t>
  </si>
  <si>
    <t>Preto ou azul marinho</t>
  </si>
  <si>
    <t>Tênis maleável de nylon, com solado em borracha antiderrapante, forro e palmilha espumados, com acolchoamento no calcanhar. Fechamento em cadarço, com passador em cordão.</t>
  </si>
  <si>
    <t>Calça modelo em corte reto tradicional, confeccionada em jeans pesado 11oz., 100% algodão. Frente com 2 bolsos embutidos e zíper de metal com um botão no cós para fechamento. Parte de trás com dois bolsos. Cós total no próprio tecido com 5 (cinco) passadores de cinto.</t>
  </si>
  <si>
    <t>Camisa modelo polo, confeccionada em malha Piquet ou similar, sendo 50% poliéster e 50% algodão, em tecido não transparente com gramatura entre 190 a 220g/m2. Modelo gola: tipo colarinho, com pé de gola, pespontada, com um botão para fechamento. Manga curta simples, sem botões. Comprimento alongado para permitir colocar dentro da calça. Aviamento e botões na mesma cor do tecido. Logotipo da empresa bordado no lado esquerdo. Sem bolsos. Etiqueta de composição e identificação do tecido, confecção, tamanho da peça e instruções de lavagem, conforme determinação do INMETRO.</t>
  </si>
  <si>
    <t>Jaleco</t>
  </si>
  <si>
    <t>Modelo em brim, confeccionado preferencialmente em 100% algodão. Gola modelo italiana, fechamento em botão. Frente com 3 (três) bolsos, sendo um na altura do peito e dois na altura da cintura. Botões e aviamentos na cor do tecido. Logotipo da empresa bordado</t>
  </si>
  <si>
    <t>Jaqueta forrada, gola padre, fechamento frontal com zíper aparente de nylon de primeira qualidade, punhos e cós com elástico, dois bolsos laterais embutidos fundos e grandes, acabamento retilíneo. Confeccionada em moletom, sendo 70% algodão e 30% poliéster. Caracterísitcas adicionais: sem capuz, aviamentos e zíper na mesma cor do tecido e logotipo da empresa bordado.</t>
  </si>
  <si>
    <t>Modelo reto, confeccionada em helanca, 100% poliamida com cós alto separado em elástico ou cordão com regulagem para ajuste</t>
  </si>
  <si>
    <t>Azul marinho</t>
  </si>
  <si>
    <t>Modelo unissex, confeccionado em malha PC, de 100% poliéster, com gramatura de 180g/m2 ou superior, em tecido sem transparência, com manga curta, sem punho. Gola redonda e barra reta. Logotipo da empresa silk screen</t>
  </si>
  <si>
    <t>Modelo unissex, confeccionado em tecido oxford, 100% poliéster. Frente com dois bolsos na altura da cintura, com fechamento em botões. Modelo na gola em V padrão. Mangas curtas sem punho. Botões e aviamentos na cor do tecido, com logotipo da empresa bordado.</t>
  </si>
  <si>
    <t>Jaqueta forrada, gola padre, fechamento frontal com zíper aparente de nylon de primeira qualidade, punhos e cós com elástico, dois bolsos laterais embutidos fundos e grandes, acabamento retilíneo. Confeccionada em moletom, sendo 70% algodão e 30% poliéster. Caracterísitcas adicionais: sem capuz, aviamento e zíper na mesma cor do tecido e logotipo da empresa bordado</t>
  </si>
  <si>
    <t>preto ou azul marinho</t>
  </si>
  <si>
    <t>CÁLCULO VALOR DO REPASSE MENSAL ACÚMULO COPEIRA</t>
  </si>
  <si>
    <t>Avental confeccionado em napa, com alça no pescoço e cordão para amarração na cintura. Tamanho de 140cm x 70cm</t>
  </si>
  <si>
    <t>Suporte fixo de metal para mangueira até 50m</t>
  </si>
  <si>
    <t>EPI</t>
  </si>
  <si>
    <t>3.7</t>
  </si>
  <si>
    <t>PREENCHIMENTO ABA "EPI"</t>
  </si>
  <si>
    <t xml:space="preserve"> - Atentar-se às descrições complementares dispostas nas "Especificações" que visam melhor entendimento dos itens de uniforme solicitados.</t>
  </si>
  <si>
    <t>ANEXO X - CUSTO ESTIMATIVO DE MATERIAIS DE LIMPEZA</t>
  </si>
  <si>
    <t>ANEXO X - CUSTO ESTIMATIVO DE MATERIAIS DE LIMPEZA COPA</t>
  </si>
  <si>
    <t>ANEXO X - CUSTO ESTIMATIVO DE EPI</t>
  </si>
  <si>
    <t>ANEXO X - CUSTO ESTIMATIVO DE PREÇOS DE EQUIPAMENTOS</t>
  </si>
  <si>
    <t>ANEXO X - CUSTO ESTIMATIVO DE PREÇOS DOS UNIFORMES</t>
  </si>
  <si>
    <t>ANEXO X</t>
  </si>
  <si>
    <t>ANEXO X - PLANILHA DE CUSTO E FORMAÇÃO DE PREÇO MENSAL ESTIMATIVO INTEGRAL - RESUMO</t>
  </si>
  <si>
    <t xml:space="preserve">ANEXO X - PLANILHA DE CUSTO E FORMAÇÃO DE PREÇO MENSAL ESTIMATIVO DO PROFISSIONAL SUBSTITUTO DO TITULAR EM FÉRIAS </t>
  </si>
  <si>
    <t>ANEXO X - PLANILHA DE CUSTO E FORMAÇÃO DE PREÇO MENSAL ESTIMATIVO - PLANILHA DE DADOS</t>
  </si>
  <si>
    <t>INSTRUÇÕES DE PREENCHIMENTO - ANEXO X - PLANILHAS DE COMPOSIÇÃO DE CUSTOS</t>
  </si>
  <si>
    <t xml:space="preserve"> - Materiais de Limpeza (Células "G9:G44)</t>
  </si>
  <si>
    <t xml:space="preserve"> - Materiais de Copa (Células "G51:G74)</t>
  </si>
  <si>
    <t xml:space="preserve"> - Informar os valores unitários de cada item nas células destacadas em amarelo dispostas na "Coluna G", de acordo com sua descrição "Colunas B:E".</t>
  </si>
</sst>
</file>

<file path=xl/styles.xml><?xml version="1.0" encoding="utf-8"?>
<styleSheet xmlns="http://schemas.openxmlformats.org/spreadsheetml/2006/main">
  <numFmts count="7">
    <numFmt numFmtId="164" formatCode="_-* #,##0.00_-;\-* #,##0.00_-;_-* \-??_-;_-@_-"/>
    <numFmt numFmtId="165" formatCode="_-&quot;R$ &quot;* #,##0.00_-;&quot;-R$ &quot;* #,##0.00_-;_-&quot;R$ &quot;* \-??_-;_-@_-"/>
    <numFmt numFmtId="166" formatCode="#,##0_ ;\-#,##0\ "/>
    <numFmt numFmtId="167" formatCode="d/m/yyyy"/>
    <numFmt numFmtId="168" formatCode="0.0000"/>
    <numFmt numFmtId="169" formatCode="_(* #,##0.00_);_(* \(#,##0.00\);_(* \-??_);_(@_)"/>
    <numFmt numFmtId="170" formatCode="* #,##0.00\ ;* \(#,##0.00\);* \-#\ ;@\ "/>
  </numFmts>
  <fonts count="5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8"/>
      <name val="Calibri"/>
      <family val="2"/>
      <charset val="1"/>
    </font>
    <font>
      <b/>
      <sz val="16"/>
      <name val="Calibri"/>
      <family val="2"/>
      <charset val="1"/>
    </font>
    <font>
      <b/>
      <sz val="11"/>
      <name val="Calibri"/>
      <family val="2"/>
      <charset val="1"/>
    </font>
    <font>
      <sz val="12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sz val="10"/>
      <color rgb="FFFF0000"/>
      <name val="Calibri"/>
      <family val="2"/>
      <charset val="1"/>
    </font>
    <font>
      <sz val="11"/>
      <color rgb="FF808080"/>
      <name val="Calibri"/>
      <family val="2"/>
      <charset val="1"/>
    </font>
    <font>
      <b/>
      <i/>
      <u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sz val="8"/>
      <name val="Calibri"/>
      <family val="2"/>
      <charset val="1"/>
    </font>
    <font>
      <b/>
      <sz val="12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4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sz val="9"/>
      <color rgb="FF333333"/>
      <name val="Calibri"/>
      <family val="2"/>
      <charset val="1"/>
    </font>
    <font>
      <b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6"/>
      <name val="Calibri"/>
      <family val="2"/>
      <charset val="1"/>
    </font>
    <font>
      <b/>
      <sz val="12"/>
      <color rgb="FFBFBFBF"/>
      <name val="Calibri"/>
      <family val="2"/>
      <charset val="1"/>
    </font>
    <font>
      <b/>
      <sz val="10"/>
      <color rgb="FFC00000"/>
      <name val="Calibri"/>
      <family val="2"/>
      <charset val="1"/>
    </font>
    <font>
      <b/>
      <sz val="7"/>
      <name val="Calibri"/>
      <family val="2"/>
      <charset val="1"/>
    </font>
    <font>
      <sz val="10"/>
      <color rgb="FFC00000"/>
      <name val="Calibri"/>
      <family val="2"/>
      <charset val="1"/>
    </font>
    <font>
      <b/>
      <sz val="12"/>
      <name val="Times New Roman"/>
      <family val="1"/>
      <charset val="1"/>
    </font>
    <font>
      <b/>
      <sz val="28"/>
      <name val="Calibri"/>
      <family val="2"/>
      <charset val="1"/>
    </font>
    <font>
      <b/>
      <sz val="12"/>
      <color rgb="FFCCFFCC"/>
      <name val="Calibri"/>
      <family val="2"/>
      <charset val="1"/>
    </font>
    <font>
      <sz val="10"/>
      <name val="Times New Roman"/>
      <family val="1"/>
      <charset val="1"/>
    </font>
    <font>
      <sz val="14"/>
      <name val="Calibri"/>
      <family val="2"/>
      <charset val="1"/>
    </font>
    <font>
      <b/>
      <sz val="12.5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8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8CBAD"/>
        <bgColor rgb="FFFFC7CE"/>
      </patternFill>
    </fill>
    <fill>
      <patternFill patternType="solid">
        <fgColor rgb="FFFFFFCC"/>
        <bgColor rgb="FFFFF2CC"/>
      </patternFill>
    </fill>
    <fill>
      <patternFill patternType="solid">
        <fgColor rgb="FFDCE6F2"/>
        <bgColor rgb="FFDEEBF7"/>
      </patternFill>
    </fill>
    <fill>
      <patternFill patternType="solid">
        <fgColor rgb="FFF2DCDB"/>
        <bgColor rgb="FFD9D9D9"/>
      </patternFill>
    </fill>
    <fill>
      <patternFill patternType="solid">
        <fgColor rgb="FF606060"/>
        <bgColor rgb="FF808080"/>
      </patternFill>
    </fill>
    <fill>
      <patternFill patternType="solid">
        <fgColor rgb="FFFFFFFF"/>
        <bgColor rgb="FFF2F2F2"/>
      </patternFill>
    </fill>
    <fill>
      <patternFill patternType="solid">
        <fgColor rgb="FFFFD966"/>
        <bgColor rgb="FFF8CBAD"/>
      </patternFill>
    </fill>
    <fill>
      <patternFill patternType="solid">
        <fgColor rgb="FFF2F2F2"/>
        <bgColor rgb="FFDEEBF7"/>
      </patternFill>
    </fill>
    <fill>
      <patternFill patternType="solid">
        <fgColor rgb="FF3366CC"/>
        <bgColor rgb="FF0066CC"/>
      </patternFill>
    </fill>
    <fill>
      <patternFill patternType="solid">
        <fgColor rgb="FFD9D9D9"/>
        <bgColor rgb="FFDCE6F2"/>
      </patternFill>
    </fill>
    <fill>
      <patternFill patternType="solid">
        <fgColor rgb="FFDEEBF7"/>
        <bgColor rgb="FFDCE6F2"/>
      </patternFill>
    </fill>
    <fill>
      <patternFill patternType="solid">
        <fgColor rgb="FF10243E"/>
        <bgColor rgb="FF333333"/>
      </patternFill>
    </fill>
    <fill>
      <patternFill patternType="solid">
        <fgColor rgb="FFBDD7EE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FFF2CC"/>
        <bgColor rgb="FFFFFFCC"/>
      </patternFill>
    </fill>
    <fill>
      <patternFill patternType="solid">
        <fgColor rgb="FFADB9CA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808080"/>
        <bgColor rgb="FF606060"/>
      </patternFill>
    </fill>
    <fill>
      <patternFill patternType="solid">
        <fgColor theme="1" tint="0.34998626667073579"/>
        <bgColor rgb="FFFFFFCC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45" fillId="0" borderId="0" applyBorder="0" applyProtection="0"/>
    <xf numFmtId="165" fontId="45" fillId="0" borderId="0" applyBorder="0" applyProtection="0"/>
    <xf numFmtId="9" fontId="45" fillId="0" borderId="0" applyBorder="0" applyProtection="0"/>
    <xf numFmtId="170" fontId="38" fillId="0" borderId="0" applyBorder="0" applyProtection="0"/>
  </cellStyleXfs>
  <cellXfs count="7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15" xfId="0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1" fontId="9" fillId="0" borderId="1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2" fontId="11" fillId="6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9" xfId="0" applyNumberFormat="1" applyFont="1" applyBorder="1" applyAlignment="1" applyProtection="1">
      <alignment horizontal="center" vertical="center"/>
    </xf>
    <xf numFmtId="0" fontId="11" fillId="6" borderId="20" xfId="0" applyFont="1" applyFill="1" applyBorder="1" applyAlignment="1" applyProtection="1">
      <alignment horizontal="center" vertical="center"/>
      <protection locked="0"/>
    </xf>
    <xf numFmtId="164" fontId="12" fillId="7" borderId="20" xfId="0" applyNumberFormat="1" applyFont="1" applyFill="1" applyBorder="1" applyAlignment="1">
      <alignment horizontal="center" vertical="center"/>
    </xf>
    <xf numFmtId="164" fontId="9" fillId="0" borderId="21" xfId="0" applyNumberFormat="1" applyFont="1" applyBorder="1" applyAlignment="1" applyProtection="1">
      <alignment horizontal="center" vertical="center"/>
    </xf>
    <xf numFmtId="164" fontId="12" fillId="7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2" applyFont="1" applyBorder="1" applyAlignment="1" applyProtection="1">
      <alignment horizontal="center" vertical="center"/>
    </xf>
    <xf numFmtId="165" fontId="9" fillId="0" borderId="19" xfId="2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0" fontId="11" fillId="6" borderId="23" xfId="0" applyFont="1" applyFill="1" applyBorder="1" applyAlignment="1" applyProtection="1">
      <alignment horizontal="center" vertical="center"/>
      <protection locked="0"/>
    </xf>
    <xf numFmtId="0" fontId="11" fillId="6" borderId="24" xfId="0" applyFont="1" applyFill="1" applyBorder="1" applyAlignment="1" applyProtection="1">
      <alignment horizontal="center" vertical="center"/>
      <protection locked="0"/>
    </xf>
    <xf numFmtId="2" fontId="11" fillId="6" borderId="22" xfId="0" applyNumberFormat="1" applyFont="1" applyFill="1" applyBorder="1" applyAlignment="1" applyProtection="1">
      <alignment horizontal="center" vertical="center"/>
      <protection locked="0"/>
    </xf>
    <xf numFmtId="2" fontId="9" fillId="0" borderId="25" xfId="0" applyNumberFormat="1" applyFont="1" applyBorder="1" applyAlignment="1" applyProtection="1">
      <alignment horizontal="center" vertical="center"/>
    </xf>
    <xf numFmtId="0" fontId="11" fillId="6" borderId="26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 wrapText="1"/>
    </xf>
    <xf numFmtId="4" fontId="7" fillId="5" borderId="29" xfId="0" applyNumberFormat="1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26" xfId="0" applyFont="1" applyFill="1" applyBorder="1" applyAlignment="1" applyProtection="1">
      <alignment horizontal="center" vertical="center" wrapText="1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7" fillId="5" borderId="25" xfId="0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0" xfId="2" applyFont="1" applyBorder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7" fillId="5" borderId="32" xfId="0" applyFont="1" applyFill="1" applyBorder="1" applyAlignment="1" applyProtection="1">
      <alignment horizontal="center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7" fillId="5" borderId="34" xfId="0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vertical="center"/>
    </xf>
    <xf numFmtId="0" fontId="10" fillId="0" borderId="11" xfId="0" applyFont="1" applyBorder="1" applyAlignment="1">
      <alignment horizontal="center" vertical="center" wrapText="1"/>
    </xf>
    <xf numFmtId="166" fontId="9" fillId="0" borderId="12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1" fontId="2" fillId="8" borderId="17" xfId="0" applyNumberFormat="1" applyFont="1" applyFill="1" applyBorder="1" applyAlignment="1">
      <alignment horizontal="center" vertical="center" wrapText="1"/>
    </xf>
    <xf numFmtId="165" fontId="7" fillId="5" borderId="14" xfId="2" applyFont="1" applyFill="1" applyBorder="1" applyAlignment="1" applyProtection="1">
      <alignment horizontal="center" vertical="center" wrapText="1"/>
    </xf>
    <xf numFmtId="10" fontId="7" fillId="5" borderId="21" xfId="0" applyNumberFormat="1" applyFont="1" applyFill="1" applyBorder="1" applyAlignment="1" applyProtection="1">
      <alignment horizontal="center" vertical="center" wrapText="1"/>
    </xf>
    <xf numFmtId="165" fontId="7" fillId="5" borderId="19" xfId="2" applyFont="1" applyFill="1" applyBorder="1" applyAlignment="1" applyProtection="1">
      <alignment horizontal="center" vertical="center" wrapText="1"/>
    </xf>
    <xf numFmtId="165" fontId="7" fillId="5" borderId="25" xfId="2" applyFont="1" applyFill="1" applyBorder="1" applyAlignment="1" applyProtection="1">
      <alignment horizontal="center" vertical="center" wrapText="1"/>
    </xf>
    <xf numFmtId="1" fontId="9" fillId="0" borderId="17" xfId="0" applyNumberFormat="1" applyFont="1" applyBorder="1" applyAlignment="1" applyProtection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42" xfId="0" applyNumberFormat="1" applyFont="1" applyBorder="1" applyAlignment="1" applyProtection="1">
      <alignment horizontal="center" vertical="center" wrapText="1"/>
    </xf>
    <xf numFmtId="165" fontId="7" fillId="5" borderId="34" xfId="2" applyFont="1" applyFill="1" applyBorder="1" applyAlignment="1" applyProtection="1">
      <alignment horizontal="center" vertical="center" wrapText="1"/>
    </xf>
    <xf numFmtId="0" fontId="1" fillId="0" borderId="4" xfId="0" applyFont="1" applyBorder="1"/>
    <xf numFmtId="3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6" fillId="0" borderId="1" xfId="0" applyFont="1" applyBorder="1"/>
    <xf numFmtId="0" fontId="2" fillId="0" borderId="2" xfId="0" applyFont="1" applyBorder="1" applyAlignment="1">
      <alignment vertical="center"/>
    </xf>
    <xf numFmtId="0" fontId="16" fillId="0" borderId="3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9" fillId="2" borderId="9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2" borderId="0" xfId="0" applyFont="1" applyFill="1"/>
    <xf numFmtId="0" fontId="7" fillId="0" borderId="0" xfId="0" applyFont="1"/>
    <xf numFmtId="0" fontId="9" fillId="9" borderId="0" xfId="0" applyFont="1" applyFill="1" applyAlignment="1">
      <alignment vertical="center"/>
    </xf>
    <xf numFmtId="0" fontId="9" fillId="10" borderId="0" xfId="0" applyFont="1" applyFill="1"/>
    <xf numFmtId="0" fontId="18" fillId="11" borderId="0" xfId="0" applyFont="1" applyFill="1"/>
    <xf numFmtId="0" fontId="9" fillId="10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9" fillId="0" borderId="0" xfId="0" applyFont="1" applyBorder="1" applyAlignment="1" applyProtection="1"/>
    <xf numFmtId="0" fontId="1" fillId="0" borderId="0" xfId="0" applyFont="1" applyAlignment="1">
      <alignment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" fontId="1" fillId="2" borderId="4" xfId="1" applyNumberFormat="1" applyFont="1" applyFill="1" applyBorder="1" applyAlignment="1" applyProtection="1">
      <alignment horizontal="center" vertical="center"/>
      <protection locked="0"/>
    </xf>
    <xf numFmtId="4" fontId="1" fillId="0" borderId="4" xfId="1" applyNumberFormat="1" applyFont="1" applyBorder="1" applyAlignment="1" applyProtection="1">
      <alignment horizontal="center" vertical="center"/>
    </xf>
    <xf numFmtId="10" fontId="1" fillId="0" borderId="4" xfId="3" applyNumberFormat="1" applyFont="1" applyBorder="1" applyAlignment="1" applyProtection="1">
      <alignment horizontal="center" vertical="center"/>
    </xf>
    <xf numFmtId="4" fontId="5" fillId="0" borderId="4" xfId="1" applyNumberFormat="1" applyFont="1" applyBorder="1" applyAlignment="1" applyProtection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64" fontId="12" fillId="7" borderId="4" xfId="1" applyFont="1" applyFill="1" applyBorder="1" applyAlignment="1" applyProtection="1">
      <alignment horizontal="center" vertical="center"/>
    </xf>
    <xf numFmtId="10" fontId="1" fillId="2" borderId="4" xfId="3" applyNumberFormat="1" applyFont="1" applyFill="1" applyBorder="1" applyAlignment="1" applyProtection="1">
      <alignment horizontal="center" vertical="center"/>
      <protection locked="0"/>
    </xf>
    <xf numFmtId="2" fontId="1" fillId="0" borderId="4" xfId="3" applyNumberFormat="1" applyFont="1" applyBorder="1" applyAlignment="1" applyProtection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4" fontId="5" fillId="0" borderId="12" xfId="1" applyNumberFormat="1" applyFont="1" applyBorder="1" applyAlignment="1" applyProtection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10" fontId="5" fillId="0" borderId="4" xfId="3" applyNumberFormat="1" applyFont="1" applyBorder="1" applyAlignment="1" applyProtection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164" fontId="1" fillId="0" borderId="21" xfId="1" applyFont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4" xfId="0" applyNumberFormat="1" applyFont="1" applyBorder="1" applyAlignment="1">
      <alignment horizontal="center" vertical="center"/>
    </xf>
    <xf numFmtId="1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164" fontId="1" fillId="0" borderId="0" xfId="1" applyFont="1" applyBorder="1" applyAlignment="1" applyProtection="1"/>
    <xf numFmtId="10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12" borderId="4" xfId="0" applyFont="1" applyFill="1" applyBorder="1" applyAlignment="1" applyProtection="1">
      <alignment horizontal="center" vertical="center" wrapText="1"/>
    </xf>
    <xf numFmtId="0" fontId="21" fillId="12" borderId="4" xfId="0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3" xfId="0" applyFont="1" applyBorder="1"/>
    <xf numFmtId="0" fontId="1" fillId="0" borderId="12" xfId="0" applyFont="1" applyBorder="1"/>
    <xf numFmtId="0" fontId="2" fillId="0" borderId="1" xfId="0" applyFont="1" applyBorder="1"/>
    <xf numFmtId="0" fontId="2" fillId="0" borderId="47" xfId="0" applyFont="1" applyBorder="1" applyAlignment="1">
      <alignment vertical="center"/>
    </xf>
    <xf numFmtId="0" fontId="2" fillId="0" borderId="3" xfId="0" applyFont="1" applyBorder="1"/>
    <xf numFmtId="0" fontId="2" fillId="0" borderId="48" xfId="0" applyFont="1" applyBorder="1" applyAlignment="1">
      <alignment vertical="center"/>
    </xf>
    <xf numFmtId="0" fontId="10" fillId="0" borderId="3" xfId="0" applyFont="1" applyBorder="1"/>
    <xf numFmtId="0" fontId="23" fillId="0" borderId="17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4" fillId="12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0" fontId="10" fillId="2" borderId="19" xfId="0" applyNumberFormat="1" applyFont="1" applyFill="1" applyBorder="1" applyAlignment="1" applyProtection="1">
      <alignment horizontal="center" vertical="center"/>
      <protection locked="0"/>
    </xf>
    <xf numFmtId="10" fontId="10" fillId="0" borderId="19" xfId="0" applyNumberFormat="1" applyFont="1" applyBorder="1" applyAlignment="1">
      <alignment horizontal="center" vertical="center"/>
    </xf>
    <xf numFmtId="2" fontId="0" fillId="0" borderId="0" xfId="0" applyNumberFormat="1" applyFont="1"/>
    <xf numFmtId="10" fontId="24" fillId="12" borderId="19" xfId="0" applyNumberFormat="1" applyFont="1" applyFill="1" applyBorder="1" applyAlignment="1" applyProtection="1">
      <alignment horizontal="center" vertical="center"/>
    </xf>
    <xf numFmtId="0" fontId="10" fillId="0" borderId="18" xfId="0" applyFont="1" applyBorder="1" applyAlignment="1">
      <alignment vertical="center"/>
    </xf>
    <xf numFmtId="10" fontId="18" fillId="14" borderId="19" xfId="3" applyNumberFormat="1" applyFont="1" applyFill="1" applyBorder="1" applyAlignment="1" applyProtection="1">
      <alignment horizontal="center" vertical="center"/>
    </xf>
    <xf numFmtId="10" fontId="25" fillId="0" borderId="19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0" fontId="27" fillId="0" borderId="19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10" fontId="25" fillId="0" borderId="19" xfId="0" applyNumberFormat="1" applyFont="1" applyBorder="1" applyAlignment="1" applyProtection="1">
      <alignment horizontal="center" vertical="center"/>
    </xf>
    <xf numFmtId="0" fontId="9" fillId="15" borderId="17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10" fontId="9" fillId="15" borderId="4" xfId="0" applyNumberFormat="1" applyFont="1" applyFill="1" applyBorder="1" applyAlignment="1">
      <alignment horizontal="center" vertical="center" wrapText="1"/>
    </xf>
    <xf numFmtId="10" fontId="11" fillId="15" borderId="19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10" fontId="10" fillId="0" borderId="19" xfId="0" applyNumberFormat="1" applyFont="1" applyBorder="1" applyAlignment="1">
      <alignment horizontal="center" vertical="center" wrapText="1"/>
    </xf>
    <xf numFmtId="0" fontId="25" fillId="15" borderId="17" xfId="0" applyFont="1" applyFill="1" applyBorder="1" applyAlignment="1">
      <alignment horizontal="center" vertical="center" wrapText="1"/>
    </xf>
    <xf numFmtId="10" fontId="25" fillId="15" borderId="4" xfId="0" applyNumberFormat="1" applyFont="1" applyFill="1" applyBorder="1" applyAlignment="1">
      <alignment horizontal="center" vertical="center" wrapText="1"/>
    </xf>
    <xf numFmtId="10" fontId="25" fillId="15" borderId="19" xfId="0" applyNumberFormat="1" applyFont="1" applyFill="1" applyBorder="1" applyAlignment="1">
      <alignment horizontal="center" vertical="center" wrapText="1"/>
    </xf>
    <xf numFmtId="10" fontId="10" fillId="0" borderId="50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10" fontId="25" fillId="0" borderId="4" xfId="0" applyNumberFormat="1" applyFont="1" applyBorder="1" applyAlignment="1">
      <alignment horizontal="center" vertical="center" wrapText="1"/>
    </xf>
    <xf numFmtId="10" fontId="29" fillId="0" borderId="50" xfId="0" applyNumberFormat="1" applyFont="1" applyBorder="1" applyAlignment="1">
      <alignment horizontal="center" vertical="center" wrapText="1"/>
    </xf>
    <xf numFmtId="0" fontId="18" fillId="14" borderId="3" xfId="0" applyFont="1" applyFill="1" applyBorder="1" applyAlignment="1">
      <alignment horizontal="left" vertical="center"/>
    </xf>
    <xf numFmtId="0" fontId="18" fillId="14" borderId="0" xfId="0" applyFont="1" applyFill="1"/>
    <xf numFmtId="0" fontId="18" fillId="14" borderId="48" xfId="0" applyFont="1" applyFill="1" applyBorder="1"/>
    <xf numFmtId="0" fontId="25" fillId="15" borderId="22" xfId="0" applyFont="1" applyFill="1" applyBorder="1" applyAlignment="1">
      <alignment horizontal="center" vertical="center" wrapText="1"/>
    </xf>
    <xf numFmtId="10" fontId="25" fillId="15" borderId="23" xfId="0" applyNumberFormat="1" applyFont="1" applyFill="1" applyBorder="1" applyAlignment="1">
      <alignment horizontal="center" vertical="center" wrapText="1"/>
    </xf>
    <xf numFmtId="10" fontId="29" fillId="15" borderId="2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47" xfId="0" applyFont="1" applyBorder="1"/>
    <xf numFmtId="0" fontId="9" fillId="0" borderId="3" xfId="0" applyFont="1" applyBorder="1"/>
    <xf numFmtId="0" fontId="9" fillId="0" borderId="48" xfId="0" applyFont="1" applyBorder="1"/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0" fontId="25" fillId="12" borderId="4" xfId="0" applyFont="1" applyFill="1" applyBorder="1" applyAlignment="1">
      <alignment horizontal="center" vertical="center" wrapText="1"/>
    </xf>
    <xf numFmtId="0" fontId="7" fillId="16" borderId="12" xfId="0" applyFont="1" applyFill="1" applyBorder="1" applyAlignment="1">
      <alignment horizontal="center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vertical="center" wrapText="1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169" fontId="7" fillId="12" borderId="25" xfId="0" applyNumberFormat="1" applyFont="1" applyFill="1" applyBorder="1" applyAlignment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8" xfId="0" applyFont="1" applyBorder="1"/>
    <xf numFmtId="0" fontId="7" fillId="0" borderId="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5" fillId="16" borderId="12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47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48" xfId="0" applyFont="1" applyBorder="1"/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31" fillId="0" borderId="48" xfId="0" applyNumberFormat="1" applyFont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wrapText="1"/>
    </xf>
    <xf numFmtId="4" fontId="7" fillId="12" borderId="4" xfId="0" applyNumberFormat="1" applyFont="1" applyFill="1" applyBorder="1" applyAlignment="1">
      <alignment horizontal="center" vertical="center" wrapText="1"/>
    </xf>
    <xf numFmtId="4" fontId="7" fillId="12" borderId="19" xfId="0" applyNumberFormat="1" applyFont="1" applyFill="1" applyBorder="1" applyAlignment="1">
      <alignment horizontal="center" vertical="center" wrapText="1"/>
    </xf>
    <xf numFmtId="0" fontId="7" fillId="0" borderId="17" xfId="1" applyNumberFormat="1" applyFont="1" applyBorder="1" applyAlignment="1" applyProtection="1">
      <alignment horizontal="center" vertical="center"/>
    </xf>
    <xf numFmtId="0" fontId="9" fillId="0" borderId="4" xfId="1" applyNumberFormat="1" applyFont="1" applyBorder="1" applyAlignment="1" applyProtection="1">
      <alignment horizontal="center" vertical="center"/>
    </xf>
    <xf numFmtId="4" fontId="9" fillId="2" borderId="4" xfId="1" applyNumberFormat="1" applyFont="1" applyFill="1" applyBorder="1" applyAlignment="1" applyProtection="1">
      <alignment horizontal="center" vertical="center"/>
      <protection locked="0"/>
    </xf>
    <xf numFmtId="4" fontId="9" fillId="0" borderId="4" xfId="1" applyNumberFormat="1" applyFont="1" applyBorder="1" applyAlignment="1" applyProtection="1">
      <alignment horizontal="center" vertical="center"/>
    </xf>
    <xf numFmtId="4" fontId="9" fillId="0" borderId="19" xfId="1" applyNumberFormat="1" applyFont="1" applyBorder="1" applyAlignment="1" applyProtection="1">
      <alignment horizontal="center" vertical="center"/>
    </xf>
    <xf numFmtId="4" fontId="9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42" xfId="1" applyNumberFormat="1" applyFont="1" applyBorder="1" applyAlignment="1" applyProtection="1">
      <alignment horizontal="center" vertical="center"/>
    </xf>
    <xf numFmtId="4" fontId="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7" fillId="12" borderId="25" xfId="1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53" xfId="0" applyFont="1" applyBorder="1" applyAlignment="1">
      <alignment horizontal="left" vertical="center"/>
    </xf>
    <xf numFmtId="0" fontId="16" fillId="0" borderId="31" xfId="0" applyFont="1" applyBorder="1" applyAlignment="1">
      <alignment horizontal="left"/>
    </xf>
    <xf numFmtId="1" fontId="16" fillId="0" borderId="31" xfId="0" applyNumberFormat="1" applyFont="1" applyBorder="1" applyAlignment="1">
      <alignment horizontal="center"/>
    </xf>
    <xf numFmtId="0" fontId="16" fillId="0" borderId="31" xfId="0" applyFont="1" applyBorder="1"/>
    <xf numFmtId="0" fontId="1" fillId="0" borderId="31" xfId="0" applyFont="1" applyBorder="1"/>
    <xf numFmtId="1" fontId="1" fillId="0" borderId="31" xfId="0" applyNumberFormat="1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4" fontId="1" fillId="0" borderId="54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center"/>
    </xf>
    <xf numFmtId="0" fontId="16" fillId="0" borderId="0" xfId="0" applyFont="1"/>
    <xf numFmtId="4" fontId="1" fillId="0" borderId="48" xfId="0" applyNumberFormat="1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48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/>
    </xf>
    <xf numFmtId="1" fontId="1" fillId="0" borderId="55" xfId="0" applyNumberFormat="1" applyFont="1" applyBorder="1" applyAlignment="1">
      <alignment horizontal="center" vertical="center"/>
    </xf>
    <xf numFmtId="2" fontId="1" fillId="0" borderId="55" xfId="0" applyNumberFormat="1" applyFont="1" applyBorder="1" applyAlignment="1">
      <alignment horizontal="center" vertical="center"/>
    </xf>
    <xf numFmtId="4" fontId="1" fillId="0" borderId="5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 wrapText="1"/>
    </xf>
    <xf numFmtId="2" fontId="7" fillId="0" borderId="43" xfId="0" applyNumberFormat="1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/>
    </xf>
    <xf numFmtId="1" fontId="9" fillId="0" borderId="4" xfId="1" applyNumberFormat="1" applyFont="1" applyBorder="1" applyAlignment="1" applyProtection="1">
      <alignment horizontal="center" vertical="center"/>
    </xf>
    <xf numFmtId="1" fontId="9" fillId="0" borderId="18" xfId="1" applyNumberFormat="1" applyFont="1" applyBorder="1" applyAlignment="1" applyProtection="1">
      <alignment horizontal="center" vertical="center"/>
    </xf>
    <xf numFmtId="2" fontId="1" fillId="17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50" xfId="1" applyNumberFormat="1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4" fontId="7" fillId="0" borderId="19" xfId="1" applyNumberFormat="1" applyFont="1" applyBorder="1" applyAlignment="1" applyProtection="1">
      <alignment horizontal="center" vertical="center"/>
    </xf>
    <xf numFmtId="2" fontId="17" fillId="12" borderId="58" xfId="0" applyNumberFormat="1" applyFont="1" applyFill="1" applyBorder="1" applyAlignment="1">
      <alignment horizontal="center" vertical="center"/>
    </xf>
    <xf numFmtId="4" fontId="35" fillId="12" borderId="29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" fontId="9" fillId="0" borderId="0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 wrapText="1"/>
    </xf>
    <xf numFmtId="2" fontId="9" fillId="0" borderId="0" xfId="1" applyNumberFormat="1" applyFont="1" applyBorder="1" applyAlignment="1" applyProtection="1">
      <alignment horizontal="center" vertical="center"/>
    </xf>
    <xf numFmtId="4" fontId="9" fillId="0" borderId="48" xfId="1" applyNumberFormat="1" applyFont="1" applyBorder="1" applyAlignment="1" applyProtection="1">
      <alignment horizontal="center" vertical="center"/>
    </xf>
    <xf numFmtId="0" fontId="32" fillId="5" borderId="43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" fontId="9" fillId="0" borderId="12" xfId="1" applyNumberFormat="1" applyFont="1" applyBorder="1" applyAlignment="1" applyProtection="1">
      <alignment horizontal="center" vertical="center"/>
    </xf>
    <xf numFmtId="1" fontId="36" fillId="0" borderId="17" xfId="0" applyNumberFormat="1" applyFont="1" applyBorder="1" applyAlignment="1">
      <alignment horizontal="center" vertical="center"/>
    </xf>
    <xf numFmtId="4" fontId="7" fillId="0" borderId="25" xfId="1" applyNumberFormat="1" applyFont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4" fontId="17" fillId="0" borderId="48" xfId="1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4" fontId="7" fillId="0" borderId="29" xfId="1" applyNumberFormat="1" applyFont="1" applyBorder="1" applyAlignment="1" applyProtection="1">
      <alignment horizontal="center" vertical="center"/>
    </xf>
    <xf numFmtId="4" fontId="0" fillId="0" borderId="19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/>
    </xf>
    <xf numFmtId="4" fontId="9" fillId="0" borderId="47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4" fontId="9" fillId="0" borderId="48" xfId="0" applyNumberFormat="1" applyFont="1" applyBorder="1" applyAlignment="1">
      <alignment horizontal="center"/>
    </xf>
    <xf numFmtId="0" fontId="10" fillId="0" borderId="0" xfId="0" applyFont="1"/>
    <xf numFmtId="4" fontId="9" fillId="12" borderId="4" xfId="0" applyNumberFormat="1" applyFont="1" applyFill="1" applyBorder="1" applyAlignment="1" applyProtection="1">
      <alignment horizontal="center" vertical="center"/>
    </xf>
    <xf numFmtId="4" fontId="9" fillId="0" borderId="19" xfId="0" applyNumberFormat="1" applyFont="1" applyBorder="1" applyAlignment="1" applyProtection="1">
      <alignment horizontal="center" vertical="center"/>
    </xf>
    <xf numFmtId="4" fontId="9" fillId="12" borderId="43" xfId="0" applyNumberFormat="1" applyFont="1" applyFill="1" applyBorder="1" applyAlignment="1" applyProtection="1">
      <alignment horizontal="center" vertical="center"/>
    </xf>
    <xf numFmtId="4" fontId="9" fillId="0" borderId="43" xfId="0" applyNumberFormat="1" applyFont="1" applyBorder="1" applyAlignment="1" applyProtection="1">
      <alignment horizontal="center" vertical="center"/>
    </xf>
    <xf numFmtId="4" fontId="9" fillId="0" borderId="62" xfId="0" applyNumberFormat="1" applyFont="1" applyBorder="1" applyAlignment="1" applyProtection="1">
      <alignment horizontal="center" vertical="center"/>
    </xf>
    <xf numFmtId="4" fontId="7" fillId="12" borderId="4" xfId="0" applyNumberFormat="1" applyFont="1" applyFill="1" applyBorder="1" applyAlignment="1" applyProtection="1">
      <alignment horizontal="center" vertical="center"/>
    </xf>
    <xf numFmtId="4" fontId="7" fillId="12" borderId="19" xfId="0" applyNumberFormat="1" applyFont="1" applyFill="1" applyBorder="1" applyAlignment="1" applyProtection="1">
      <alignment horizontal="center" vertical="center"/>
    </xf>
    <xf numFmtId="4" fontId="7" fillId="12" borderId="7" xfId="0" applyNumberFormat="1" applyFont="1" applyFill="1" applyBorder="1" applyAlignment="1" applyProtection="1">
      <alignment horizontal="center" vertical="center"/>
    </xf>
    <xf numFmtId="4" fontId="7" fillId="12" borderId="8" xfId="0" applyNumberFormat="1" applyFont="1" applyFill="1" applyBorder="1" applyAlignment="1" applyProtection="1">
      <alignment horizontal="center" vertical="center"/>
    </xf>
    <xf numFmtId="2" fontId="9" fillId="0" borderId="4" xfId="1" applyNumberFormat="1" applyFont="1" applyBorder="1" applyAlignment="1" applyProtection="1">
      <alignment horizontal="center" vertical="center"/>
    </xf>
    <xf numFmtId="2" fontId="9" fillId="0" borderId="4" xfId="0" applyNumberFormat="1" applyFont="1" applyBorder="1" applyAlignment="1" applyProtection="1">
      <alignment horizontal="center" vertical="center"/>
    </xf>
    <xf numFmtId="10" fontId="9" fillId="0" borderId="4" xfId="3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2" fontId="9" fillId="0" borderId="43" xfId="1" applyNumberFormat="1" applyFont="1" applyBorder="1" applyAlignment="1" applyProtection="1">
      <alignment horizontal="center" vertical="center"/>
    </xf>
    <xf numFmtId="2" fontId="9" fillId="0" borderId="43" xfId="0" applyNumberFormat="1" applyFont="1" applyBorder="1" applyAlignment="1" applyProtection="1">
      <alignment horizontal="center" vertical="center"/>
    </xf>
    <xf numFmtId="4" fontId="7" fillId="12" borderId="38" xfId="0" applyNumberFormat="1" applyFont="1" applyFill="1" applyBorder="1" applyAlignment="1" applyProtection="1">
      <alignment horizontal="center" vertical="center"/>
    </xf>
    <xf numFmtId="4" fontId="7" fillId="12" borderId="29" xfId="0" applyNumberFormat="1" applyFont="1" applyFill="1" applyBorder="1" applyAlignment="1" applyProtection="1">
      <alignment horizontal="center" vertical="center"/>
    </xf>
    <xf numFmtId="4" fontId="7" fillId="12" borderId="37" xfId="0" applyNumberFormat="1" applyFont="1" applyFill="1" applyBorder="1" applyAlignment="1" applyProtection="1">
      <alignment horizontal="center" vertical="center"/>
    </xf>
    <xf numFmtId="4" fontId="7" fillId="12" borderId="65" xfId="0" applyNumberFormat="1" applyFont="1" applyFill="1" applyBorder="1" applyAlignment="1" applyProtection="1">
      <alignment horizontal="center" vertical="center"/>
    </xf>
    <xf numFmtId="4" fontId="17" fillId="12" borderId="4" xfId="0" applyNumberFormat="1" applyFont="1" applyFill="1" applyBorder="1" applyAlignment="1" applyProtection="1">
      <alignment horizontal="center" vertical="center"/>
    </xf>
    <xf numFmtId="4" fontId="17" fillId="12" borderId="19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/>
    <xf numFmtId="2" fontId="17" fillId="12" borderId="23" xfId="0" applyNumberFormat="1" applyFont="1" applyFill="1" applyBorder="1" applyAlignment="1" applyProtection="1">
      <alignment horizontal="center" vertical="center"/>
    </xf>
    <xf numFmtId="165" fontId="7" fillId="13" borderId="25" xfId="2" applyFont="1" applyFill="1" applyBorder="1" applyAlignment="1" applyProtection="1">
      <alignment horizontal="center" vertical="center"/>
    </xf>
    <xf numFmtId="0" fontId="2" fillId="0" borderId="2" xfId="0" applyFont="1" applyBorder="1"/>
    <xf numFmtId="0" fontId="1" fillId="0" borderId="2" xfId="0" applyFont="1" applyBorder="1"/>
    <xf numFmtId="0" fontId="1" fillId="0" borderId="47" xfId="0" applyFont="1" applyBorder="1"/>
    <xf numFmtId="0" fontId="1" fillId="0" borderId="3" xfId="0" applyFont="1" applyBorder="1"/>
    <xf numFmtId="0" fontId="1" fillId="0" borderId="48" xfId="0" applyFont="1" applyBorder="1"/>
    <xf numFmtId="0" fontId="39" fillId="0" borderId="0" xfId="0" applyFont="1" applyAlignment="1">
      <alignment vertical="center"/>
    </xf>
    <xf numFmtId="0" fontId="6" fillId="12" borderId="63" xfId="0" applyFont="1" applyFill="1" applyBorder="1" applyAlignment="1">
      <alignment vertical="center"/>
    </xf>
    <xf numFmtId="0" fontId="40" fillId="12" borderId="64" xfId="0" applyFont="1" applyFill="1" applyBorder="1" applyAlignment="1">
      <alignment vertical="center" wrapText="1"/>
    </xf>
    <xf numFmtId="0" fontId="19" fillId="12" borderId="64" xfId="0" applyFont="1" applyFill="1" applyBorder="1" applyAlignment="1">
      <alignment vertical="center"/>
    </xf>
    <xf numFmtId="0" fontId="17" fillId="12" borderId="64" xfId="0" applyFont="1" applyFill="1" applyBorder="1" applyAlignment="1">
      <alignment vertical="center"/>
    </xf>
    <xf numFmtId="0" fontId="6" fillId="12" borderId="64" xfId="0" applyFont="1" applyFill="1" applyBorder="1" applyAlignment="1">
      <alignment vertical="center"/>
    </xf>
    <xf numFmtId="0" fontId="5" fillId="12" borderId="2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0" fontId="9" fillId="12" borderId="43" xfId="0" applyFont="1" applyFill="1" applyBorder="1" applyAlignment="1">
      <alignment horizontal="center" vertical="center" wrapText="1"/>
    </xf>
    <xf numFmtId="0" fontId="9" fillId="12" borderId="62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61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 vertical="center"/>
    </xf>
    <xf numFmtId="164" fontId="5" fillId="0" borderId="33" xfId="1" applyFont="1" applyBorder="1" applyAlignment="1" applyProtection="1">
      <alignment horizontal="center" vertical="center"/>
    </xf>
    <xf numFmtId="164" fontId="5" fillId="0" borderId="34" xfId="1" applyFont="1" applyBorder="1" applyAlignment="1" applyProtection="1">
      <alignment horizontal="center" vertical="center"/>
    </xf>
    <xf numFmtId="4" fontId="1" fillId="0" borderId="4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164" fontId="5" fillId="0" borderId="12" xfId="1" applyFont="1" applyBorder="1" applyAlignment="1" applyProtection="1">
      <alignment horizontal="center" vertical="center"/>
    </xf>
    <xf numFmtId="164" fontId="5" fillId="0" borderId="13" xfId="1" applyFont="1" applyBorder="1" applyAlignment="1" applyProtection="1">
      <alignment horizontal="center" vertical="center"/>
    </xf>
    <xf numFmtId="164" fontId="1" fillId="0" borderId="11" xfId="1" applyFont="1" applyBorder="1" applyAlignment="1" applyProtection="1">
      <alignment horizontal="center" vertical="center"/>
    </xf>
    <xf numFmtId="164" fontId="1" fillId="0" borderId="12" xfId="1" applyFont="1" applyBorder="1" applyAlignment="1" applyProtection="1">
      <alignment horizontal="center" vertical="center"/>
    </xf>
    <xf numFmtId="164" fontId="5" fillId="0" borderId="70" xfId="1" applyFont="1" applyBorder="1" applyAlignment="1" applyProtection="1">
      <alignment horizontal="center" vertical="center"/>
    </xf>
    <xf numFmtId="164" fontId="5" fillId="12" borderId="11" xfId="1" applyFont="1" applyFill="1" applyBorder="1" applyAlignment="1" applyProtection="1">
      <alignment horizontal="center" vertical="center"/>
    </xf>
    <xf numFmtId="164" fontId="5" fillId="12" borderId="12" xfId="1" applyFont="1" applyFill="1" applyBorder="1" applyAlignment="1" applyProtection="1">
      <alignment horizontal="center" vertical="center"/>
    </xf>
    <xf numFmtId="164" fontId="5" fillId="12" borderId="14" xfId="1" applyFont="1" applyFill="1" applyBorder="1" applyAlignment="1" applyProtection="1">
      <alignment horizontal="center" vertical="center"/>
    </xf>
    <xf numFmtId="165" fontId="1" fillId="0" borderId="71" xfId="2" applyFont="1" applyBorder="1" applyAlignment="1" applyProtection="1">
      <alignment horizontal="right" vertical="center"/>
    </xf>
    <xf numFmtId="4" fontId="1" fillId="0" borderId="17" xfId="0" applyNumberFormat="1" applyFont="1" applyBorder="1" applyAlignment="1">
      <alignment horizontal="center" vertical="center"/>
    </xf>
    <xf numFmtId="164" fontId="5" fillId="0" borderId="4" xfId="1" applyFont="1" applyBorder="1" applyAlignment="1" applyProtection="1">
      <alignment horizontal="center" vertical="center"/>
    </xf>
    <xf numFmtId="164" fontId="5" fillId="0" borderId="19" xfId="1" applyFont="1" applyBorder="1" applyAlignment="1" applyProtection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164" fontId="5" fillId="0" borderId="18" xfId="1" applyFont="1" applyBorder="1" applyAlignment="1" applyProtection="1">
      <alignment horizontal="center" vertical="center"/>
    </xf>
    <xf numFmtId="164" fontId="1" fillId="0" borderId="17" xfId="1" applyFont="1" applyBorder="1" applyAlignment="1" applyProtection="1">
      <alignment horizontal="center" vertical="center"/>
    </xf>
    <xf numFmtId="164" fontId="1" fillId="0" borderId="4" xfId="1" applyFont="1" applyBorder="1" applyAlignment="1" applyProtection="1">
      <alignment horizontal="center" vertical="center"/>
    </xf>
    <xf numFmtId="164" fontId="5" fillId="0" borderId="39" xfId="1" applyFont="1" applyBorder="1" applyAlignment="1" applyProtection="1">
      <alignment horizontal="center" vertical="center"/>
    </xf>
    <xf numFmtId="164" fontId="1" fillId="0" borderId="19" xfId="1" applyFont="1" applyBorder="1" applyAlignment="1" applyProtection="1">
      <alignment horizontal="center" vertical="center"/>
    </xf>
    <xf numFmtId="164" fontId="5" fillId="12" borderId="17" xfId="1" applyFont="1" applyFill="1" applyBorder="1" applyAlignment="1" applyProtection="1">
      <alignment horizontal="center" vertical="center"/>
    </xf>
    <xf numFmtId="164" fontId="5" fillId="12" borderId="4" xfId="1" applyFont="1" applyFill="1" applyBorder="1" applyAlignment="1" applyProtection="1">
      <alignment horizontal="center" vertical="center"/>
    </xf>
    <xf numFmtId="164" fontId="5" fillId="12" borderId="19" xfId="1" applyFont="1" applyFill="1" applyBorder="1" applyAlignment="1" applyProtection="1">
      <alignment horizontal="center" vertical="center"/>
    </xf>
    <xf numFmtId="0" fontId="1" fillId="0" borderId="37" xfId="0" applyFont="1" applyBorder="1" applyAlignment="1">
      <alignment vertical="center" wrapText="1"/>
    </xf>
    <xf numFmtId="1" fontId="1" fillId="0" borderId="37" xfId="0" applyNumberFormat="1" applyFont="1" applyBorder="1" applyAlignment="1">
      <alignment horizontal="center" vertical="center"/>
    </xf>
    <xf numFmtId="1" fontId="1" fillId="0" borderId="69" xfId="0" applyNumberFormat="1" applyFont="1" applyBorder="1" applyAlignment="1">
      <alignment horizontal="center" vertical="center"/>
    </xf>
    <xf numFmtId="4" fontId="1" fillId="0" borderId="37" xfId="0" applyNumberFormat="1" applyFont="1" applyBorder="1" applyAlignment="1">
      <alignment horizontal="center" vertical="center"/>
    </xf>
    <xf numFmtId="4" fontId="1" fillId="0" borderId="44" xfId="0" applyNumberFormat="1" applyFont="1" applyBorder="1" applyAlignment="1">
      <alignment horizontal="center" vertical="center"/>
    </xf>
    <xf numFmtId="4" fontId="1" fillId="0" borderId="42" xfId="0" applyNumberFormat="1" applyFont="1" applyBorder="1" applyAlignment="1">
      <alignment horizontal="center" vertical="center"/>
    </xf>
    <xf numFmtId="164" fontId="5" fillId="0" borderId="43" xfId="1" applyFont="1" applyBorder="1" applyAlignment="1" applyProtection="1">
      <alignment horizontal="center" vertical="center"/>
    </xf>
    <xf numFmtId="164" fontId="5" fillId="0" borderId="62" xfId="1" applyFont="1" applyBorder="1" applyAlignment="1" applyProtection="1">
      <alignment horizontal="center" vertical="center"/>
    </xf>
    <xf numFmtId="4" fontId="1" fillId="0" borderId="52" xfId="0" applyNumberFormat="1" applyFont="1" applyBorder="1" applyAlignment="1">
      <alignment horizontal="center" vertical="center"/>
    </xf>
    <xf numFmtId="164" fontId="5" fillId="0" borderId="61" xfId="1" applyFont="1" applyBorder="1" applyAlignment="1" applyProtection="1">
      <alignment horizontal="center" vertical="center"/>
    </xf>
    <xf numFmtId="164" fontId="1" fillId="0" borderId="42" xfId="1" applyFont="1" applyBorder="1" applyAlignment="1" applyProtection="1">
      <alignment horizontal="center" vertical="center"/>
    </xf>
    <xf numFmtId="164" fontId="1" fillId="0" borderId="43" xfId="1" applyFont="1" applyBorder="1" applyAlignment="1" applyProtection="1">
      <alignment horizontal="center" vertical="center"/>
    </xf>
    <xf numFmtId="164" fontId="5" fillId="0" borderId="53" xfId="1" applyFont="1" applyBorder="1" applyAlignment="1" applyProtection="1">
      <alignment horizontal="center" vertical="center"/>
    </xf>
    <xf numFmtId="164" fontId="5" fillId="12" borderId="42" xfId="1" applyFont="1" applyFill="1" applyBorder="1" applyAlignment="1" applyProtection="1">
      <alignment horizontal="center" vertical="center"/>
    </xf>
    <xf numFmtId="164" fontId="5" fillId="12" borderId="43" xfId="1" applyFont="1" applyFill="1" applyBorder="1" applyAlignment="1" applyProtection="1">
      <alignment horizontal="center" vertical="center"/>
    </xf>
    <xf numFmtId="164" fontId="5" fillId="12" borderId="62" xfId="1" applyFont="1" applyFill="1" applyBorder="1" applyAlignment="1" applyProtection="1">
      <alignment horizontal="center" vertical="center"/>
    </xf>
    <xf numFmtId="165" fontId="1" fillId="0" borderId="48" xfId="2" applyFont="1" applyBorder="1" applyAlignment="1" applyProtection="1">
      <alignment horizontal="right" vertical="center"/>
    </xf>
    <xf numFmtId="1" fontId="17" fillId="12" borderId="5" xfId="0" applyNumberFormat="1" applyFont="1" applyFill="1" applyBorder="1" applyAlignment="1">
      <alignment horizontal="center" vertical="center"/>
    </xf>
    <xf numFmtId="4" fontId="17" fillId="12" borderId="7" xfId="0" applyNumberFormat="1" applyFont="1" applyFill="1" applyBorder="1" applyAlignment="1">
      <alignment horizontal="center" vertical="center"/>
    </xf>
    <xf numFmtId="4" fontId="17" fillId="12" borderId="6" xfId="0" applyNumberFormat="1" applyFont="1" applyFill="1" applyBorder="1" applyAlignment="1">
      <alignment horizontal="center" vertical="center"/>
    </xf>
    <xf numFmtId="4" fontId="17" fillId="12" borderId="5" xfId="0" applyNumberFormat="1" applyFont="1" applyFill="1" applyBorder="1" applyAlignment="1">
      <alignment horizontal="center" vertical="center"/>
    </xf>
    <xf numFmtId="4" fontId="17" fillId="12" borderId="8" xfId="0" applyNumberFormat="1" applyFont="1" applyFill="1" applyBorder="1" applyAlignment="1">
      <alignment horizontal="center" vertical="center"/>
    </xf>
    <xf numFmtId="164" fontId="17" fillId="12" borderId="10" xfId="1" applyFont="1" applyFill="1" applyBorder="1" applyAlignment="1" applyProtection="1">
      <alignment horizontal="center" vertical="center"/>
    </xf>
    <xf numFmtId="4" fontId="17" fillId="12" borderId="10" xfId="0" applyNumberFormat="1" applyFont="1" applyFill="1" applyBorder="1" applyAlignment="1">
      <alignment horizontal="center" vertical="center"/>
    </xf>
    <xf numFmtId="164" fontId="17" fillId="12" borderId="63" xfId="1" applyFont="1" applyFill="1" applyBorder="1" applyAlignment="1" applyProtection="1">
      <alignment horizontal="center" vertical="center"/>
    </xf>
    <xf numFmtId="164" fontId="17" fillId="12" borderId="5" xfId="1" applyFont="1" applyFill="1" applyBorder="1" applyAlignment="1" applyProtection="1">
      <alignment horizontal="center" vertical="center"/>
    </xf>
    <xf numFmtId="165" fontId="17" fillId="19" borderId="66" xfId="2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vertical="center"/>
    </xf>
    <xf numFmtId="165" fontId="6" fillId="12" borderId="51" xfId="2" applyFont="1" applyFill="1" applyBorder="1" applyAlignment="1" applyProtection="1">
      <alignment vertical="center"/>
    </xf>
    <xf numFmtId="165" fontId="17" fillId="12" borderId="9" xfId="2" applyFont="1" applyFill="1" applyBorder="1" applyAlignment="1" applyProtection="1">
      <alignment vertical="center"/>
    </xf>
    <xf numFmtId="0" fontId="9" fillId="0" borderId="0" xfId="0" applyFont="1" applyAlignment="1">
      <alignment vertical="top"/>
    </xf>
    <xf numFmtId="0" fontId="10" fillId="0" borderId="48" xfId="0" applyFont="1" applyBorder="1"/>
    <xf numFmtId="0" fontId="41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4" fontId="9" fillId="8" borderId="12" xfId="4" applyNumberFormat="1" applyFont="1" applyFill="1" applyBorder="1" applyAlignment="1" applyProtection="1">
      <alignment vertical="center"/>
    </xf>
    <xf numFmtId="4" fontId="9" fillId="8" borderId="14" xfId="4" applyNumberFormat="1" applyFont="1" applyFill="1" applyBorder="1" applyAlignment="1" applyProtection="1">
      <alignment vertical="center"/>
    </xf>
    <xf numFmtId="4" fontId="9" fillId="8" borderId="4" xfId="4" applyNumberFormat="1" applyFont="1" applyFill="1" applyBorder="1" applyAlignment="1" applyProtection="1">
      <alignment vertical="center"/>
    </xf>
    <xf numFmtId="4" fontId="9" fillId="8" borderId="19" xfId="4" applyNumberFormat="1" applyFont="1" applyFill="1" applyBorder="1" applyAlignment="1" applyProtection="1">
      <alignment vertical="center"/>
    </xf>
    <xf numFmtId="4" fontId="7" fillId="8" borderId="4" xfId="4" applyNumberFormat="1" applyFont="1" applyFill="1" applyBorder="1" applyAlignment="1" applyProtection="1">
      <alignment horizontal="right" vertical="center"/>
    </xf>
    <xf numFmtId="4" fontId="7" fillId="8" borderId="19" xfId="4" applyNumberFormat="1" applyFont="1" applyFill="1" applyBorder="1" applyAlignment="1" applyProtection="1">
      <alignment horizontal="right" vertical="center"/>
    </xf>
    <xf numFmtId="0" fontId="25" fillId="0" borderId="18" xfId="0" applyFont="1" applyBorder="1" applyAlignment="1">
      <alignment horizontal="right" vertical="center"/>
    </xf>
    <xf numFmtId="0" fontId="28" fillId="16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0" fontId="28" fillId="0" borderId="4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10" fontId="28" fillId="0" borderId="12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0" fontId="44" fillId="8" borderId="4" xfId="0" applyNumberFormat="1" applyFont="1" applyFill="1" applyBorder="1" applyAlignment="1" applyProtection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0" fontId="1" fillId="21" borderId="4" xfId="3" applyNumberFormat="1" applyFont="1" applyFill="1" applyBorder="1" applyAlignment="1" applyProtection="1">
      <alignment horizontal="center" vertical="center"/>
      <protection locked="0"/>
    </xf>
    <xf numFmtId="4" fontId="1" fillId="21" borderId="4" xfId="1" applyNumberFormat="1" applyFont="1" applyFill="1" applyBorder="1" applyAlignment="1" applyProtection="1">
      <alignment horizontal="center" vertical="center"/>
      <protection locked="0"/>
    </xf>
    <xf numFmtId="2" fontId="1" fillId="22" borderId="4" xfId="3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47" fillId="0" borderId="37" xfId="0" applyFont="1" applyBorder="1" applyAlignment="1">
      <alignment horizontal="center" vertical="center" wrapText="1"/>
    </xf>
    <xf numFmtId="0" fontId="9" fillId="0" borderId="52" xfId="1" applyNumberFormat="1" applyFont="1" applyBorder="1" applyAlignment="1" applyProtection="1">
      <alignment horizontal="center" vertical="center"/>
    </xf>
    <xf numFmtId="0" fontId="26" fillId="0" borderId="4" xfId="0" applyFont="1" applyFill="1" applyBorder="1" applyAlignment="1">
      <alignment wrapText="1"/>
    </xf>
    <xf numFmtId="164" fontId="26" fillId="0" borderId="4" xfId="1" applyFont="1" applyFill="1" applyBorder="1" applyAlignment="1">
      <alignment wrapText="1"/>
    </xf>
    <xf numFmtId="0" fontId="26" fillId="0" borderId="52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0" fontId="26" fillId="0" borderId="4" xfId="0" applyFont="1" applyFill="1" applyBorder="1" applyAlignment="1">
      <alignment vertical="center" wrapText="1"/>
    </xf>
    <xf numFmtId="1" fontId="9" fillId="0" borderId="4" xfId="0" applyNumberFormat="1" applyFont="1" applyBorder="1" applyAlignment="1" applyProtection="1">
      <alignment horizontal="center" vertical="center" wrapText="1"/>
    </xf>
    <xf numFmtId="4" fontId="46" fillId="23" borderId="19" xfId="1" applyNumberFormat="1" applyFont="1" applyFill="1" applyBorder="1" applyAlignment="1" applyProtection="1">
      <alignment horizontal="center" vertical="center"/>
    </xf>
    <xf numFmtId="4" fontId="9" fillId="0" borderId="19" xfId="0" applyNumberFormat="1" applyFont="1" applyBorder="1" applyAlignment="1" applyProtection="1">
      <alignment vertical="center"/>
    </xf>
    <xf numFmtId="0" fontId="9" fillId="0" borderId="0" xfId="0" applyFont="1" applyFill="1"/>
    <xf numFmtId="0" fontId="26" fillId="0" borderId="4" xfId="0" applyFont="1" applyFill="1" applyBorder="1" applyAlignment="1">
      <alignment vertical="top" wrapText="1"/>
    </xf>
    <xf numFmtId="0" fontId="26" fillId="0" borderId="56" xfId="0" applyFont="1" applyFill="1" applyBorder="1" applyAlignment="1">
      <alignment wrapText="1"/>
    </xf>
    <xf numFmtId="0" fontId="9" fillId="0" borderId="4" xfId="0" applyFont="1" applyFill="1" applyBorder="1" applyAlignment="1">
      <alignment vertical="center" wrapText="1"/>
    </xf>
    <xf numFmtId="0" fontId="26" fillId="0" borderId="0" xfId="0" applyFont="1" applyFill="1" applyAlignment="1">
      <alignment vertical="top" wrapText="1"/>
    </xf>
    <xf numFmtId="0" fontId="49" fillId="0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69" fontId="7" fillId="0" borderId="25" xfId="0" applyNumberFormat="1" applyFont="1" applyFill="1" applyBorder="1" applyAlignment="1">
      <alignment vertical="center"/>
    </xf>
    <xf numFmtId="0" fontId="50" fillId="23" borderId="4" xfId="0" applyFont="1" applyFill="1" applyBorder="1" applyAlignment="1">
      <alignment horizontal="center"/>
    </xf>
    <xf numFmtId="2" fontId="50" fillId="23" borderId="4" xfId="0" applyNumberFormat="1" applyFont="1" applyFill="1" applyBorder="1" applyAlignment="1">
      <alignment horizontal="center"/>
    </xf>
    <xf numFmtId="0" fontId="50" fillId="23" borderId="4" xfId="0" applyFont="1" applyFill="1" applyBorder="1" applyAlignment="1">
      <alignment horizontal="center" vertical="center"/>
    </xf>
    <xf numFmtId="2" fontId="50" fillId="23" borderId="4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9" fillId="12" borderId="58" xfId="0" applyFont="1" applyFill="1" applyBorder="1" applyAlignment="1" applyProtection="1">
      <alignment vertical="center" wrapText="1"/>
    </xf>
    <xf numFmtId="0" fontId="10" fillId="0" borderId="1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61" xfId="0" applyFont="1" applyBorder="1" applyAlignment="1" applyProtection="1">
      <alignment horizontal="center" vertical="center"/>
    </xf>
    <xf numFmtId="1" fontId="9" fillId="0" borderId="4" xfId="0" applyNumberFormat="1" applyFont="1" applyBorder="1" applyAlignment="1" applyProtection="1">
      <alignment horizontal="center" vertical="center"/>
    </xf>
    <xf numFmtId="10" fontId="9" fillId="0" borderId="4" xfId="0" applyNumberFormat="1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vertical="center" wrapText="1"/>
    </xf>
    <xf numFmtId="10" fontId="9" fillId="0" borderId="43" xfId="0" applyNumberFormat="1" applyFont="1" applyBorder="1" applyAlignment="1" applyProtection="1">
      <alignment horizontal="center" vertical="center" wrapText="1"/>
    </xf>
    <xf numFmtId="10" fontId="9" fillId="0" borderId="12" xfId="0" applyNumberFormat="1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vertical="center"/>
    </xf>
    <xf numFmtId="0" fontId="9" fillId="0" borderId="55" xfId="0" applyFont="1" applyBorder="1" applyAlignment="1" applyProtection="1">
      <alignment vertical="center"/>
    </xf>
    <xf numFmtId="4" fontId="9" fillId="0" borderId="55" xfId="0" applyNumberFormat="1" applyFont="1" applyBorder="1" applyAlignment="1" applyProtection="1">
      <alignment vertical="center"/>
    </xf>
    <xf numFmtId="0" fontId="9" fillId="0" borderId="53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10" fontId="9" fillId="0" borderId="43" xfId="0" applyNumberFormat="1" applyFont="1" applyBorder="1" applyAlignment="1" applyProtection="1">
      <alignment horizontal="center" vertical="center"/>
    </xf>
    <xf numFmtId="4" fontId="9" fillId="0" borderId="31" xfId="0" applyNumberFormat="1" applyFont="1" applyBorder="1" applyAlignment="1" applyProtection="1">
      <alignment vertical="center"/>
    </xf>
    <xf numFmtId="0" fontId="7" fillId="12" borderId="63" xfId="0" applyFont="1" applyFill="1" applyBorder="1" applyAlignment="1" applyProtection="1">
      <alignment vertical="center"/>
    </xf>
    <xf numFmtId="0" fontId="7" fillId="12" borderId="64" xfId="0" applyFont="1" applyFill="1" applyBorder="1" applyAlignment="1" applyProtection="1">
      <alignment vertical="center"/>
    </xf>
    <xf numFmtId="10" fontId="7" fillId="12" borderId="7" xfId="0" applyNumberFormat="1" applyFont="1" applyFill="1" applyBorder="1" applyAlignment="1" applyProtection="1">
      <alignment horizontal="center" vertical="center"/>
    </xf>
    <xf numFmtId="4" fontId="7" fillId="12" borderId="7" xfId="0" applyNumberFormat="1" applyFont="1" applyFill="1" applyBorder="1" applyAlignment="1" applyProtection="1">
      <alignment vertical="center"/>
    </xf>
    <xf numFmtId="10" fontId="7" fillId="12" borderId="43" xfId="0" applyNumberFormat="1" applyFont="1" applyFill="1" applyBorder="1" applyAlignment="1" applyProtection="1">
      <alignment horizontal="center" vertical="center"/>
    </xf>
    <xf numFmtId="4" fontId="7" fillId="12" borderId="4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49" fontId="42" fillId="8" borderId="10" xfId="0" applyNumberFormat="1" applyFont="1" applyFill="1" applyBorder="1" applyAlignment="1" applyProtection="1">
      <alignment horizontal="center" vertical="center" wrapText="1"/>
    </xf>
    <xf numFmtId="49" fontId="25" fillId="0" borderId="7" xfId="0" applyNumberFormat="1" applyFont="1" applyBorder="1" applyAlignment="1" applyProtection="1">
      <alignment horizontal="center" vertical="center" wrapText="1"/>
    </xf>
    <xf numFmtId="49" fontId="25" fillId="0" borderId="8" xfId="0" applyNumberFormat="1" applyFont="1" applyBorder="1" applyAlignment="1" applyProtection="1">
      <alignment horizontal="center" vertical="center" wrapText="1"/>
    </xf>
    <xf numFmtId="0" fontId="27" fillId="8" borderId="3" xfId="0" applyFont="1" applyFill="1" applyBorder="1" applyAlignment="1" applyProtection="1">
      <alignment horizontal="center" vertical="center"/>
    </xf>
    <xf numFmtId="0" fontId="43" fillId="20" borderId="5" xfId="0" applyFont="1" applyFill="1" applyBorder="1" applyAlignment="1" applyProtection="1">
      <alignment horizontal="center" vertical="center"/>
    </xf>
    <xf numFmtId="4" fontId="43" fillId="20" borderId="7" xfId="0" applyNumberFormat="1" applyFont="1" applyFill="1" applyBorder="1" applyAlignment="1" applyProtection="1">
      <alignment vertical="center"/>
    </xf>
    <xf numFmtId="4" fontId="43" fillId="20" borderId="8" xfId="0" applyNumberFormat="1" applyFont="1" applyFill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10" fontId="26" fillId="0" borderId="4" xfId="0" applyNumberFormat="1" applyFont="1" applyBorder="1" applyAlignment="1" applyProtection="1">
      <alignment horizontal="center" vertical="center"/>
    </xf>
    <xf numFmtId="10" fontId="27" fillId="0" borderId="4" xfId="0" applyNumberFormat="1" applyFont="1" applyBorder="1" applyAlignment="1" applyProtection="1">
      <alignment horizontal="center" vertical="center"/>
    </xf>
    <xf numFmtId="0" fontId="27" fillId="12" borderId="17" xfId="0" applyFont="1" applyFill="1" applyBorder="1" applyAlignment="1" applyProtection="1">
      <alignment horizontal="center" vertical="center"/>
    </xf>
    <xf numFmtId="0" fontId="27" fillId="12" borderId="4" xfId="0" applyFont="1" applyFill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4" fontId="9" fillId="0" borderId="4" xfId="0" applyNumberFormat="1" applyFont="1" applyBorder="1" applyAlignment="1" applyProtection="1">
      <alignment vertical="center"/>
    </xf>
    <xf numFmtId="4" fontId="27" fillId="0" borderId="4" xfId="0" applyNumberFormat="1" applyFont="1" applyBorder="1" applyAlignment="1" applyProtection="1">
      <alignment vertical="center"/>
    </xf>
    <xf numFmtId="4" fontId="27" fillId="0" borderId="19" xfId="0" applyNumberFormat="1" applyFont="1" applyBorder="1" applyAlignment="1" applyProtection="1">
      <alignment vertical="center"/>
    </xf>
    <xf numFmtId="10" fontId="27" fillId="12" borderId="4" xfId="0" applyNumberFormat="1" applyFont="1" applyFill="1" applyBorder="1" applyAlignment="1" applyProtection="1">
      <alignment horizontal="center" vertical="center"/>
    </xf>
    <xf numFmtId="10" fontId="9" fillId="0" borderId="4" xfId="0" applyNumberFormat="1" applyFont="1" applyBorder="1" applyAlignment="1" applyProtection="1">
      <alignment vertical="center" wrapText="1"/>
    </xf>
    <xf numFmtId="4" fontId="9" fillId="8" borderId="4" xfId="0" applyNumberFormat="1" applyFont="1" applyFill="1" applyBorder="1" applyAlignment="1" applyProtection="1">
      <alignment horizontal="right" vertical="center"/>
    </xf>
    <xf numFmtId="4" fontId="9" fillId="8" borderId="19" xfId="0" applyNumberFormat="1" applyFont="1" applyFill="1" applyBorder="1" applyAlignment="1" applyProtection="1">
      <alignment horizontal="right" vertical="center"/>
    </xf>
    <xf numFmtId="0" fontId="27" fillId="0" borderId="17" xfId="0" applyFont="1" applyBorder="1" applyAlignment="1" applyProtection="1">
      <alignment horizontal="center" vertical="center"/>
    </xf>
    <xf numFmtId="10" fontId="27" fillId="0" borderId="4" xfId="0" applyNumberFormat="1" applyFont="1" applyBorder="1" applyAlignment="1" applyProtection="1">
      <alignment vertical="center" wrapText="1"/>
    </xf>
    <xf numFmtId="4" fontId="27" fillId="8" borderId="4" xfId="0" applyNumberFormat="1" applyFont="1" applyFill="1" applyBorder="1" applyAlignment="1" applyProtection="1">
      <alignment horizontal="right" vertical="center"/>
    </xf>
    <xf numFmtId="4" fontId="27" fillId="8" borderId="19" xfId="0" applyNumberFormat="1" applyFont="1" applyFill="1" applyBorder="1" applyAlignment="1" applyProtection="1">
      <alignment horizontal="right" vertical="center"/>
    </xf>
    <xf numFmtId="0" fontId="9" fillId="8" borderId="17" xfId="0" applyFont="1" applyFill="1" applyBorder="1" applyAlignment="1" applyProtection="1">
      <alignment horizontal="center" vertical="center"/>
    </xf>
    <xf numFmtId="0" fontId="27" fillId="0" borderId="42" xfId="0" applyFont="1" applyBorder="1" applyAlignment="1" applyProtection="1">
      <alignment vertical="center"/>
    </xf>
    <xf numFmtId="4" fontId="27" fillId="0" borderId="43" xfId="0" applyNumberFormat="1" applyFont="1" applyBorder="1" applyAlignment="1" applyProtection="1">
      <alignment horizontal="right" vertical="center"/>
    </xf>
    <xf numFmtId="4" fontId="27" fillId="0" borderId="62" xfId="0" applyNumberFormat="1" applyFont="1" applyBorder="1" applyAlignment="1" applyProtection="1">
      <alignment horizontal="right" vertical="center"/>
    </xf>
    <xf numFmtId="0" fontId="27" fillId="12" borderId="11" xfId="0" applyFont="1" applyFill="1" applyBorder="1" applyAlignment="1" applyProtection="1">
      <alignment vertical="center"/>
    </xf>
    <xf numFmtId="0" fontId="27" fillId="12" borderId="12" xfId="0" applyFont="1" applyFill="1" applyBorder="1" applyAlignment="1" applyProtection="1">
      <alignment vertical="center"/>
    </xf>
    <xf numFmtId="4" fontId="26" fillId="8" borderId="4" xfId="0" applyNumberFormat="1" applyFont="1" applyFill="1" applyBorder="1" applyAlignment="1" applyProtection="1">
      <alignment vertical="center"/>
    </xf>
    <xf numFmtId="4" fontId="26" fillId="8" borderId="19" xfId="0" applyNumberFormat="1" applyFont="1" applyFill="1" applyBorder="1" applyAlignment="1" applyProtection="1">
      <alignment vertical="center"/>
    </xf>
    <xf numFmtId="0" fontId="27" fillId="0" borderId="4" xfId="0" applyFont="1" applyBorder="1" applyAlignment="1" applyProtection="1">
      <alignment vertical="center"/>
    </xf>
    <xf numFmtId="4" fontId="27" fillId="8" borderId="4" xfId="0" applyNumberFormat="1" applyFont="1" applyFill="1" applyBorder="1" applyAlignment="1" applyProtection="1">
      <alignment vertical="center"/>
    </xf>
    <xf numFmtId="4" fontId="27" fillId="8" borderId="19" xfId="0" applyNumberFormat="1" applyFont="1" applyFill="1" applyBorder="1" applyAlignment="1" applyProtection="1">
      <alignment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vertical="center"/>
    </xf>
    <xf numFmtId="4" fontId="26" fillId="8" borderId="43" xfId="0" applyNumberFormat="1" applyFont="1" applyFill="1" applyBorder="1" applyAlignment="1" applyProtection="1">
      <alignment vertical="center"/>
    </xf>
    <xf numFmtId="4" fontId="26" fillId="8" borderId="62" xfId="0" applyNumberFormat="1" applyFont="1" applyFill="1" applyBorder="1" applyAlignment="1" applyProtection="1">
      <alignment vertical="center"/>
    </xf>
    <xf numFmtId="0" fontId="27" fillId="12" borderId="5" xfId="0" applyFont="1" applyFill="1" applyBorder="1" applyAlignment="1" applyProtection="1">
      <alignment vertical="center"/>
    </xf>
    <xf numFmtId="0" fontId="27" fillId="12" borderId="7" xfId="0" applyFont="1" applyFill="1" applyBorder="1" applyAlignment="1" applyProtection="1">
      <alignment vertical="center"/>
    </xf>
    <xf numFmtId="4" fontId="27" fillId="12" borderId="7" xfId="0" applyNumberFormat="1" applyFont="1" applyFill="1" applyBorder="1" applyAlignment="1" applyProtection="1">
      <alignment vertical="center"/>
    </xf>
    <xf numFmtId="4" fontId="27" fillId="12" borderId="8" xfId="0" applyNumberFormat="1" applyFont="1" applyFill="1" applyBorder="1" applyAlignment="1" applyProtection="1">
      <alignment vertical="center"/>
    </xf>
    <xf numFmtId="10" fontId="1" fillId="24" borderId="4" xfId="3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/>
    </xf>
    <xf numFmtId="0" fontId="7" fillId="5" borderId="39" xfId="0" applyFont="1" applyFill="1" applyBorder="1" applyAlignment="1" applyProtection="1">
      <alignment horizontal="right" vertical="center" wrapText="1"/>
    </xf>
    <xf numFmtId="0" fontId="7" fillId="5" borderId="22" xfId="0" applyFont="1" applyFill="1" applyBorder="1" applyAlignment="1" applyProtection="1">
      <alignment horizontal="right" vertical="center" wrapText="1"/>
    </xf>
    <xf numFmtId="0" fontId="26" fillId="0" borderId="18" xfId="0" applyFont="1" applyFill="1" applyBorder="1" applyAlignment="1">
      <alignment horizontal="left" wrapText="1"/>
    </xf>
    <xf numFmtId="0" fontId="26" fillId="0" borderId="55" xfId="0" applyFont="1" applyFill="1" applyBorder="1" applyAlignment="1">
      <alignment horizontal="left" wrapText="1"/>
    </xf>
    <xf numFmtId="0" fontId="26" fillId="0" borderId="21" xfId="0" applyFont="1" applyFill="1" applyBorder="1" applyAlignment="1">
      <alignment horizontal="left" wrapText="1"/>
    </xf>
    <xf numFmtId="0" fontId="7" fillId="0" borderId="2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5" borderId="32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>
      <alignment horizontal="left" wrapText="1"/>
    </xf>
    <xf numFmtId="0" fontId="26" fillId="0" borderId="72" xfId="0" applyFont="1" applyFill="1" applyBorder="1" applyAlignment="1">
      <alignment horizontal="left" wrapText="1"/>
    </xf>
    <xf numFmtId="0" fontId="26" fillId="0" borderId="30" xfId="0" applyFont="1" applyFill="1" applyBorder="1" applyAlignment="1">
      <alignment horizontal="left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55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 wrapText="1"/>
    </xf>
    <xf numFmtId="0" fontId="7" fillId="5" borderId="41" xfId="0" applyFont="1" applyFill="1" applyBorder="1" applyAlignment="1" applyProtection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>
      <alignment vertical="center"/>
    </xf>
    <xf numFmtId="0" fontId="26" fillId="0" borderId="55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26" fillId="0" borderId="18" xfId="0" applyFont="1" applyFill="1" applyBorder="1" applyAlignment="1"/>
    <xf numFmtId="0" fontId="26" fillId="0" borderId="55" xfId="0" applyFont="1" applyFill="1" applyBorder="1" applyAlignment="1"/>
    <xf numFmtId="0" fontId="26" fillId="0" borderId="21" xfId="0" applyFont="1" applyFill="1" applyBorder="1" applyAlignment="1"/>
    <xf numFmtId="0" fontId="26" fillId="0" borderId="18" xfId="0" applyFont="1" applyFill="1" applyBorder="1" applyAlignment="1">
      <alignment wrapText="1"/>
    </xf>
    <xf numFmtId="0" fontId="26" fillId="0" borderId="55" xfId="0" applyFont="1" applyFill="1" applyBorder="1" applyAlignment="1">
      <alignment wrapText="1"/>
    </xf>
    <xf numFmtId="0" fontId="26" fillId="0" borderId="21" xfId="0" applyFont="1" applyFill="1" applyBorder="1" applyAlignment="1">
      <alignment wrapText="1"/>
    </xf>
    <xf numFmtId="0" fontId="26" fillId="0" borderId="18" xfId="0" applyFont="1" applyFill="1" applyBorder="1" applyAlignment="1">
      <alignment vertical="center" wrapText="1"/>
    </xf>
    <xf numFmtId="0" fontId="26" fillId="0" borderId="55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28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7" fillId="5" borderId="34" xfId="0" applyFont="1" applyFill="1" applyBorder="1" applyAlignment="1" applyProtection="1">
      <alignment horizontal="center" vertical="center" wrapText="1"/>
    </xf>
    <xf numFmtId="0" fontId="7" fillId="5" borderId="3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1" fillId="0" borderId="46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5" fillId="12" borderId="4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1" fillId="1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1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left" vertical="center"/>
    </xf>
    <xf numFmtId="0" fontId="24" fillId="12" borderId="42" xfId="0" applyFont="1" applyFill="1" applyBorder="1" applyAlignment="1">
      <alignment horizontal="left" vertical="center"/>
    </xf>
    <xf numFmtId="0" fontId="18" fillId="14" borderId="51" xfId="0" applyFont="1" applyFill="1" applyBorder="1" applyAlignment="1">
      <alignment horizontal="justify" wrapText="1"/>
    </xf>
    <xf numFmtId="0" fontId="25" fillId="0" borderId="17" xfId="0" applyFont="1" applyBorder="1" applyAlignment="1">
      <alignment horizontal="left" vertical="center"/>
    </xf>
    <xf numFmtId="0" fontId="24" fillId="12" borderId="20" xfId="0" applyFont="1" applyFill="1" applyBorder="1" applyAlignment="1">
      <alignment horizontal="center" vertical="center"/>
    </xf>
    <xf numFmtId="0" fontId="28" fillId="15" borderId="35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4" fillId="12" borderId="19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24" fillId="12" borderId="17" xfId="0" applyFont="1" applyFill="1" applyBorder="1" applyAlignment="1">
      <alignment horizontal="left" vertical="center"/>
    </xf>
    <xf numFmtId="0" fontId="24" fillId="12" borderId="20" xfId="0" applyFont="1" applyFill="1" applyBorder="1" applyAlignment="1">
      <alignment horizontal="left" vertical="center"/>
    </xf>
    <xf numFmtId="0" fontId="22" fillId="12" borderId="49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wrapText="1"/>
    </xf>
    <xf numFmtId="0" fontId="7" fillId="12" borderId="2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9" fillId="12" borderId="49" xfId="0" applyFont="1" applyFill="1" applyBorder="1" applyAlignment="1">
      <alignment horizontal="center" vertical="center"/>
    </xf>
    <xf numFmtId="0" fontId="30" fillId="12" borderId="17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49" fontId="5" fillId="12" borderId="60" xfId="0" applyNumberFormat="1" applyFont="1" applyFill="1" applyBorder="1" applyAlignment="1">
      <alignment horizontal="center" vertical="center" wrapText="1"/>
    </xf>
    <xf numFmtId="49" fontId="5" fillId="12" borderId="72" xfId="0" applyNumberFormat="1" applyFont="1" applyFill="1" applyBorder="1" applyAlignment="1">
      <alignment horizontal="center" vertical="center" wrapText="1"/>
    </xf>
    <xf numFmtId="49" fontId="5" fillId="12" borderId="30" xfId="0" applyNumberFormat="1" applyFont="1" applyFill="1" applyBorder="1" applyAlignment="1">
      <alignment horizontal="center" vertical="center" wrapText="1"/>
    </xf>
    <xf numFmtId="0" fontId="48" fillId="23" borderId="39" xfId="0" applyFont="1" applyFill="1" applyBorder="1" applyAlignment="1">
      <alignment horizontal="center" wrapText="1"/>
    </xf>
    <xf numFmtId="0" fontId="48" fillId="23" borderId="55" xfId="0" applyFont="1" applyFill="1" applyBorder="1" applyAlignment="1">
      <alignment horizontal="center" wrapText="1"/>
    </xf>
    <xf numFmtId="49" fontId="5" fillId="12" borderId="22" xfId="0" applyNumberFormat="1" applyFont="1" applyFill="1" applyBorder="1" applyAlignment="1">
      <alignment horizontal="left" vertical="center" wrapText="1"/>
    </xf>
    <xf numFmtId="0" fontId="37" fillId="0" borderId="5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7" fillId="12" borderId="57" xfId="0" applyFont="1" applyFill="1" applyBorder="1" applyAlignment="1">
      <alignment horizontal="left" vertical="center"/>
    </xf>
    <xf numFmtId="4" fontId="7" fillId="0" borderId="22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4" fontId="7" fillId="0" borderId="60" xfId="0" applyNumberFormat="1" applyFont="1" applyBorder="1" applyAlignment="1">
      <alignment horizontal="center" vertical="center"/>
    </xf>
    <xf numFmtId="4" fontId="7" fillId="0" borderId="72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4" fontId="7" fillId="13" borderId="23" xfId="0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</xf>
    <xf numFmtId="0" fontId="7" fillId="12" borderId="42" xfId="0" applyFont="1" applyFill="1" applyBorder="1" applyAlignment="1" applyProtection="1">
      <alignment horizontal="center" vertical="center"/>
    </xf>
    <xf numFmtId="0" fontId="7" fillId="12" borderId="17" xfId="0" applyFont="1" applyFill="1" applyBorder="1" applyAlignment="1" applyProtection="1">
      <alignment vertical="center"/>
    </xf>
    <xf numFmtId="0" fontId="7" fillId="12" borderId="17" xfId="0" applyFont="1" applyFill="1" applyBorder="1" applyAlignment="1" applyProtection="1">
      <alignment vertical="center" wrapText="1"/>
    </xf>
    <xf numFmtId="0" fontId="7" fillId="12" borderId="22" xfId="0" applyFont="1" applyFill="1" applyBorder="1" applyAlignment="1" applyProtection="1">
      <alignment vertical="center"/>
    </xf>
    <xf numFmtId="0" fontId="7" fillId="12" borderId="57" xfId="0" applyFont="1" applyFill="1" applyBorder="1" applyAlignment="1" applyProtection="1">
      <alignment horizontal="left" vertical="center"/>
    </xf>
    <xf numFmtId="0" fontId="7" fillId="12" borderId="36" xfId="0" applyFont="1" applyFill="1" applyBorder="1" applyAlignment="1" applyProtection="1">
      <alignment horizontal="center" vertical="center"/>
    </xf>
    <xf numFmtId="0" fontId="7" fillId="12" borderId="5" xfId="0" applyFont="1" applyFill="1" applyBorder="1" applyAlignment="1" applyProtection="1">
      <alignment horizontal="left" vertical="center"/>
    </xf>
    <xf numFmtId="0" fontId="7" fillId="12" borderId="35" xfId="0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4" fontId="9" fillId="0" borderId="50" xfId="0" applyNumberFormat="1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vertical="center"/>
    </xf>
    <xf numFmtId="0" fontId="9" fillId="0" borderId="42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 wrapText="1"/>
    </xf>
    <xf numFmtId="0" fontId="7" fillId="12" borderId="63" xfId="0" applyFont="1" applyFill="1" applyBorder="1" applyAlignment="1" applyProtection="1">
      <alignment horizontal="left" vertical="center"/>
    </xf>
    <xf numFmtId="0" fontId="7" fillId="12" borderId="15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4" fontId="9" fillId="0" borderId="19" xfId="0" applyNumberFormat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4" fontId="10" fillId="0" borderId="19" xfId="0" applyNumberFormat="1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0" fontId="7" fillId="12" borderId="4" xfId="0" applyFont="1" applyFill="1" applyBorder="1" applyAlignment="1" applyProtection="1">
      <alignment horizontal="left" vertical="center"/>
    </xf>
    <xf numFmtId="0" fontId="9" fillId="0" borderId="37" xfId="0" applyFont="1" applyBorder="1" applyAlignment="1" applyProtection="1">
      <alignment horizontal="left" vertical="center"/>
    </xf>
    <xf numFmtId="0" fontId="17" fillId="12" borderId="9" xfId="0" applyFont="1" applyFill="1" applyBorder="1" applyAlignment="1" applyProtection="1">
      <alignment horizontal="center" vertical="center" wrapText="1"/>
    </xf>
    <xf numFmtId="0" fontId="17" fillId="12" borderId="49" xfId="0" applyFont="1" applyFill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left" vertical="center" wrapText="1"/>
    </xf>
    <xf numFmtId="0" fontId="7" fillId="0" borderId="35" xfId="0" applyFont="1" applyBorder="1" applyAlignment="1" applyProtection="1">
      <alignment horizontal="left" vertical="center" wrapText="1"/>
    </xf>
    <xf numFmtId="4" fontId="25" fillId="12" borderId="9" xfId="0" applyNumberFormat="1" applyFont="1" applyFill="1" applyBorder="1" applyAlignment="1" applyProtection="1">
      <alignment horizontal="center" vertical="center" wrapText="1"/>
    </xf>
    <xf numFmtId="0" fontId="7" fillId="12" borderId="60" xfId="0" applyFont="1" applyFill="1" applyBorder="1" applyAlignment="1" applyProtection="1">
      <alignment horizontal="left" vertical="center" wrapText="1"/>
    </xf>
    <xf numFmtId="0" fontId="9" fillId="12" borderId="63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left" vertical="center"/>
    </xf>
    <xf numFmtId="0" fontId="13" fillId="0" borderId="49" xfId="0" applyFont="1" applyBorder="1" applyAlignment="1">
      <alignment horizontal="left"/>
    </xf>
    <xf numFmtId="0" fontId="46" fillId="0" borderId="68" xfId="0" applyFont="1" applyBorder="1" applyAlignment="1">
      <alignment horizontal="center" vertical="center" textRotation="91"/>
    </xf>
    <xf numFmtId="0" fontId="46" fillId="0" borderId="69" xfId="0" applyFont="1" applyBorder="1" applyAlignment="1">
      <alignment horizontal="center" vertical="center" textRotation="91"/>
    </xf>
    <xf numFmtId="0" fontId="46" fillId="0" borderId="28" xfId="0" applyFont="1" applyBorder="1" applyAlignment="1">
      <alignment horizontal="center" vertical="center" textRotation="91"/>
    </xf>
    <xf numFmtId="0" fontId="9" fillId="12" borderId="34" xfId="0" applyFont="1" applyFill="1" applyBorder="1" applyAlignment="1">
      <alignment horizontal="center" vertical="center" wrapText="1"/>
    </xf>
    <xf numFmtId="0" fontId="9" fillId="12" borderId="45" xfId="0" applyFont="1" applyFill="1" applyBorder="1" applyAlignment="1">
      <alignment horizontal="center" vertical="center" wrapText="1"/>
    </xf>
    <xf numFmtId="0" fontId="9" fillId="12" borderId="67" xfId="0" applyFont="1" applyFill="1" applyBorder="1" applyAlignment="1">
      <alignment horizontal="center" vertical="center" wrapText="1"/>
    </xf>
    <xf numFmtId="0" fontId="9" fillId="12" borderId="35" xfId="0" applyFont="1" applyFill="1" applyBorder="1" applyAlignment="1">
      <alignment horizontal="center" vertical="center" wrapText="1"/>
    </xf>
    <xf numFmtId="0" fontId="19" fillId="18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8" borderId="59" xfId="0" applyFont="1" applyFill="1" applyBorder="1" applyAlignment="1">
      <alignment horizontal="center" vertical="center"/>
    </xf>
    <xf numFmtId="0" fontId="17" fillId="12" borderId="66" xfId="0" applyFont="1" applyFill="1" applyBorder="1" applyAlignment="1">
      <alignment horizontal="center" vertical="center" wrapText="1"/>
    </xf>
    <xf numFmtId="0" fontId="7" fillId="12" borderId="51" xfId="0" applyFont="1" applyFill="1" applyBorder="1" applyAlignment="1">
      <alignment horizontal="center" vertical="center" textRotation="90"/>
    </xf>
    <xf numFmtId="0" fontId="5" fillId="12" borderId="49" xfId="0" applyFont="1" applyFill="1" applyBorder="1" applyAlignment="1">
      <alignment horizontal="center" vertical="center" wrapText="1"/>
    </xf>
    <xf numFmtId="0" fontId="17" fillId="12" borderId="57" xfId="0" applyFont="1" applyFill="1" applyBorder="1" applyAlignment="1">
      <alignment horizontal="center" vertical="center"/>
    </xf>
    <xf numFmtId="0" fontId="17" fillId="12" borderId="51" xfId="0" applyFont="1" applyFill="1" applyBorder="1" applyAlignment="1">
      <alignment horizontal="center" vertical="center" wrapText="1"/>
    </xf>
    <xf numFmtId="0" fontId="5" fillId="12" borderId="67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36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center" vertical="center" wrapText="1"/>
    </xf>
    <xf numFmtId="0" fontId="9" fillId="12" borderId="39" xfId="0" applyFont="1" applyFill="1" applyBorder="1" applyAlignment="1">
      <alignment horizontal="center" vertical="center" wrapText="1"/>
    </xf>
    <xf numFmtId="0" fontId="16" fillId="12" borderId="68" xfId="0" applyFont="1" applyFill="1" applyBorder="1" applyAlignment="1">
      <alignment horizontal="center" vertical="center" wrapText="1"/>
    </xf>
    <xf numFmtId="0" fontId="27" fillId="0" borderId="17" xfId="0" applyFont="1" applyBorder="1" applyAlignment="1" applyProtection="1">
      <alignment horizontal="left" vertical="center"/>
    </xf>
    <xf numFmtId="0" fontId="27" fillId="12" borderId="9" xfId="0" applyFont="1" applyFill="1" applyBorder="1" applyAlignment="1" applyProtection="1">
      <alignment horizontal="center" vertical="center"/>
    </xf>
    <xf numFmtId="0" fontId="27" fillId="8" borderId="9" xfId="0" applyFont="1" applyFill="1" applyBorder="1" applyAlignment="1" applyProtection="1">
      <alignment horizontal="center" vertical="center"/>
    </xf>
    <xf numFmtId="0" fontId="27" fillId="12" borderId="1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</xf>
    <xf numFmtId="0" fontId="27" fillId="12" borderId="19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27" fillId="12" borderId="4" xfId="0" applyFont="1" applyFill="1" applyBorder="1" applyAlignment="1" applyProtection="1">
      <alignment horizontal="left" vertical="center" wrapText="1"/>
    </xf>
    <xf numFmtId="0" fontId="43" fillId="20" borderId="7" xfId="0" applyFont="1" applyFill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27" fillId="0" borderId="17" xfId="0" applyFont="1" applyBorder="1" applyAlignment="1" applyProtection="1">
      <alignment horizontal="left" vertical="center" wrapText="1"/>
    </xf>
    <xf numFmtId="0" fontId="41" fillId="12" borderId="51" xfId="0" applyFont="1" applyFill="1" applyBorder="1" applyAlignment="1" applyProtection="1">
      <alignment horizontal="center" vertical="center" wrapText="1"/>
    </xf>
    <xf numFmtId="0" fontId="25" fillId="8" borderId="9" xfId="0" applyFont="1" applyFill="1" applyBorder="1" applyAlignment="1" applyProtection="1">
      <alignment horizontal="center" vertical="center"/>
    </xf>
    <xf numFmtId="10" fontId="27" fillId="8" borderId="36" xfId="0" applyNumberFormat="1" applyFont="1" applyFill="1" applyBorder="1" applyAlignment="1" applyProtection="1">
      <alignment horizontal="center" vertical="center"/>
    </xf>
    <xf numFmtId="0" fontId="27" fillId="8" borderId="36" xfId="0" applyFont="1" applyFill="1" applyBorder="1" applyAlignment="1" applyProtection="1">
      <alignment horizontal="left" vertical="center" wrapText="1"/>
    </xf>
    <xf numFmtId="0" fontId="42" fillId="8" borderId="36" xfId="0" applyFont="1" applyFill="1" applyBorder="1" applyAlignment="1" applyProtection="1">
      <alignment horizontal="center" vertical="center"/>
    </xf>
    <xf numFmtId="0" fontId="28" fillId="16" borderId="4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17" fillId="16" borderId="4" xfId="0" applyFont="1" applyFill="1" applyBorder="1" applyAlignment="1">
      <alignment horizontal="center" vertical="center" wrapText="1"/>
    </xf>
  </cellXfs>
  <cellStyles count="5">
    <cellStyle name="Excel Built-in Explanatory Text" xfId="4"/>
    <cellStyle name="Moeda" xfId="2" builtinId="4"/>
    <cellStyle name="Normal" xfId="0" builtinId="0"/>
    <cellStyle name="Porcentagem" xfId="3" builtinId="5"/>
    <cellStyle name="Separador de milhares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CC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D9D9D9"/>
      <rgbColor rgb="FF993366"/>
      <rgbColor rgb="FFFFFFCC"/>
      <rgbColor rgb="FFDEEBF7"/>
      <rgbColor rgb="FF660066"/>
      <rgbColor rgb="FFF2DCDB"/>
      <rgbColor rgb="FF0066CC"/>
      <rgbColor rgb="FFBDD7EE"/>
      <rgbColor rgb="FF000080"/>
      <rgbColor rgb="FFFF00FF"/>
      <rgbColor rgb="FFF2F2F2"/>
      <rgbColor rgb="FF00FFFF"/>
      <rgbColor rgb="FF800080"/>
      <rgbColor rgb="FFC00000"/>
      <rgbColor rgb="FF008080"/>
      <rgbColor rgb="FF0000FF"/>
      <rgbColor rgb="FF00B0F0"/>
      <rgbColor rgb="FFC6EFCE"/>
      <rgbColor rgb="FFCCFFCC"/>
      <rgbColor rgb="FFFFFF99"/>
      <rgbColor rgb="FFADB9CA"/>
      <rgbColor rgb="FFFFC7CE"/>
      <rgbColor rgb="FFBFBFBF"/>
      <rgbColor rgb="FFF8CBAD"/>
      <rgbColor rgb="FF3366CC"/>
      <rgbColor rgb="FF33CCCC"/>
      <rgbColor rgb="FF99CC00"/>
      <rgbColor rgb="FFFFD966"/>
      <rgbColor rgb="FFFF9900"/>
      <rgbColor rgb="FFFF6600"/>
      <rgbColor rgb="FF606060"/>
      <rgbColor rgb="FFDCE6F2"/>
      <rgbColor rgb="FF10243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76320</xdr:rowOff>
    </xdr:from>
    <xdr:to>
      <xdr:col>1</xdr:col>
      <xdr:colOff>1440</xdr:colOff>
      <xdr:row>2</xdr:row>
      <xdr:rowOff>83160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8160" y="76320"/>
          <a:ext cx="406440" cy="47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xmlns="" id="{00000000-0008-0000-0B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257040</xdr:colOff>
      <xdr:row>0</xdr:row>
      <xdr:rowOff>66600</xdr:rowOff>
    </xdr:from>
    <xdr:to>
      <xdr:col>0</xdr:col>
      <xdr:colOff>664200</xdr:colOff>
      <xdr:row>2</xdr:row>
      <xdr:rowOff>102240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57040" y="66600"/>
          <a:ext cx="407160" cy="416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95400</xdr:colOff>
      <xdr:row>0</xdr:row>
      <xdr:rowOff>57240</xdr:rowOff>
    </xdr:from>
    <xdr:to>
      <xdr:col>0</xdr:col>
      <xdr:colOff>397800</xdr:colOff>
      <xdr:row>2</xdr:row>
      <xdr:rowOff>26280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xmlns="" id="{00000000-0008-0000-0D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57240"/>
          <a:ext cx="302400" cy="349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142920</xdr:colOff>
      <xdr:row>0</xdr:row>
      <xdr:rowOff>38160</xdr:rowOff>
    </xdr:from>
    <xdr:to>
      <xdr:col>0</xdr:col>
      <xdr:colOff>454680</xdr:colOff>
      <xdr:row>2</xdr:row>
      <xdr:rowOff>131040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xmlns="" id="{00000000-0008-0000-0E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42920" y="38160"/>
          <a:ext cx="3117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95400</xdr:colOff>
      <xdr:row>0</xdr:row>
      <xdr:rowOff>57240</xdr:rowOff>
    </xdr:from>
    <xdr:to>
      <xdr:col>0</xdr:col>
      <xdr:colOff>400680</xdr:colOff>
      <xdr:row>2</xdr:row>
      <xdr:rowOff>26280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5400" y="57240"/>
          <a:ext cx="305280" cy="349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112680</xdr:colOff>
      <xdr:row>0</xdr:row>
      <xdr:rowOff>56160</xdr:rowOff>
    </xdr:from>
    <xdr:to>
      <xdr:col>0</xdr:col>
      <xdr:colOff>569160</xdr:colOff>
      <xdr:row>2</xdr:row>
      <xdr:rowOff>202320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12680" y="56160"/>
          <a:ext cx="456480" cy="527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0</xdr:rowOff>
    </xdr:from>
    <xdr:to>
      <xdr:col>0</xdr:col>
      <xdr:colOff>454680</xdr:colOff>
      <xdr:row>2</xdr:row>
      <xdr:rowOff>92880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7520" y="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67320</xdr:colOff>
      <xdr:row>0</xdr:row>
      <xdr:rowOff>111960</xdr:rowOff>
    </xdr:from>
    <xdr:to>
      <xdr:col>1</xdr:col>
      <xdr:colOff>22320</xdr:colOff>
      <xdr:row>2</xdr:row>
      <xdr:rowOff>42120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7320" y="111960"/>
          <a:ext cx="307440" cy="33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85680</xdr:rowOff>
    </xdr:from>
    <xdr:to>
      <xdr:col>0</xdr:col>
      <xdr:colOff>359640</xdr:colOff>
      <xdr:row>2</xdr:row>
      <xdr:rowOff>102240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8160" y="85680"/>
          <a:ext cx="321480" cy="30231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85680</xdr:rowOff>
    </xdr:from>
    <xdr:to>
      <xdr:col>0</xdr:col>
      <xdr:colOff>359640</xdr:colOff>
      <xdr:row>2</xdr:row>
      <xdr:rowOff>102240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8160" y="85680"/>
          <a:ext cx="321480" cy="302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264600</xdr:colOff>
      <xdr:row>0</xdr:row>
      <xdr:rowOff>52200</xdr:rowOff>
    </xdr:from>
    <xdr:to>
      <xdr:col>0</xdr:col>
      <xdr:colOff>636480</xdr:colOff>
      <xdr:row>2</xdr:row>
      <xdr:rowOff>80280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64600" y="52200"/>
          <a:ext cx="371880" cy="352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171360</xdr:colOff>
      <xdr:row>0</xdr:row>
      <xdr:rowOff>38160</xdr:rowOff>
    </xdr:from>
    <xdr:to>
      <xdr:col>0</xdr:col>
      <xdr:colOff>578520</xdr:colOff>
      <xdr:row>2</xdr:row>
      <xdr:rowOff>131040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71360" y="38160"/>
          <a:ext cx="40716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9"/>
  <sheetViews>
    <sheetView showGridLines="0" zoomScale="115" zoomScaleNormal="115" zoomScaleSheetLayoutView="140" zoomScalePageLayoutView="140" workbookViewId="0">
      <selection activeCell="A4" sqref="A4:XFD119"/>
    </sheetView>
  </sheetViews>
  <sheetFormatPr defaultColWidth="8.6640625" defaultRowHeight="14.4"/>
  <cols>
    <col min="1" max="1" width="6.33203125" style="1" customWidth="1"/>
    <col min="2" max="2" width="41.44140625" style="1" customWidth="1"/>
    <col min="3" max="3" width="7.88671875" style="1" customWidth="1"/>
    <col min="4" max="4" width="16.33203125" style="1" customWidth="1"/>
    <col min="5" max="5" width="12.88671875" style="1" customWidth="1"/>
    <col min="6" max="6" width="16.33203125" style="1" customWidth="1"/>
    <col min="7" max="7" width="17.6640625" style="1" customWidth="1"/>
    <col min="8" max="8" width="20" style="1" customWidth="1"/>
    <col min="9" max="10" width="16.33203125" style="1" customWidth="1"/>
    <col min="11" max="12" width="13.88671875" style="2" customWidth="1"/>
    <col min="13" max="13" width="14.33203125" style="2" customWidth="1"/>
    <col min="14" max="14" width="15.44140625" style="1" customWidth="1"/>
    <col min="15" max="15" width="12.88671875" style="1" customWidth="1"/>
    <col min="16" max="16" width="16.44140625" style="1" customWidth="1"/>
    <col min="17" max="17" width="12" style="1" customWidth="1"/>
    <col min="18" max="18" width="16.44140625" style="3" customWidth="1"/>
    <col min="19" max="19" width="10.109375" style="3" customWidth="1"/>
    <col min="20" max="20" width="13.33203125" style="3" customWidth="1"/>
    <col min="21" max="21" width="13.88671875" style="3" customWidth="1"/>
    <col min="22" max="22" width="13.6640625" style="3" customWidth="1"/>
    <col min="23" max="23" width="12.33203125" style="3" customWidth="1"/>
    <col min="24" max="256" width="9.109375" style="1" customWidth="1"/>
    <col min="257" max="257" width="6.33203125" style="1" customWidth="1"/>
    <col min="258" max="258" width="41.44140625" style="1" customWidth="1"/>
    <col min="259" max="259" width="7.88671875" style="1" customWidth="1"/>
    <col min="260" max="260" width="16.33203125" style="1" customWidth="1"/>
    <col min="261" max="261" width="12.88671875" style="1" customWidth="1"/>
    <col min="262" max="263" width="16.33203125" style="1" customWidth="1"/>
    <col min="264" max="264" width="13.33203125" style="1" customWidth="1"/>
    <col min="265" max="266" width="16.33203125" style="1" customWidth="1"/>
    <col min="267" max="268" width="13.88671875" style="1" customWidth="1"/>
    <col min="269" max="269" width="13" style="1" customWidth="1"/>
    <col min="270" max="270" width="13.5546875" style="1" customWidth="1"/>
    <col min="271" max="271" width="12.88671875" style="1" customWidth="1"/>
    <col min="272" max="272" width="14.109375" style="1" customWidth="1"/>
    <col min="273" max="273" width="12" style="1" customWidth="1"/>
    <col min="274" max="274" width="13" style="1" customWidth="1"/>
    <col min="275" max="275" width="11.88671875" style="1" customWidth="1"/>
    <col min="276" max="276" width="13.33203125" style="1" customWidth="1"/>
    <col min="277" max="277" width="12.33203125" style="1" customWidth="1"/>
    <col min="278" max="278" width="12.44140625" style="1" customWidth="1"/>
    <col min="279" max="279" width="10.5546875" style="1" customWidth="1"/>
    <col min="280" max="512" width="9.109375" style="1" customWidth="1"/>
    <col min="513" max="513" width="6.33203125" style="1" customWidth="1"/>
    <col min="514" max="514" width="41.44140625" style="1" customWidth="1"/>
    <col min="515" max="515" width="7.88671875" style="1" customWidth="1"/>
    <col min="516" max="516" width="16.33203125" style="1" customWidth="1"/>
    <col min="517" max="517" width="12.88671875" style="1" customWidth="1"/>
    <col min="518" max="519" width="16.33203125" style="1" customWidth="1"/>
    <col min="520" max="520" width="13.33203125" style="1" customWidth="1"/>
    <col min="521" max="522" width="16.33203125" style="1" customWidth="1"/>
    <col min="523" max="524" width="13.88671875" style="1" customWidth="1"/>
    <col min="525" max="525" width="13" style="1" customWidth="1"/>
    <col min="526" max="526" width="13.5546875" style="1" customWidth="1"/>
    <col min="527" max="527" width="12.88671875" style="1" customWidth="1"/>
    <col min="528" max="528" width="14.109375" style="1" customWidth="1"/>
    <col min="529" max="529" width="12" style="1" customWidth="1"/>
    <col min="530" max="530" width="13" style="1" customWidth="1"/>
    <col min="531" max="531" width="11.88671875" style="1" customWidth="1"/>
    <col min="532" max="532" width="13.33203125" style="1" customWidth="1"/>
    <col min="533" max="533" width="12.33203125" style="1" customWidth="1"/>
    <col min="534" max="534" width="12.44140625" style="1" customWidth="1"/>
    <col min="535" max="535" width="10.5546875" style="1" customWidth="1"/>
    <col min="536" max="768" width="9.109375" style="1" customWidth="1"/>
    <col min="769" max="769" width="6.33203125" style="1" customWidth="1"/>
    <col min="770" max="770" width="41.44140625" style="1" customWidth="1"/>
    <col min="771" max="771" width="7.88671875" style="1" customWidth="1"/>
    <col min="772" max="772" width="16.33203125" style="1" customWidth="1"/>
    <col min="773" max="773" width="12.88671875" style="1" customWidth="1"/>
    <col min="774" max="775" width="16.33203125" style="1" customWidth="1"/>
    <col min="776" max="776" width="13.33203125" style="1" customWidth="1"/>
    <col min="777" max="778" width="16.33203125" style="1" customWidth="1"/>
    <col min="779" max="780" width="13.88671875" style="1" customWidth="1"/>
    <col min="781" max="781" width="13" style="1" customWidth="1"/>
    <col min="782" max="782" width="13.5546875" style="1" customWidth="1"/>
    <col min="783" max="783" width="12.88671875" style="1" customWidth="1"/>
    <col min="784" max="784" width="14.109375" style="1" customWidth="1"/>
    <col min="785" max="785" width="12" style="1" customWidth="1"/>
    <col min="786" max="786" width="13" style="1" customWidth="1"/>
    <col min="787" max="787" width="11.88671875" style="1" customWidth="1"/>
    <col min="788" max="788" width="13.33203125" style="1" customWidth="1"/>
    <col min="789" max="789" width="12.33203125" style="1" customWidth="1"/>
    <col min="790" max="790" width="12.44140625" style="1" customWidth="1"/>
    <col min="791" max="791" width="10.5546875" style="1" customWidth="1"/>
    <col min="792" max="1025" width="9.109375" style="1" customWidth="1"/>
  </cols>
  <sheetData>
    <row r="1" spans="1:23" ht="17.25" customHeight="1">
      <c r="A1" s="4"/>
      <c r="B1" s="5" t="str">
        <f>INSTRUÇÕES!B1</f>
        <v>Tribunal Regional Federal da 6ª Região</v>
      </c>
      <c r="T1" s="6"/>
      <c r="U1" s="6"/>
      <c r="V1" s="6"/>
    </row>
    <row r="2" spans="1:23" s="11" customFormat="1" ht="19.5" customHeight="1">
      <c r="A2" s="7"/>
      <c r="B2" s="8" t="str">
        <f>INSTRUÇÕES!B2</f>
        <v>Seção Judiciária de Minas Gerais</v>
      </c>
      <c r="C2" s="618" t="s">
        <v>0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9"/>
      <c r="U2" s="9"/>
      <c r="V2" s="9"/>
      <c r="W2" s="10"/>
    </row>
    <row r="3" spans="1:23" s="11" customFormat="1" ht="23.4">
      <c r="A3" s="7"/>
      <c r="B3" s="12" t="str">
        <f>INSTRUÇÕES!B3</f>
        <v>Subseção Judiciária de Poços de Caldas</v>
      </c>
      <c r="C3" s="618" t="s">
        <v>1</v>
      </c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W3" s="10"/>
    </row>
    <row r="4" spans="1:23" s="17" customFormat="1" ht="30.75" hidden="1" customHeight="1">
      <c r="A4" s="619" t="s">
        <v>2</v>
      </c>
      <c r="B4" s="619"/>
      <c r="C4" s="619"/>
      <c r="D4" s="620" t="s">
        <v>3</v>
      </c>
      <c r="E4" s="620"/>
      <c r="F4" s="14"/>
      <c r="G4" s="14"/>
      <c r="H4" s="14"/>
      <c r="I4" s="14"/>
      <c r="J4" s="15"/>
      <c r="K4" s="15"/>
      <c r="L4" s="15"/>
      <c r="M4" s="15"/>
      <c r="N4" s="15"/>
      <c r="O4" s="16"/>
      <c r="R4" s="18"/>
      <c r="S4" s="18"/>
      <c r="T4" s="18"/>
      <c r="U4" s="18"/>
      <c r="V4" s="18"/>
      <c r="W4" s="18"/>
    </row>
    <row r="5" spans="1:23" s="17" customFormat="1" ht="23.25" hidden="1" customHeight="1">
      <c r="A5" s="619" t="s">
        <v>4</v>
      </c>
      <c r="B5" s="619"/>
      <c r="C5" s="619"/>
      <c r="D5" s="13" t="s">
        <v>5</v>
      </c>
      <c r="E5" s="19">
        <f>VLOOKUP(D5,B102:C105,2,FALSE())</f>
        <v>30</v>
      </c>
      <c r="F5" s="14" t="str">
        <f>VLOOKUP(D5,B103:D105,3,FALSE())</f>
        <v>Obs: Desconto atualmente aplicado (30 dias corridos).</v>
      </c>
      <c r="G5" s="14"/>
      <c r="H5" s="14"/>
      <c r="I5" s="14"/>
      <c r="J5" s="15"/>
      <c r="K5" s="15"/>
      <c r="L5" s="15"/>
      <c r="M5" s="15"/>
      <c r="N5" s="15"/>
      <c r="O5" s="16"/>
      <c r="R5" s="18"/>
      <c r="S5" s="18"/>
      <c r="T5" s="18"/>
      <c r="U5" s="18"/>
      <c r="V5" s="18"/>
      <c r="W5" s="18"/>
    </row>
    <row r="6" spans="1:23" s="17" customFormat="1" ht="12" hidden="1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R6" s="18"/>
      <c r="S6" s="18"/>
      <c r="T6" s="18"/>
      <c r="U6" s="18"/>
      <c r="V6" s="18"/>
      <c r="W6" s="18"/>
    </row>
    <row r="7" spans="1:23" s="17" customFormat="1" ht="31.5" hidden="1" customHeight="1">
      <c r="A7" s="621" t="s">
        <v>6</v>
      </c>
      <c r="B7" s="621"/>
      <c r="C7" s="621"/>
      <c r="D7" s="622" t="s">
        <v>7</v>
      </c>
      <c r="E7" s="623" t="s">
        <v>8</v>
      </c>
      <c r="F7" s="624" t="s">
        <v>9</v>
      </c>
      <c r="G7" s="624" t="s">
        <v>10</v>
      </c>
      <c r="H7" s="622" t="s">
        <v>11</v>
      </c>
      <c r="I7" s="623" t="s">
        <v>12</v>
      </c>
      <c r="J7" s="624" t="s">
        <v>13</v>
      </c>
      <c r="K7" s="625" t="s">
        <v>14</v>
      </c>
      <c r="L7" s="626" t="s">
        <v>15</v>
      </c>
      <c r="M7" s="626" t="s">
        <v>16</v>
      </c>
      <c r="N7" s="627" t="s">
        <v>17</v>
      </c>
      <c r="O7" s="628" t="s">
        <v>18</v>
      </c>
      <c r="P7" s="624" t="s">
        <v>19</v>
      </c>
      <c r="Q7" s="624" t="s">
        <v>20</v>
      </c>
      <c r="R7" s="625" t="s">
        <v>21</v>
      </c>
      <c r="S7" s="623" t="s">
        <v>22</v>
      </c>
      <c r="T7" s="611" t="s">
        <v>23</v>
      </c>
      <c r="U7" s="611"/>
      <c r="V7" s="611"/>
      <c r="W7" s="611"/>
    </row>
    <row r="8" spans="1:23" s="17" customFormat="1" ht="31.5" hidden="1" customHeight="1">
      <c r="A8" s="621"/>
      <c r="B8" s="621"/>
      <c r="C8" s="621"/>
      <c r="D8" s="622"/>
      <c r="E8" s="623"/>
      <c r="F8" s="624"/>
      <c r="G8" s="624"/>
      <c r="H8" s="622"/>
      <c r="I8" s="623"/>
      <c r="J8" s="624"/>
      <c r="K8" s="625"/>
      <c r="L8" s="626"/>
      <c r="M8" s="626"/>
      <c r="N8" s="627"/>
      <c r="O8" s="628"/>
      <c r="P8" s="624"/>
      <c r="Q8" s="624"/>
      <c r="R8" s="625"/>
      <c r="S8" s="623"/>
      <c r="T8" s="611"/>
      <c r="U8" s="611"/>
      <c r="V8" s="611"/>
      <c r="W8" s="611"/>
    </row>
    <row r="9" spans="1:23" s="17" customFormat="1" ht="31.5" hidden="1" customHeight="1">
      <c r="A9" s="621"/>
      <c r="B9" s="621"/>
      <c r="C9" s="621"/>
      <c r="D9" s="622"/>
      <c r="E9" s="623"/>
      <c r="F9" s="624"/>
      <c r="G9" s="624"/>
      <c r="H9" s="622"/>
      <c r="I9" s="623"/>
      <c r="J9" s="624"/>
      <c r="K9" s="625"/>
      <c r="L9" s="626"/>
      <c r="M9" s="626"/>
      <c r="N9" s="627"/>
      <c r="O9" s="628"/>
      <c r="P9" s="624"/>
      <c r="Q9" s="624"/>
      <c r="R9" s="625"/>
      <c r="S9" s="623"/>
      <c r="T9" s="611"/>
      <c r="U9" s="611"/>
      <c r="V9" s="611"/>
      <c r="W9" s="611"/>
    </row>
    <row r="10" spans="1:23" s="17" customFormat="1" ht="69" hidden="1">
      <c r="A10" s="20" t="s">
        <v>24</v>
      </c>
      <c r="B10" s="21" t="s">
        <v>25</v>
      </c>
      <c r="C10" s="21" t="s">
        <v>26</v>
      </c>
      <c r="D10" s="22" t="s">
        <v>27</v>
      </c>
      <c r="E10" s="20" t="s">
        <v>28</v>
      </c>
      <c r="F10" s="21" t="s">
        <v>29</v>
      </c>
      <c r="G10" s="21" t="s">
        <v>30</v>
      </c>
      <c r="H10" s="22" t="s">
        <v>31</v>
      </c>
      <c r="I10" s="20" t="s">
        <v>32</v>
      </c>
      <c r="J10" s="21" t="s">
        <v>33</v>
      </c>
      <c r="K10" s="23" t="s">
        <v>33</v>
      </c>
      <c r="L10" s="24" t="s">
        <v>34</v>
      </c>
      <c r="M10" s="24" t="s">
        <v>35</v>
      </c>
      <c r="N10" s="24" t="s">
        <v>36</v>
      </c>
      <c r="O10" s="25" t="s">
        <v>37</v>
      </c>
      <c r="P10" s="21" t="s">
        <v>38</v>
      </c>
      <c r="Q10" s="21" t="s">
        <v>39</v>
      </c>
      <c r="R10" s="23" t="s">
        <v>40</v>
      </c>
      <c r="S10" s="20" t="s">
        <v>41</v>
      </c>
      <c r="T10" s="21" t="s">
        <v>42</v>
      </c>
      <c r="U10" s="21" t="s">
        <v>43</v>
      </c>
      <c r="V10" s="21" t="s">
        <v>44</v>
      </c>
      <c r="W10" s="23" t="s">
        <v>45</v>
      </c>
    </row>
    <row r="11" spans="1:23" s="17" customFormat="1" ht="15.6" hidden="1">
      <c r="A11" s="26">
        <f>Dados!B7</f>
        <v>1</v>
      </c>
      <c r="B11" s="27" t="str">
        <f>Dados!C7</f>
        <v>Servente de Limpeza 40% Insalubridade</v>
      </c>
      <c r="C11" s="28">
        <f>Dados!D7</f>
        <v>220</v>
      </c>
      <c r="D11" s="29">
        <v>0</v>
      </c>
      <c r="E11" s="26" t="s">
        <v>46</v>
      </c>
      <c r="F11" s="28">
        <f>IF(E11="NÃO",0,D11*Dados!$G$34)</f>
        <v>0</v>
      </c>
      <c r="G11" s="30">
        <v>0</v>
      </c>
      <c r="H11" s="29">
        <v>0</v>
      </c>
      <c r="I11" s="31">
        <v>0</v>
      </c>
      <c r="J11" s="30">
        <v>0</v>
      </c>
      <c r="K11" s="32">
        <f>I11+J11</f>
        <v>0</v>
      </c>
      <c r="L11" s="33">
        <v>0</v>
      </c>
      <c r="M11" s="33">
        <v>0</v>
      </c>
      <c r="N11" s="34"/>
      <c r="O11" s="35">
        <f>Resumo!S12</f>
        <v>0</v>
      </c>
      <c r="P11" s="36">
        <f>Resumo!V12</f>
        <v>0</v>
      </c>
      <c r="Q11" s="37">
        <f>Resumo!W12</f>
        <v>6670.23</v>
      </c>
      <c r="R11" s="488">
        <f>Dados!O7+Dados!P7</f>
        <v>783.22</v>
      </c>
      <c r="S11" s="26">
        <f>Dados!S7</f>
        <v>2</v>
      </c>
      <c r="T11" s="38">
        <f>ROUND((Dados!M7*Encargos!$H$59*A11),2)</f>
        <v>693.16</v>
      </c>
      <c r="U11" s="39" t="s">
        <v>47</v>
      </c>
      <c r="V11" s="40">
        <f>SUMIF($S$11:$S$14,1,$Q$11:$Q$14)</f>
        <v>6530.86</v>
      </c>
      <c r="W11" s="41">
        <f>SUMIF($S$11:$S$14,1,$T$11:$T$14)</f>
        <v>864.95</v>
      </c>
    </row>
    <row r="12" spans="1:23" s="17" customFormat="1" ht="15.6" hidden="1">
      <c r="A12" s="26">
        <f>Dados!B8</f>
        <v>1</v>
      </c>
      <c r="B12" s="27" t="str">
        <f>Dados!C8</f>
        <v>Servente de Limpeza  ac. Copeira</v>
      </c>
      <c r="C12" s="28">
        <f>Dados!D8</f>
        <v>220</v>
      </c>
      <c r="D12" s="29">
        <v>0</v>
      </c>
      <c r="E12" s="26" t="s">
        <v>46</v>
      </c>
      <c r="F12" s="28">
        <f>IF(E12="NÃO",0,D12*Dados!$G$34)</f>
        <v>0</v>
      </c>
      <c r="G12" s="30">
        <v>0</v>
      </c>
      <c r="H12" s="29">
        <v>0</v>
      </c>
      <c r="I12" s="31">
        <v>0</v>
      </c>
      <c r="J12" s="30">
        <v>0</v>
      </c>
      <c r="K12" s="32">
        <f>I12+J12</f>
        <v>0</v>
      </c>
      <c r="L12" s="33">
        <v>0</v>
      </c>
      <c r="M12" s="33">
        <v>0</v>
      </c>
      <c r="N12" s="33">
        <v>0</v>
      </c>
      <c r="O12" s="35">
        <f>Resumo!S13</f>
        <v>0</v>
      </c>
      <c r="P12" s="38">
        <f>Resumo!V13</f>
        <v>0</v>
      </c>
      <c r="Q12" s="37">
        <f>Resumo!W13</f>
        <v>5505.2</v>
      </c>
      <c r="R12" s="488">
        <f>Dados!O8+Dados!P8</f>
        <v>1063.4183333333335</v>
      </c>
      <c r="S12" s="26">
        <f>Dados!S8</f>
        <v>2</v>
      </c>
      <c r="T12" s="38">
        <f>ROUND((Dados!M8*Encargos!$H$59*A12),2)</f>
        <v>521.16</v>
      </c>
      <c r="U12" s="39" t="s">
        <v>47</v>
      </c>
      <c r="V12" s="40">
        <f>SUMIF($S$11:$S$14,2,$Q$11:$Q$14)</f>
        <v>18278.7</v>
      </c>
      <c r="W12" s="41">
        <f>SUMIF($S$11:$S$14,2,$T$11:$T$14)</f>
        <v>1970.3799999999999</v>
      </c>
    </row>
    <row r="13" spans="1:23" s="17" customFormat="1" ht="15.6" hidden="1">
      <c r="A13" s="26">
        <f>Dados!B9</f>
        <v>1</v>
      </c>
      <c r="B13" s="27" t="str">
        <f>Dados!C9</f>
        <v>Zelador</v>
      </c>
      <c r="C13" s="28">
        <f>Dados!D9</f>
        <v>220</v>
      </c>
      <c r="D13" s="29">
        <v>0</v>
      </c>
      <c r="E13" s="26" t="s">
        <v>46</v>
      </c>
      <c r="F13" s="28">
        <f>IF(E13="NÃO",0,D13*Dados!$G$34)</f>
        <v>0</v>
      </c>
      <c r="G13" s="30">
        <v>0</v>
      </c>
      <c r="H13" s="29">
        <v>0</v>
      </c>
      <c r="I13" s="31">
        <v>0</v>
      </c>
      <c r="J13" s="30">
        <v>0</v>
      </c>
      <c r="K13" s="32">
        <f>I13+J13</f>
        <v>0</v>
      </c>
      <c r="L13" s="33">
        <v>0</v>
      </c>
      <c r="M13" s="33">
        <v>0</v>
      </c>
      <c r="N13" s="34"/>
      <c r="O13" s="42">
        <f>Resumo!S14</f>
        <v>0</v>
      </c>
      <c r="P13" s="36">
        <f>Resumo!V14</f>
        <v>0</v>
      </c>
      <c r="Q13" s="38">
        <f>Resumo!W14</f>
        <v>6103.27</v>
      </c>
      <c r="R13" s="488">
        <f>Dados!O9+Dados!P9</f>
        <v>0</v>
      </c>
      <c r="S13" s="26">
        <f>Dados!S9</f>
        <v>2</v>
      </c>
      <c r="T13" s="38">
        <f>ROUND((Dados!M9*Encargos!$H$59*A13),2)</f>
        <v>756.06</v>
      </c>
      <c r="U13" s="39" t="s">
        <v>47</v>
      </c>
      <c r="V13" s="40">
        <f>SUMIF($S$11:$S$14,4,$Q$11:$Q$14)</f>
        <v>0</v>
      </c>
      <c r="W13" s="41">
        <f>SUMIF($S$11:$S$14,4,$T$11:$T$14)</f>
        <v>0</v>
      </c>
    </row>
    <row r="14" spans="1:23" s="17" customFormat="1" ht="15.6" hidden="1">
      <c r="A14" s="26">
        <f>Dados!B10</f>
        <v>2</v>
      </c>
      <c r="B14" s="27" t="str">
        <f>Dados!C10</f>
        <v>Auxiliar Administrativo</v>
      </c>
      <c r="C14" s="28">
        <f>Dados!D10</f>
        <v>150</v>
      </c>
      <c r="D14" s="29">
        <v>0</v>
      </c>
      <c r="E14" s="43" t="s">
        <v>46</v>
      </c>
      <c r="F14" s="44">
        <f>IF(E14="NÃO",0,D14*Dados!$G$34)</f>
        <v>0</v>
      </c>
      <c r="G14" s="45">
        <v>0</v>
      </c>
      <c r="H14" s="46">
        <v>0</v>
      </c>
      <c r="I14" s="47">
        <v>0</v>
      </c>
      <c r="J14" s="45">
        <v>0</v>
      </c>
      <c r="K14" s="48">
        <f>I14+J14</f>
        <v>0</v>
      </c>
      <c r="L14" s="49">
        <v>0</v>
      </c>
      <c r="M14" s="49">
        <v>0</v>
      </c>
      <c r="N14" s="34"/>
      <c r="O14" s="42">
        <f>Resumo!S15</f>
        <v>0</v>
      </c>
      <c r="P14" s="36">
        <f>Resumo!V15</f>
        <v>0</v>
      </c>
      <c r="Q14" s="38">
        <f>Resumo!W15</f>
        <v>6530.86</v>
      </c>
      <c r="R14" s="488">
        <f>Dados!O10+Dados!P10</f>
        <v>0</v>
      </c>
      <c r="S14" s="26">
        <f>Dados!S10</f>
        <v>1</v>
      </c>
      <c r="T14" s="38">
        <f>ROUND((Dados!M10*Encargos!$H$59*A14),2)</f>
        <v>864.95</v>
      </c>
      <c r="U14" s="39" t="s">
        <v>48</v>
      </c>
      <c r="V14" s="40">
        <f>SUMIF($S$11:$S$14,5,$Q$11:$Q$14)</f>
        <v>0</v>
      </c>
      <c r="W14" s="41">
        <f>SUMIF($S$11:$S$14,5,$T$11:$T$14)</f>
        <v>0</v>
      </c>
    </row>
    <row r="15" spans="1:23" s="58" customFormat="1" ht="13.5" hidden="1" customHeight="1">
      <c r="A15" s="612" t="s">
        <v>49</v>
      </c>
      <c r="B15" s="612"/>
      <c r="C15" s="612"/>
      <c r="D15" s="612"/>
      <c r="E15" s="612"/>
      <c r="F15" s="612"/>
      <c r="G15" s="612"/>
      <c r="H15" s="50">
        <f>Resumo!I16</f>
        <v>0</v>
      </c>
      <c r="I15" s="613"/>
      <c r="J15" s="613"/>
      <c r="K15" s="51">
        <f>Resumo!L16</f>
        <v>0</v>
      </c>
      <c r="L15" s="52">
        <f>Resumo!O16</f>
        <v>0</v>
      </c>
      <c r="M15" s="52">
        <f>Resumo!R16</f>
        <v>0</v>
      </c>
      <c r="N15" s="53">
        <f>Resumo!V16</f>
        <v>0</v>
      </c>
      <c r="O15" s="54">
        <f>(H15+K15+L15+M15)</f>
        <v>0</v>
      </c>
      <c r="P15" s="55">
        <f>Resumo!V16</f>
        <v>0</v>
      </c>
      <c r="Q15" s="55">
        <f>SUM(Q11:Q14)</f>
        <v>24809.56</v>
      </c>
      <c r="R15" s="56">
        <f>SUM(R11:R14)</f>
        <v>1846.6383333333335</v>
      </c>
      <c r="S15" s="57"/>
      <c r="T15" s="55">
        <f>SUM(T11:T14)</f>
        <v>2835.33</v>
      </c>
      <c r="U15" s="55"/>
      <c r="V15" s="55">
        <f>SUM(V11:V14)</f>
        <v>24809.56</v>
      </c>
      <c r="W15" s="56">
        <f>SUM(W11:W14)</f>
        <v>2835.33</v>
      </c>
    </row>
    <row r="16" spans="1:23" hidden="1">
      <c r="A16" s="59" t="s">
        <v>50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23" hidden="1">
      <c r="A17" s="61" t="s">
        <v>51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23" s="58" customFormat="1" ht="25.5" hidden="1" customHeight="1">
      <c r="A18" s="597" t="s">
        <v>52</v>
      </c>
      <c r="B18" s="597"/>
      <c r="C18" s="63" t="s">
        <v>53</v>
      </c>
      <c r="D18" s="63" t="s">
        <v>54</v>
      </c>
      <c r="E18" s="63" t="s">
        <v>55</v>
      </c>
      <c r="F18" s="63" t="s">
        <v>56</v>
      </c>
      <c r="H18" s="61"/>
      <c r="I18" s="64"/>
      <c r="J18" s="61"/>
      <c r="K18" s="64"/>
      <c r="L18" s="64"/>
      <c r="M18" s="64"/>
      <c r="R18" s="64"/>
      <c r="S18" s="64"/>
      <c r="T18" s="64"/>
      <c r="U18" s="64"/>
      <c r="V18" s="64"/>
      <c r="W18" s="64"/>
    </row>
    <row r="19" spans="1:23" s="58" customFormat="1" ht="13.8" hidden="1">
      <c r="A19" s="597"/>
      <c r="B19" s="597"/>
      <c r="C19" s="65">
        <v>220</v>
      </c>
      <c r="D19" s="65">
        <v>10</v>
      </c>
      <c r="E19" s="65">
        <v>25</v>
      </c>
      <c r="F19" s="66">
        <f>ROUND((D19/VLOOKUP(C19,$B$108:$C$114,2,FALSE())+E19/60/VLOOKUP(C19,$B$108:$C$114,2,FALSE())),2)</f>
        <v>1.18</v>
      </c>
      <c r="H19" s="61"/>
      <c r="I19" s="64"/>
      <c r="J19" s="61"/>
      <c r="K19" s="64"/>
      <c r="L19" s="64"/>
      <c r="M19" s="64"/>
      <c r="R19" s="64"/>
      <c r="S19" s="64"/>
      <c r="T19" s="64"/>
      <c r="U19" s="64"/>
      <c r="V19" s="64"/>
      <c r="W19" s="64"/>
    </row>
    <row r="20" spans="1:23" s="58" customFormat="1" ht="15" hidden="1" customHeight="1">
      <c r="A20" s="614" t="s">
        <v>57</v>
      </c>
      <c r="B20" s="614"/>
      <c r="C20" s="614"/>
      <c r="D20" s="614"/>
      <c r="E20" s="614"/>
      <c r="F20" s="614"/>
      <c r="G20" s="14"/>
      <c r="H20" s="14"/>
      <c r="I20" s="14"/>
      <c r="J20" s="61"/>
      <c r="K20" s="64"/>
      <c r="L20" s="64"/>
      <c r="M20" s="64"/>
      <c r="R20" s="64"/>
      <c r="S20" s="64"/>
      <c r="T20" s="64"/>
      <c r="U20" s="64"/>
      <c r="V20" s="64"/>
      <c r="W20" s="64"/>
    </row>
    <row r="21" spans="1:23" s="58" customFormat="1" hidden="1">
      <c r="A21" s="614"/>
      <c r="B21" s="614"/>
      <c r="C21" s="614"/>
      <c r="D21" s="614"/>
      <c r="E21" s="614"/>
      <c r="F21" s="614"/>
      <c r="G21" s="14"/>
      <c r="H21" s="67"/>
      <c r="I21" s="14"/>
      <c r="J21" s="61"/>
      <c r="K21" s="64"/>
      <c r="L21" s="64"/>
      <c r="M21" s="64"/>
      <c r="R21" s="64"/>
      <c r="S21" s="64"/>
      <c r="T21" s="64"/>
      <c r="U21" s="64"/>
      <c r="V21" s="64"/>
      <c r="W21" s="64"/>
    </row>
    <row r="22" spans="1:23" hidden="1">
      <c r="A22" s="61" t="s">
        <v>58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23" hidden="1">
      <c r="A23" s="60"/>
      <c r="B23" s="60"/>
      <c r="C23" s="60"/>
      <c r="D23" s="60"/>
      <c r="E23" s="60"/>
      <c r="F23" s="60"/>
      <c r="G23" s="60"/>
      <c r="H23" s="60"/>
      <c r="I23" s="60"/>
      <c r="J23" s="60"/>
      <c r="N23" s="68"/>
      <c r="O23" s="69"/>
      <c r="P23" s="69"/>
    </row>
    <row r="24" spans="1:23" ht="23.25" hidden="1" customHeight="1">
      <c r="A24" s="586" t="s">
        <v>59</v>
      </c>
      <c r="B24" s="615" t="s">
        <v>60</v>
      </c>
      <c r="C24" s="615"/>
      <c r="D24" s="615"/>
      <c r="E24" s="615"/>
      <c r="F24" s="616" t="s">
        <v>61</v>
      </c>
      <c r="G24" s="616"/>
      <c r="H24" s="616"/>
      <c r="I24" s="595" t="s">
        <v>62</v>
      </c>
      <c r="J24" s="595"/>
      <c r="K24" s="595"/>
      <c r="L24" s="617" t="s">
        <v>63</v>
      </c>
      <c r="M24" s="617"/>
      <c r="N24" s="617"/>
      <c r="O24" s="617"/>
      <c r="V24" s="1"/>
      <c r="W24" s="1"/>
    </row>
    <row r="25" spans="1:23" ht="38.25" hidden="1" customHeight="1">
      <c r="A25" s="586"/>
      <c r="B25" s="597" t="s">
        <v>64</v>
      </c>
      <c r="C25" s="597"/>
      <c r="D25" s="597"/>
      <c r="E25" s="63" t="s">
        <v>65</v>
      </c>
      <c r="F25" s="63" t="s">
        <v>66</v>
      </c>
      <c r="G25" s="63" t="s">
        <v>67</v>
      </c>
      <c r="H25" s="73" t="s">
        <v>68</v>
      </c>
      <c r="I25" s="595"/>
      <c r="J25" s="595"/>
      <c r="K25" s="595"/>
      <c r="L25" s="70" t="s">
        <v>69</v>
      </c>
      <c r="M25" s="71" t="s">
        <v>70</v>
      </c>
      <c r="N25" s="71" t="s">
        <v>71</v>
      </c>
      <c r="O25" s="72" t="s">
        <v>72</v>
      </c>
      <c r="V25" s="14"/>
      <c r="W25" s="1"/>
    </row>
    <row r="26" spans="1:23" ht="68.25" hidden="1" customHeight="1">
      <c r="A26" s="74">
        <v>1</v>
      </c>
      <c r="B26" s="605" t="s">
        <v>379</v>
      </c>
      <c r="C26" s="606"/>
      <c r="D26" s="607"/>
      <c r="E26" s="82" t="s">
        <v>73</v>
      </c>
      <c r="F26" s="83" t="s">
        <v>570</v>
      </c>
      <c r="G26" s="75">
        <f t="shared" ref="G26:G61" si="0">IF($D$4="PLANILHA PARA LICITAÇÃO (PRECIFICAÇÃO)",L26,0)</f>
        <v>2</v>
      </c>
      <c r="H26" s="76">
        <f>G26*Mat!G9</f>
        <v>103.22</v>
      </c>
      <c r="I26" s="584" t="str">
        <f t="shared" ref="I26:I61" si="1">IF(G26&lt;L26,"Fornecimento inferior ao estimado mensalmente",IF(G26=L26,"Fornecimento igual ao estimado mensalmente",IF(G26&gt;L26,"Fornecimento superior ao estimado mensalmente",)))</f>
        <v>Fornecimento igual ao estimado mensalmente</v>
      </c>
      <c r="J26" s="584"/>
      <c r="K26" s="584"/>
      <c r="L26" s="77">
        <f t="shared" ref="L26:L61" si="2">M26/O26</f>
        <v>2</v>
      </c>
      <c r="M26" s="78">
        <f>Mat!E9</f>
        <v>2</v>
      </c>
      <c r="N26" s="79" t="str">
        <f>Mat!F9</f>
        <v>Mensal</v>
      </c>
      <c r="O26" s="80">
        <f t="shared" ref="O26:O61" si="3">IF(N26="MENSAL",1,IF(N26="BIMESTRAL",2,IF(N26="TRIMESTRAL",3,IF(N26="QUADRIMESTRAL",4,IF(N26="SEMESTRAL",6,IF(N26="ANUAL",12,IF(N26="BIENAL",24,"")))))))</f>
        <v>1</v>
      </c>
      <c r="W26" s="1"/>
    </row>
    <row r="27" spans="1:23" ht="31.5" hidden="1" customHeight="1">
      <c r="A27" s="81">
        <v>2</v>
      </c>
      <c r="B27" s="608" t="s">
        <v>571</v>
      </c>
      <c r="C27" s="609"/>
      <c r="D27" s="610"/>
      <c r="E27" s="82" t="s">
        <v>65</v>
      </c>
      <c r="F27" s="83"/>
      <c r="G27" s="75">
        <f t="shared" si="0"/>
        <v>0.33333333333333331</v>
      </c>
      <c r="H27" s="76">
        <f>G27*Mat!G10</f>
        <v>5.3366666666666669</v>
      </c>
      <c r="I27" s="584" t="str">
        <f t="shared" si="1"/>
        <v>Fornecimento igual ao estimado mensalmente</v>
      </c>
      <c r="J27" s="584"/>
      <c r="K27" s="584"/>
      <c r="L27" s="77">
        <f t="shared" si="2"/>
        <v>0.33333333333333331</v>
      </c>
      <c r="M27" s="78">
        <f>Mat!E10</f>
        <v>2</v>
      </c>
      <c r="N27" s="226" t="str">
        <f>Mat!F10</f>
        <v>Semestral</v>
      </c>
      <c r="O27" s="80">
        <f t="shared" si="3"/>
        <v>6</v>
      </c>
      <c r="W27" s="1"/>
    </row>
    <row r="28" spans="1:23" ht="15" hidden="1" customHeight="1">
      <c r="A28" s="81">
        <v>3</v>
      </c>
      <c r="B28" s="602" t="s">
        <v>572</v>
      </c>
      <c r="C28" s="603"/>
      <c r="D28" s="604"/>
      <c r="E28" s="82" t="s">
        <v>65</v>
      </c>
      <c r="F28" s="83"/>
      <c r="G28" s="75">
        <f t="shared" si="0"/>
        <v>8.3333333333333329E-2</v>
      </c>
      <c r="H28" s="76">
        <f>G28*Mat!G11</f>
        <v>7.9341666666666661</v>
      </c>
      <c r="I28" s="584" t="str">
        <f t="shared" si="1"/>
        <v>Fornecimento igual ao estimado mensalmente</v>
      </c>
      <c r="J28" s="584"/>
      <c r="K28" s="584"/>
      <c r="L28" s="77">
        <f t="shared" si="2"/>
        <v>8.3333333333333329E-2</v>
      </c>
      <c r="M28" s="78">
        <f>Mat!E11</f>
        <v>1</v>
      </c>
      <c r="N28" s="226" t="str">
        <f>Mat!F11</f>
        <v>Anual</v>
      </c>
      <c r="O28" s="80">
        <f t="shared" si="3"/>
        <v>12</v>
      </c>
      <c r="W28" s="1"/>
    </row>
    <row r="29" spans="1:23" ht="15" hidden="1" customHeight="1">
      <c r="A29" s="81">
        <v>4</v>
      </c>
      <c r="B29" s="602" t="s">
        <v>573</v>
      </c>
      <c r="C29" s="603"/>
      <c r="D29" s="604"/>
      <c r="E29" s="82" t="s">
        <v>65</v>
      </c>
      <c r="F29" s="83" t="s">
        <v>574</v>
      </c>
      <c r="G29" s="75">
        <f t="shared" si="0"/>
        <v>1</v>
      </c>
      <c r="H29" s="76">
        <f>G29*Mat!G12</f>
        <v>22.07</v>
      </c>
      <c r="I29" s="584" t="str">
        <f t="shared" si="1"/>
        <v>Fornecimento igual ao estimado mensalmente</v>
      </c>
      <c r="J29" s="584"/>
      <c r="K29" s="584"/>
      <c r="L29" s="77">
        <f t="shared" si="2"/>
        <v>1</v>
      </c>
      <c r="M29" s="78">
        <f>Mat!E12</f>
        <v>2</v>
      </c>
      <c r="N29" s="226" t="str">
        <f>Mat!F12</f>
        <v>Bimestral</v>
      </c>
      <c r="O29" s="80">
        <f t="shared" si="3"/>
        <v>2</v>
      </c>
      <c r="W29" s="1"/>
    </row>
    <row r="30" spans="1:23" ht="15" hidden="1" customHeight="1">
      <c r="A30" s="81">
        <v>5</v>
      </c>
      <c r="B30" s="605" t="s">
        <v>382</v>
      </c>
      <c r="C30" s="606"/>
      <c r="D30" s="607"/>
      <c r="E30" s="82" t="s">
        <v>65</v>
      </c>
      <c r="F30" s="83" t="s">
        <v>575</v>
      </c>
      <c r="G30" s="75">
        <f t="shared" si="0"/>
        <v>8.3333333333333329E-2</v>
      </c>
      <c r="H30" s="76">
        <f>G30*Mat!G13</f>
        <v>0.81</v>
      </c>
      <c r="I30" s="584" t="str">
        <f t="shared" si="1"/>
        <v>Fornecimento igual ao estimado mensalmente</v>
      </c>
      <c r="J30" s="584"/>
      <c r="K30" s="584"/>
      <c r="L30" s="77">
        <f t="shared" si="2"/>
        <v>8.3333333333333329E-2</v>
      </c>
      <c r="M30" s="78">
        <f>Mat!E13</f>
        <v>1</v>
      </c>
      <c r="N30" s="226" t="str">
        <f>Mat!F13</f>
        <v>Anual</v>
      </c>
      <c r="O30" s="80">
        <f t="shared" si="3"/>
        <v>12</v>
      </c>
      <c r="W30" s="1"/>
    </row>
    <row r="31" spans="1:23" ht="15" hidden="1" customHeight="1">
      <c r="A31" s="81">
        <v>6</v>
      </c>
      <c r="B31" s="605" t="s">
        <v>383</v>
      </c>
      <c r="C31" s="606"/>
      <c r="D31" s="607"/>
      <c r="E31" s="82" t="s">
        <v>65</v>
      </c>
      <c r="F31" s="83" t="s">
        <v>576</v>
      </c>
      <c r="G31" s="75">
        <f t="shared" si="0"/>
        <v>8.3333333333333329E-2</v>
      </c>
      <c r="H31" s="76">
        <f>G31*Mat!G14</f>
        <v>1.2224999999999999</v>
      </c>
      <c r="I31" s="584" t="str">
        <f t="shared" si="1"/>
        <v>Fornecimento igual ao estimado mensalmente</v>
      </c>
      <c r="J31" s="584"/>
      <c r="K31" s="584"/>
      <c r="L31" s="77">
        <f t="shared" si="2"/>
        <v>8.3333333333333329E-2</v>
      </c>
      <c r="M31" s="78">
        <f>Mat!E14</f>
        <v>1</v>
      </c>
      <c r="N31" s="226" t="str">
        <f>Mat!F14</f>
        <v>Anual</v>
      </c>
      <c r="O31" s="80">
        <f t="shared" si="3"/>
        <v>12</v>
      </c>
      <c r="W31" s="1"/>
    </row>
    <row r="32" spans="1:23" ht="15" hidden="1" customHeight="1">
      <c r="A32" s="81">
        <v>7</v>
      </c>
      <c r="B32" s="598" t="s">
        <v>577</v>
      </c>
      <c r="C32" s="599"/>
      <c r="D32" s="600"/>
      <c r="E32" s="82" t="s">
        <v>73</v>
      </c>
      <c r="F32" s="83" t="s">
        <v>578</v>
      </c>
      <c r="G32" s="75">
        <f t="shared" si="0"/>
        <v>2</v>
      </c>
      <c r="H32" s="76">
        <f>G32*Mat!G15</f>
        <v>70.540000000000006</v>
      </c>
      <c r="I32" s="584" t="str">
        <f t="shared" si="1"/>
        <v>Fornecimento igual ao estimado mensalmente</v>
      </c>
      <c r="J32" s="584"/>
      <c r="K32" s="584"/>
      <c r="L32" s="77">
        <f t="shared" si="2"/>
        <v>2</v>
      </c>
      <c r="M32" s="78">
        <f>Mat!E15</f>
        <v>2</v>
      </c>
      <c r="N32" s="226" t="str">
        <f>Mat!F15</f>
        <v>Mensal</v>
      </c>
      <c r="O32" s="80">
        <f t="shared" si="3"/>
        <v>1</v>
      </c>
      <c r="W32" s="1"/>
    </row>
    <row r="33" spans="1:23" ht="15" hidden="1" customHeight="1">
      <c r="A33" s="81">
        <v>8</v>
      </c>
      <c r="B33" s="598" t="s">
        <v>579</v>
      </c>
      <c r="C33" s="599"/>
      <c r="D33" s="600"/>
      <c r="E33" s="82" t="s">
        <v>65</v>
      </c>
      <c r="F33" s="83" t="s">
        <v>580</v>
      </c>
      <c r="G33" s="75">
        <f t="shared" si="0"/>
        <v>15</v>
      </c>
      <c r="H33" s="76">
        <f>G33*Mat!G16</f>
        <v>52.8</v>
      </c>
      <c r="I33" s="584" t="str">
        <f t="shared" si="1"/>
        <v>Fornecimento igual ao estimado mensalmente</v>
      </c>
      <c r="J33" s="584"/>
      <c r="K33" s="584"/>
      <c r="L33" s="77">
        <f t="shared" si="2"/>
        <v>15</v>
      </c>
      <c r="M33" s="78">
        <f>Mat!E16</f>
        <v>15</v>
      </c>
      <c r="N33" s="226" t="str">
        <f>Mat!F16</f>
        <v>Mensal</v>
      </c>
      <c r="O33" s="80">
        <f t="shared" si="3"/>
        <v>1</v>
      </c>
      <c r="W33" s="1"/>
    </row>
    <row r="34" spans="1:23" ht="53.25" hidden="1" customHeight="1">
      <c r="A34" s="81">
        <v>9</v>
      </c>
      <c r="B34" s="605" t="s">
        <v>384</v>
      </c>
      <c r="C34" s="606"/>
      <c r="D34" s="607"/>
      <c r="E34" s="82" t="s">
        <v>65</v>
      </c>
      <c r="F34" s="83" t="s">
        <v>581</v>
      </c>
      <c r="G34" s="75">
        <f t="shared" si="0"/>
        <v>7</v>
      </c>
      <c r="H34" s="76">
        <f>G34*Mat!G17</f>
        <v>32.340000000000003</v>
      </c>
      <c r="I34" s="584" t="str">
        <f t="shared" si="1"/>
        <v>Fornecimento igual ao estimado mensalmente</v>
      </c>
      <c r="J34" s="584"/>
      <c r="K34" s="584"/>
      <c r="L34" s="77">
        <f t="shared" si="2"/>
        <v>7</v>
      </c>
      <c r="M34" s="78">
        <f>Mat!E17</f>
        <v>7</v>
      </c>
      <c r="N34" s="226" t="str">
        <f>Mat!F17</f>
        <v>Mensal</v>
      </c>
      <c r="O34" s="80">
        <f t="shared" si="3"/>
        <v>1</v>
      </c>
      <c r="W34" s="1"/>
    </row>
    <row r="35" spans="1:23" ht="29.25" hidden="1" customHeight="1">
      <c r="A35" s="84">
        <v>10</v>
      </c>
      <c r="B35" s="605" t="s">
        <v>385</v>
      </c>
      <c r="C35" s="606"/>
      <c r="D35" s="607"/>
      <c r="E35" s="82" t="s">
        <v>65</v>
      </c>
      <c r="F35" s="83" t="s">
        <v>582</v>
      </c>
      <c r="G35" s="75">
        <f t="shared" si="0"/>
        <v>0.16666666666666666</v>
      </c>
      <c r="H35" s="76">
        <f>G35*Mat!G18</f>
        <v>0.52</v>
      </c>
      <c r="I35" s="584" t="str">
        <f t="shared" si="1"/>
        <v>Fornecimento igual ao estimado mensalmente</v>
      </c>
      <c r="J35" s="584"/>
      <c r="K35" s="584"/>
      <c r="L35" s="77">
        <f t="shared" si="2"/>
        <v>0.16666666666666666</v>
      </c>
      <c r="M35" s="78">
        <f>Mat!E18</f>
        <v>1</v>
      </c>
      <c r="N35" s="226" t="str">
        <f>Mat!F18</f>
        <v>Semestral</v>
      </c>
      <c r="O35" s="80">
        <f t="shared" si="3"/>
        <v>6</v>
      </c>
      <c r="W35" s="1"/>
    </row>
    <row r="36" spans="1:23" ht="15" hidden="1" customHeight="1">
      <c r="A36" s="81">
        <v>11</v>
      </c>
      <c r="B36" s="602" t="s">
        <v>583</v>
      </c>
      <c r="C36" s="603"/>
      <c r="D36" s="604"/>
      <c r="E36" s="82" t="s">
        <v>65</v>
      </c>
      <c r="F36" s="83" t="s">
        <v>584</v>
      </c>
      <c r="G36" s="75">
        <f t="shared" si="0"/>
        <v>2</v>
      </c>
      <c r="H36" s="76">
        <f>G36*Mat!G19</f>
        <v>32.86</v>
      </c>
      <c r="I36" s="584" t="str">
        <f t="shared" si="1"/>
        <v>Fornecimento igual ao estimado mensalmente</v>
      </c>
      <c r="J36" s="584"/>
      <c r="K36" s="584"/>
      <c r="L36" s="77">
        <f t="shared" si="2"/>
        <v>2</v>
      </c>
      <c r="M36" s="78">
        <f>Mat!E19</f>
        <v>6</v>
      </c>
      <c r="N36" s="226" t="str">
        <f>Mat!F19</f>
        <v>Trimestral</v>
      </c>
      <c r="O36" s="80">
        <f t="shared" si="3"/>
        <v>3</v>
      </c>
      <c r="W36" s="1"/>
    </row>
    <row r="37" spans="1:23" ht="54" hidden="1" customHeight="1">
      <c r="A37" s="81">
        <v>12</v>
      </c>
      <c r="B37" s="608" t="s">
        <v>585</v>
      </c>
      <c r="C37" s="609"/>
      <c r="D37" s="610"/>
      <c r="E37" s="82" t="s">
        <v>586</v>
      </c>
      <c r="F37" s="83" t="s">
        <v>587</v>
      </c>
      <c r="G37" s="75">
        <f t="shared" si="0"/>
        <v>1</v>
      </c>
      <c r="H37" s="76">
        <f>G37*Mat!G20</f>
        <v>4.6399999999999997</v>
      </c>
      <c r="I37" s="584" t="str">
        <f t="shared" si="1"/>
        <v>Fornecimento igual ao estimado mensalmente</v>
      </c>
      <c r="J37" s="584"/>
      <c r="K37" s="584"/>
      <c r="L37" s="77">
        <f t="shared" si="2"/>
        <v>1</v>
      </c>
      <c r="M37" s="78">
        <f>Mat!E20</f>
        <v>1</v>
      </c>
      <c r="N37" s="226" t="str">
        <f>Mat!F20</f>
        <v>Mensal</v>
      </c>
      <c r="O37" s="80">
        <f t="shared" si="3"/>
        <v>1</v>
      </c>
      <c r="W37" s="1"/>
    </row>
    <row r="38" spans="1:23" ht="40.5" hidden="1" customHeight="1">
      <c r="A38" s="84">
        <v>13</v>
      </c>
      <c r="B38" s="605" t="s">
        <v>386</v>
      </c>
      <c r="C38" s="606"/>
      <c r="D38" s="607"/>
      <c r="E38" s="82" t="s">
        <v>586</v>
      </c>
      <c r="F38" s="83" t="s">
        <v>588</v>
      </c>
      <c r="G38" s="75">
        <f t="shared" si="0"/>
        <v>0.66666666666666663</v>
      </c>
      <c r="H38" s="76">
        <f>G38*Mat!G21</f>
        <v>1.8866666666666667</v>
      </c>
      <c r="I38" s="584" t="str">
        <f t="shared" si="1"/>
        <v>Fornecimento igual ao estimado mensalmente</v>
      </c>
      <c r="J38" s="584"/>
      <c r="K38" s="584"/>
      <c r="L38" s="77">
        <f t="shared" si="2"/>
        <v>0.66666666666666663</v>
      </c>
      <c r="M38" s="78">
        <f>Mat!E21</f>
        <v>2</v>
      </c>
      <c r="N38" s="226" t="str">
        <f>Mat!F21</f>
        <v>Trimestral</v>
      </c>
      <c r="O38" s="80">
        <f t="shared" si="3"/>
        <v>3</v>
      </c>
      <c r="W38" s="1"/>
    </row>
    <row r="39" spans="1:23" ht="15" hidden="1" customHeight="1">
      <c r="A39" s="81">
        <v>14</v>
      </c>
      <c r="B39" s="602" t="s">
        <v>589</v>
      </c>
      <c r="C39" s="603"/>
      <c r="D39" s="604"/>
      <c r="E39" s="82" t="s">
        <v>65</v>
      </c>
      <c r="F39" s="83" t="s">
        <v>590</v>
      </c>
      <c r="G39" s="75">
        <f t="shared" si="0"/>
        <v>0.16666666666666666</v>
      </c>
      <c r="H39" s="76">
        <f>G39*Mat!G22</f>
        <v>0.47333333333333327</v>
      </c>
      <c r="I39" s="584" t="str">
        <f t="shared" si="1"/>
        <v>Fornecimento igual ao estimado mensalmente</v>
      </c>
      <c r="J39" s="584"/>
      <c r="K39" s="584"/>
      <c r="L39" s="77">
        <f t="shared" si="2"/>
        <v>0.16666666666666666</v>
      </c>
      <c r="M39" s="78">
        <f>Mat!E22</f>
        <v>1</v>
      </c>
      <c r="N39" s="226" t="str">
        <f>Mat!F22</f>
        <v>Semestral</v>
      </c>
      <c r="O39" s="80">
        <f t="shared" si="3"/>
        <v>6</v>
      </c>
      <c r="W39" s="1"/>
    </row>
    <row r="40" spans="1:23" ht="15" hidden="1" customHeight="1">
      <c r="A40" s="81">
        <v>15</v>
      </c>
      <c r="B40" s="602" t="s">
        <v>591</v>
      </c>
      <c r="C40" s="603"/>
      <c r="D40" s="604"/>
      <c r="E40" s="82" t="s">
        <v>65</v>
      </c>
      <c r="F40" s="83" t="s">
        <v>592</v>
      </c>
      <c r="G40" s="75">
        <f t="shared" si="0"/>
        <v>3</v>
      </c>
      <c r="H40" s="76">
        <f>G40*Mat!G23</f>
        <v>20.16</v>
      </c>
      <c r="I40" s="584" t="str">
        <f t="shared" si="1"/>
        <v>Fornecimento igual ao estimado mensalmente</v>
      </c>
      <c r="J40" s="584"/>
      <c r="K40" s="584"/>
      <c r="L40" s="77">
        <f t="shared" si="2"/>
        <v>3</v>
      </c>
      <c r="M40" s="78">
        <f>Mat!E23</f>
        <v>3</v>
      </c>
      <c r="N40" s="226" t="str">
        <f>Mat!F23</f>
        <v>Mensal</v>
      </c>
      <c r="O40" s="80">
        <f t="shared" si="3"/>
        <v>1</v>
      </c>
      <c r="W40" s="1"/>
    </row>
    <row r="41" spans="1:23" ht="15" hidden="1" customHeight="1">
      <c r="A41" s="81">
        <v>16</v>
      </c>
      <c r="B41" s="602" t="s">
        <v>593</v>
      </c>
      <c r="C41" s="603"/>
      <c r="D41" s="604"/>
      <c r="E41" s="82" t="s">
        <v>65</v>
      </c>
      <c r="F41" s="83" t="s">
        <v>594</v>
      </c>
      <c r="G41" s="75">
        <f t="shared" si="0"/>
        <v>5</v>
      </c>
      <c r="H41" s="76">
        <f>G41*Mat!G24</f>
        <v>70.8</v>
      </c>
      <c r="I41" s="584" t="str">
        <f t="shared" si="1"/>
        <v>Fornecimento igual ao estimado mensalmente</v>
      </c>
      <c r="J41" s="584"/>
      <c r="K41" s="584"/>
      <c r="L41" s="77">
        <f t="shared" si="2"/>
        <v>5</v>
      </c>
      <c r="M41" s="78">
        <f>Mat!E24</f>
        <v>5</v>
      </c>
      <c r="N41" s="226" t="str">
        <f>Mat!F24</f>
        <v>Mensal</v>
      </c>
      <c r="O41" s="80">
        <f t="shared" si="3"/>
        <v>1</v>
      </c>
      <c r="W41" s="1"/>
    </row>
    <row r="42" spans="1:23" ht="15" hidden="1" customHeight="1">
      <c r="A42" s="81">
        <v>17</v>
      </c>
      <c r="B42" s="602" t="s">
        <v>595</v>
      </c>
      <c r="C42" s="603"/>
      <c r="D42" s="604"/>
      <c r="E42" s="82" t="s">
        <v>65</v>
      </c>
      <c r="F42" s="83"/>
      <c r="G42" s="75">
        <f t="shared" si="0"/>
        <v>8.3333333333333329E-2</v>
      </c>
      <c r="H42" s="76">
        <f>G42*Mat!G25</f>
        <v>18.694166666666668</v>
      </c>
      <c r="I42" s="584" t="str">
        <f t="shared" si="1"/>
        <v>Fornecimento igual ao estimado mensalmente</v>
      </c>
      <c r="J42" s="584"/>
      <c r="K42" s="584"/>
      <c r="L42" s="77">
        <f t="shared" si="2"/>
        <v>8.3333333333333329E-2</v>
      </c>
      <c r="M42" s="78">
        <f>Mat!E25</f>
        <v>1</v>
      </c>
      <c r="N42" s="226" t="str">
        <f>Mat!F25</f>
        <v>Anual</v>
      </c>
      <c r="O42" s="80">
        <f t="shared" si="3"/>
        <v>12</v>
      </c>
      <c r="W42" s="1"/>
    </row>
    <row r="43" spans="1:23" ht="15" hidden="1" customHeight="1">
      <c r="A43" s="81">
        <v>18</v>
      </c>
      <c r="B43" s="602" t="s">
        <v>596</v>
      </c>
      <c r="C43" s="603"/>
      <c r="D43" s="604"/>
      <c r="E43" s="82" t="s">
        <v>65</v>
      </c>
      <c r="F43" s="83" t="s">
        <v>597</v>
      </c>
      <c r="G43" s="75">
        <f t="shared" si="0"/>
        <v>8</v>
      </c>
      <c r="H43" s="76">
        <f>G43*Mat!G26</f>
        <v>50.4</v>
      </c>
      <c r="I43" s="584" t="str">
        <f t="shared" si="1"/>
        <v>Fornecimento igual ao estimado mensalmente</v>
      </c>
      <c r="J43" s="584"/>
      <c r="K43" s="584"/>
      <c r="L43" s="77">
        <f t="shared" si="2"/>
        <v>8</v>
      </c>
      <c r="M43" s="78">
        <f>Mat!E26</f>
        <v>8</v>
      </c>
      <c r="N43" s="226" t="str">
        <f>Mat!F26</f>
        <v>Mensal</v>
      </c>
      <c r="O43" s="80">
        <f t="shared" si="3"/>
        <v>1</v>
      </c>
      <c r="W43" s="1"/>
    </row>
    <row r="44" spans="1:23" ht="15" hidden="1" customHeight="1">
      <c r="A44" s="81">
        <v>19</v>
      </c>
      <c r="B44" s="602" t="s">
        <v>598</v>
      </c>
      <c r="C44" s="603"/>
      <c r="D44" s="604"/>
      <c r="E44" s="82" t="s">
        <v>65</v>
      </c>
      <c r="F44" s="83" t="s">
        <v>599</v>
      </c>
      <c r="G44" s="75">
        <f t="shared" si="0"/>
        <v>0.16666666666666666</v>
      </c>
      <c r="H44" s="76">
        <f>G44*Mat!G27</f>
        <v>1.9449999999999998</v>
      </c>
      <c r="I44" s="584" t="str">
        <f t="shared" si="1"/>
        <v>Fornecimento igual ao estimado mensalmente</v>
      </c>
      <c r="J44" s="584"/>
      <c r="K44" s="584"/>
      <c r="L44" s="77">
        <f t="shared" si="2"/>
        <v>0.16666666666666666</v>
      </c>
      <c r="M44" s="78">
        <f>Mat!E27</f>
        <v>1</v>
      </c>
      <c r="N44" s="226" t="str">
        <f>Mat!F27</f>
        <v>Semestral</v>
      </c>
      <c r="O44" s="80">
        <f t="shared" si="3"/>
        <v>6</v>
      </c>
      <c r="W44" s="1"/>
    </row>
    <row r="45" spans="1:23" ht="15" hidden="1" customHeight="1">
      <c r="A45" s="81">
        <v>20</v>
      </c>
      <c r="B45" s="602" t="s">
        <v>600</v>
      </c>
      <c r="C45" s="603"/>
      <c r="D45" s="604"/>
      <c r="E45" s="82" t="s">
        <v>65</v>
      </c>
      <c r="F45" s="83" t="s">
        <v>601</v>
      </c>
      <c r="G45" s="75">
        <f t="shared" si="0"/>
        <v>5</v>
      </c>
      <c r="H45" s="76">
        <f>G45*Mat!G28</f>
        <v>20.65</v>
      </c>
      <c r="I45" s="584" t="str">
        <f t="shared" si="1"/>
        <v>Fornecimento igual ao estimado mensalmente</v>
      </c>
      <c r="J45" s="584"/>
      <c r="K45" s="584"/>
      <c r="L45" s="77">
        <f t="shared" si="2"/>
        <v>5</v>
      </c>
      <c r="M45" s="78">
        <f>Mat!E28</f>
        <v>5</v>
      </c>
      <c r="N45" s="226" t="str">
        <f>Mat!F28</f>
        <v>Mensal</v>
      </c>
      <c r="O45" s="80">
        <f t="shared" si="3"/>
        <v>1</v>
      </c>
      <c r="W45" s="1"/>
    </row>
    <row r="46" spans="1:23" ht="15" hidden="1" customHeight="1">
      <c r="A46" s="81">
        <v>21</v>
      </c>
      <c r="B46" s="598" t="s">
        <v>602</v>
      </c>
      <c r="C46" s="599"/>
      <c r="D46" s="600"/>
      <c r="E46" s="82" t="s">
        <v>388</v>
      </c>
      <c r="F46" s="83" t="s">
        <v>603</v>
      </c>
      <c r="G46" s="75">
        <f t="shared" si="0"/>
        <v>2</v>
      </c>
      <c r="H46" s="76">
        <f>G46*Mat!G29</f>
        <v>153.44</v>
      </c>
      <c r="I46" s="584" t="str">
        <f t="shared" si="1"/>
        <v>Fornecimento igual ao estimado mensalmente</v>
      </c>
      <c r="J46" s="584"/>
      <c r="K46" s="584"/>
      <c r="L46" s="77">
        <f t="shared" si="2"/>
        <v>2</v>
      </c>
      <c r="M46" s="78">
        <f>Mat!E29</f>
        <v>2</v>
      </c>
      <c r="N46" s="226" t="str">
        <f>Mat!F29</f>
        <v>Mensal</v>
      </c>
      <c r="O46" s="80">
        <f t="shared" si="3"/>
        <v>1</v>
      </c>
      <c r="W46" s="1"/>
    </row>
    <row r="47" spans="1:23" ht="41.25" hidden="1" customHeight="1">
      <c r="A47" s="81">
        <v>22</v>
      </c>
      <c r="B47" s="605" t="s">
        <v>389</v>
      </c>
      <c r="C47" s="606"/>
      <c r="D47" s="607"/>
      <c r="E47" s="82" t="s">
        <v>604</v>
      </c>
      <c r="F47" s="83" t="s">
        <v>605</v>
      </c>
      <c r="G47" s="75">
        <f t="shared" si="0"/>
        <v>26</v>
      </c>
      <c r="H47" s="76">
        <f>G47*Mat!G30</f>
        <v>656.76</v>
      </c>
      <c r="I47" s="584" t="str">
        <f t="shared" si="1"/>
        <v>Fornecimento igual ao estimado mensalmente</v>
      </c>
      <c r="J47" s="584"/>
      <c r="K47" s="584"/>
      <c r="L47" s="77">
        <f t="shared" si="2"/>
        <v>26</v>
      </c>
      <c r="M47" s="78">
        <f>Mat!E30</f>
        <v>26</v>
      </c>
      <c r="N47" s="226" t="str">
        <f>Mat!F30</f>
        <v>Mensal</v>
      </c>
      <c r="O47" s="80">
        <f t="shared" si="3"/>
        <v>1</v>
      </c>
      <c r="W47" s="1"/>
    </row>
    <row r="48" spans="1:23" ht="15" hidden="1" customHeight="1">
      <c r="A48" s="81">
        <v>23</v>
      </c>
      <c r="B48" s="602" t="s">
        <v>606</v>
      </c>
      <c r="C48" s="603"/>
      <c r="D48" s="604"/>
      <c r="E48" s="82" t="s">
        <v>73</v>
      </c>
      <c r="F48" s="83" t="s">
        <v>607</v>
      </c>
      <c r="G48" s="75">
        <f t="shared" si="0"/>
        <v>1</v>
      </c>
      <c r="H48" s="76">
        <f>G48*Mat!G31</f>
        <v>5.27</v>
      </c>
      <c r="I48" s="584" t="str">
        <f t="shared" si="1"/>
        <v>Fornecimento igual ao estimado mensalmente</v>
      </c>
      <c r="J48" s="584"/>
      <c r="K48" s="584"/>
      <c r="L48" s="77">
        <f t="shared" si="2"/>
        <v>1</v>
      </c>
      <c r="M48" s="78">
        <f>Mat!E31</f>
        <v>1</v>
      </c>
      <c r="N48" s="226" t="str">
        <f>Mat!F31</f>
        <v>Mensal</v>
      </c>
      <c r="O48" s="80">
        <f t="shared" si="3"/>
        <v>1</v>
      </c>
      <c r="W48" s="1"/>
    </row>
    <row r="49" spans="1:23" ht="32.25" hidden="1" customHeight="1">
      <c r="A49" s="81">
        <v>24</v>
      </c>
      <c r="B49" s="608" t="s">
        <v>390</v>
      </c>
      <c r="C49" s="609"/>
      <c r="D49" s="610"/>
      <c r="E49" s="82" t="s">
        <v>65</v>
      </c>
      <c r="F49" s="83" t="s">
        <v>608</v>
      </c>
      <c r="G49" s="75">
        <f t="shared" si="0"/>
        <v>0.16666666666666666</v>
      </c>
      <c r="H49" s="76">
        <f>G49*Mat!G32</f>
        <v>2.0549999999999997</v>
      </c>
      <c r="I49" s="584" t="str">
        <f t="shared" si="1"/>
        <v>Fornecimento igual ao estimado mensalmente</v>
      </c>
      <c r="J49" s="584"/>
      <c r="K49" s="584"/>
      <c r="L49" s="77">
        <f t="shared" si="2"/>
        <v>0.16666666666666666</v>
      </c>
      <c r="M49" s="78">
        <f>Mat!E32</f>
        <v>1</v>
      </c>
      <c r="N49" s="226" t="str">
        <f>Mat!F32</f>
        <v>Semestral</v>
      </c>
      <c r="O49" s="80">
        <f t="shared" si="3"/>
        <v>6</v>
      </c>
      <c r="W49" s="1"/>
    </row>
    <row r="50" spans="1:23" ht="15.75" hidden="1" customHeight="1">
      <c r="A50" s="81">
        <v>25</v>
      </c>
      <c r="B50" s="602" t="s">
        <v>609</v>
      </c>
      <c r="C50" s="603"/>
      <c r="D50" s="604"/>
      <c r="E50" s="82" t="s">
        <v>65</v>
      </c>
      <c r="F50" s="83"/>
      <c r="G50" s="75">
        <f t="shared" si="0"/>
        <v>0.33333333333333331</v>
      </c>
      <c r="H50" s="76">
        <f>G50*Mat!G33</f>
        <v>8.5533333333333328</v>
      </c>
      <c r="I50" s="584" t="str">
        <f t="shared" si="1"/>
        <v>Fornecimento igual ao estimado mensalmente</v>
      </c>
      <c r="J50" s="584"/>
      <c r="K50" s="584"/>
      <c r="L50" s="77">
        <f t="shared" si="2"/>
        <v>0.33333333333333331</v>
      </c>
      <c r="M50" s="78">
        <f>Mat!E33</f>
        <v>2</v>
      </c>
      <c r="N50" s="226" t="str">
        <f>Mat!F33</f>
        <v>Semestral</v>
      </c>
      <c r="O50" s="80">
        <f t="shared" si="3"/>
        <v>6</v>
      </c>
      <c r="W50" s="1"/>
    </row>
    <row r="51" spans="1:23" ht="15" hidden="1" customHeight="1">
      <c r="A51" s="81">
        <v>26</v>
      </c>
      <c r="B51" s="602" t="s">
        <v>610</v>
      </c>
      <c r="C51" s="603"/>
      <c r="D51" s="604"/>
      <c r="E51" s="82" t="s">
        <v>65</v>
      </c>
      <c r="F51" s="83" t="s">
        <v>611</v>
      </c>
      <c r="G51" s="75">
        <f t="shared" si="0"/>
        <v>1</v>
      </c>
      <c r="H51" s="76">
        <f>G51*Mat!G34</f>
        <v>10.25</v>
      </c>
      <c r="I51" s="584" t="str">
        <f t="shared" si="1"/>
        <v>Fornecimento igual ao estimado mensalmente</v>
      </c>
      <c r="J51" s="584"/>
      <c r="K51" s="584"/>
      <c r="L51" s="77">
        <f t="shared" si="2"/>
        <v>1</v>
      </c>
      <c r="M51" s="78">
        <f>Mat!E34</f>
        <v>1</v>
      </c>
      <c r="N51" s="226" t="str">
        <f>Mat!F34</f>
        <v>Mensal</v>
      </c>
      <c r="O51" s="80">
        <f t="shared" si="3"/>
        <v>1</v>
      </c>
      <c r="W51" s="1"/>
    </row>
    <row r="52" spans="1:23" ht="15" hidden="1" customHeight="1">
      <c r="A52" s="81">
        <v>27</v>
      </c>
      <c r="B52" s="602" t="s">
        <v>612</v>
      </c>
      <c r="C52" s="603"/>
      <c r="D52" s="604"/>
      <c r="E52" s="82" t="s">
        <v>613</v>
      </c>
      <c r="F52" s="83" t="s">
        <v>614</v>
      </c>
      <c r="G52" s="75">
        <f t="shared" si="0"/>
        <v>0.5</v>
      </c>
      <c r="H52" s="76">
        <f>G52*Mat!G35</f>
        <v>8.1349999999999998</v>
      </c>
      <c r="I52" s="584" t="str">
        <f t="shared" si="1"/>
        <v>Fornecimento igual ao estimado mensalmente</v>
      </c>
      <c r="J52" s="584"/>
      <c r="K52" s="584"/>
      <c r="L52" s="77">
        <f t="shared" si="2"/>
        <v>0.5</v>
      </c>
      <c r="M52" s="78">
        <f>Mat!E35</f>
        <v>1</v>
      </c>
      <c r="N52" s="226" t="str">
        <f>Mat!F35</f>
        <v>Bimestral</v>
      </c>
      <c r="O52" s="80">
        <f t="shared" si="3"/>
        <v>2</v>
      </c>
      <c r="W52" s="1"/>
    </row>
    <row r="53" spans="1:23" ht="15" hidden="1" customHeight="1">
      <c r="A53" s="81">
        <v>28</v>
      </c>
      <c r="B53" s="598" t="s">
        <v>615</v>
      </c>
      <c r="C53" s="599"/>
      <c r="D53" s="600"/>
      <c r="E53" s="82" t="s">
        <v>73</v>
      </c>
      <c r="F53" s="83" t="s">
        <v>616</v>
      </c>
      <c r="G53" s="75">
        <f t="shared" si="0"/>
        <v>1</v>
      </c>
      <c r="H53" s="76">
        <f>G53*Mat!G36</f>
        <v>20.52</v>
      </c>
      <c r="I53" s="584" t="str">
        <f t="shared" si="1"/>
        <v>Fornecimento igual ao estimado mensalmente</v>
      </c>
      <c r="J53" s="584"/>
      <c r="K53" s="584"/>
      <c r="L53" s="77">
        <f t="shared" si="2"/>
        <v>1</v>
      </c>
      <c r="M53" s="78">
        <f>Mat!E36</f>
        <v>1</v>
      </c>
      <c r="N53" s="226" t="str">
        <f>Mat!F36</f>
        <v>Mensal</v>
      </c>
      <c r="O53" s="80">
        <f t="shared" si="3"/>
        <v>1</v>
      </c>
      <c r="W53" s="1"/>
    </row>
    <row r="54" spans="1:23" ht="15" hidden="1" customHeight="1">
      <c r="A54" s="81">
        <v>29</v>
      </c>
      <c r="B54" s="605" t="s">
        <v>617</v>
      </c>
      <c r="C54" s="606"/>
      <c r="D54" s="607"/>
      <c r="E54" s="82" t="s">
        <v>65</v>
      </c>
      <c r="F54" s="83"/>
      <c r="G54" s="75">
        <f t="shared" si="0"/>
        <v>5</v>
      </c>
      <c r="H54" s="76">
        <f>G54*Mat!G37</f>
        <v>54.25</v>
      </c>
      <c r="I54" s="584" t="str">
        <f t="shared" si="1"/>
        <v>Fornecimento igual ao estimado mensalmente</v>
      </c>
      <c r="J54" s="584"/>
      <c r="K54" s="584"/>
      <c r="L54" s="77">
        <f t="shared" si="2"/>
        <v>5</v>
      </c>
      <c r="M54" s="78">
        <f>Mat!E37</f>
        <v>5</v>
      </c>
      <c r="N54" s="226" t="str">
        <f>Mat!F37</f>
        <v>Mensal</v>
      </c>
      <c r="O54" s="80">
        <f t="shared" si="3"/>
        <v>1</v>
      </c>
      <c r="W54" s="1"/>
    </row>
    <row r="55" spans="1:23" ht="15" hidden="1" customHeight="1">
      <c r="A55" s="81">
        <v>30</v>
      </c>
      <c r="B55" s="602" t="s">
        <v>618</v>
      </c>
      <c r="C55" s="603"/>
      <c r="D55" s="604"/>
      <c r="E55" s="82" t="s">
        <v>619</v>
      </c>
      <c r="F55" s="83" t="s">
        <v>620</v>
      </c>
      <c r="G55" s="75">
        <f t="shared" si="0"/>
        <v>1</v>
      </c>
      <c r="H55" s="76">
        <f>G55*Mat!G38</f>
        <v>16.100000000000001</v>
      </c>
      <c r="I55" s="584" t="str">
        <f t="shared" si="1"/>
        <v>Fornecimento igual ao estimado mensalmente</v>
      </c>
      <c r="J55" s="584"/>
      <c r="K55" s="584"/>
      <c r="L55" s="77">
        <f t="shared" si="2"/>
        <v>1</v>
      </c>
      <c r="M55" s="78">
        <f>Mat!E38</f>
        <v>2</v>
      </c>
      <c r="N55" s="226" t="str">
        <f>Mat!F38</f>
        <v>Bimestral</v>
      </c>
      <c r="O55" s="80">
        <f t="shared" si="3"/>
        <v>2</v>
      </c>
      <c r="W55" s="1"/>
    </row>
    <row r="56" spans="1:23" ht="15" hidden="1" customHeight="1">
      <c r="A56" s="81">
        <v>31</v>
      </c>
      <c r="B56" s="602" t="s">
        <v>621</v>
      </c>
      <c r="C56" s="603"/>
      <c r="D56" s="604"/>
      <c r="E56" s="82" t="s">
        <v>619</v>
      </c>
      <c r="F56" s="83" t="s">
        <v>620</v>
      </c>
      <c r="G56" s="75">
        <f t="shared" si="0"/>
        <v>1</v>
      </c>
      <c r="H56" s="76">
        <f>G56*Mat!G39</f>
        <v>16.100000000000001</v>
      </c>
      <c r="I56" s="584" t="str">
        <f t="shared" si="1"/>
        <v>Fornecimento igual ao estimado mensalmente</v>
      </c>
      <c r="J56" s="584"/>
      <c r="K56" s="584"/>
      <c r="L56" s="77">
        <f t="shared" si="2"/>
        <v>1</v>
      </c>
      <c r="M56" s="78">
        <f>Mat!E39</f>
        <v>1</v>
      </c>
      <c r="N56" s="226" t="str">
        <f>Mat!F39</f>
        <v>Mensal</v>
      </c>
      <c r="O56" s="80">
        <f t="shared" si="3"/>
        <v>1</v>
      </c>
      <c r="W56" s="1"/>
    </row>
    <row r="57" spans="1:23" ht="15" hidden="1" customHeight="1">
      <c r="A57" s="81">
        <v>32</v>
      </c>
      <c r="B57" s="602" t="s">
        <v>622</v>
      </c>
      <c r="C57" s="603"/>
      <c r="D57" s="604"/>
      <c r="E57" s="82" t="s">
        <v>619</v>
      </c>
      <c r="F57" s="83" t="s">
        <v>620</v>
      </c>
      <c r="G57" s="75">
        <f t="shared" si="0"/>
        <v>1</v>
      </c>
      <c r="H57" s="76">
        <f>G57*Mat!G40</f>
        <v>59.17</v>
      </c>
      <c r="I57" s="584" t="str">
        <f t="shared" si="1"/>
        <v>Fornecimento igual ao estimado mensalmente</v>
      </c>
      <c r="J57" s="584"/>
      <c r="K57" s="584"/>
      <c r="L57" s="77">
        <f t="shared" si="2"/>
        <v>1</v>
      </c>
      <c r="M57" s="78">
        <f>Mat!E40</f>
        <v>1</v>
      </c>
      <c r="N57" s="226" t="str">
        <f>Mat!F40</f>
        <v>Mensal</v>
      </c>
      <c r="O57" s="80">
        <f t="shared" si="3"/>
        <v>1</v>
      </c>
      <c r="W57" s="1"/>
    </row>
    <row r="58" spans="1:23" ht="15" hidden="1" customHeight="1">
      <c r="A58" s="81">
        <v>33</v>
      </c>
      <c r="B58" s="602" t="s">
        <v>623</v>
      </c>
      <c r="C58" s="603"/>
      <c r="D58" s="604"/>
      <c r="E58" s="82" t="s">
        <v>65</v>
      </c>
      <c r="F58" s="83"/>
      <c r="G58" s="75">
        <f t="shared" si="0"/>
        <v>8.3333333333333329E-2</v>
      </c>
      <c r="H58" s="76">
        <f>G58*Mat!G41</f>
        <v>2.2816666666666663</v>
      </c>
      <c r="I58" s="584" t="str">
        <f t="shared" si="1"/>
        <v>Fornecimento igual ao estimado mensalmente</v>
      </c>
      <c r="J58" s="584"/>
      <c r="K58" s="584"/>
      <c r="L58" s="77">
        <f t="shared" si="2"/>
        <v>8.3333333333333329E-2</v>
      </c>
      <c r="M58" s="78">
        <f>Mat!E41</f>
        <v>1</v>
      </c>
      <c r="N58" s="226" t="str">
        <f>Mat!F41</f>
        <v>Anual</v>
      </c>
      <c r="O58" s="80">
        <f t="shared" si="3"/>
        <v>12</v>
      </c>
      <c r="W58" s="1"/>
    </row>
    <row r="59" spans="1:23" ht="15" hidden="1" customHeight="1">
      <c r="A59" s="81">
        <v>34</v>
      </c>
      <c r="B59" s="598" t="s">
        <v>624</v>
      </c>
      <c r="C59" s="599"/>
      <c r="D59" s="600"/>
      <c r="E59" s="82" t="s">
        <v>65</v>
      </c>
      <c r="F59" s="83" t="s">
        <v>608</v>
      </c>
      <c r="G59" s="75">
        <f t="shared" si="0"/>
        <v>0.16666666666666666</v>
      </c>
      <c r="H59" s="76">
        <f>G59*Mat!G42</f>
        <v>2.6633333333333331</v>
      </c>
      <c r="I59" s="584" t="str">
        <f t="shared" si="1"/>
        <v>Fornecimento igual ao estimado mensalmente</v>
      </c>
      <c r="J59" s="584"/>
      <c r="K59" s="584"/>
      <c r="L59" s="77">
        <f t="shared" si="2"/>
        <v>0.16666666666666666</v>
      </c>
      <c r="M59" s="78">
        <f>Mat!E42</f>
        <v>1</v>
      </c>
      <c r="N59" s="226" t="str">
        <f>Mat!F42</f>
        <v>Semestral</v>
      </c>
      <c r="O59" s="80">
        <f t="shared" si="3"/>
        <v>6</v>
      </c>
      <c r="W59" s="1"/>
    </row>
    <row r="60" spans="1:23" ht="15" hidden="1" customHeight="1">
      <c r="A60" s="81">
        <v>35</v>
      </c>
      <c r="B60" s="602" t="s">
        <v>625</v>
      </c>
      <c r="C60" s="603"/>
      <c r="D60" s="604"/>
      <c r="E60" s="82" t="s">
        <v>65</v>
      </c>
      <c r="F60" s="83"/>
      <c r="G60" s="75">
        <f t="shared" si="0"/>
        <v>2</v>
      </c>
      <c r="H60" s="76">
        <f>G60*Mat!G43</f>
        <v>27.68</v>
      </c>
      <c r="I60" s="584" t="str">
        <f t="shared" si="1"/>
        <v>Fornecimento igual ao estimado mensalmente</v>
      </c>
      <c r="J60" s="584"/>
      <c r="K60" s="584"/>
      <c r="L60" s="77">
        <f t="shared" si="2"/>
        <v>2</v>
      </c>
      <c r="M60" s="78">
        <f>Mat!E43</f>
        <v>2</v>
      </c>
      <c r="N60" s="226" t="str">
        <f>Mat!F43</f>
        <v>Mensal</v>
      </c>
      <c r="O60" s="80">
        <f t="shared" si="3"/>
        <v>1</v>
      </c>
      <c r="W60" s="1"/>
    </row>
    <row r="61" spans="1:23" ht="15" hidden="1" customHeight="1">
      <c r="A61" s="81">
        <v>36</v>
      </c>
      <c r="B61" s="598" t="s">
        <v>626</v>
      </c>
      <c r="C61" s="599"/>
      <c r="D61" s="600"/>
      <c r="E61" s="82" t="s">
        <v>65</v>
      </c>
      <c r="F61" s="83" t="s">
        <v>608</v>
      </c>
      <c r="G61" s="75">
        <f t="shared" si="0"/>
        <v>0.33333333333333331</v>
      </c>
      <c r="H61" s="76">
        <f>G61*Mat!G44</f>
        <v>3.9166666666666665</v>
      </c>
      <c r="I61" s="584" t="str">
        <f t="shared" si="1"/>
        <v>Fornecimento igual ao estimado mensalmente</v>
      </c>
      <c r="J61" s="584"/>
      <c r="K61" s="584"/>
      <c r="L61" s="77">
        <f t="shared" si="2"/>
        <v>0.33333333333333331</v>
      </c>
      <c r="M61" s="78">
        <f>Mat!E44</f>
        <v>2</v>
      </c>
      <c r="N61" s="226" t="str">
        <f>Mat!F44</f>
        <v>Semestral</v>
      </c>
      <c r="O61" s="80">
        <f t="shared" si="3"/>
        <v>6</v>
      </c>
      <c r="W61" s="1"/>
    </row>
    <row r="62" spans="1:23" ht="15" hidden="1" customHeight="1">
      <c r="A62" s="601" t="s">
        <v>76</v>
      </c>
      <c r="B62" s="601"/>
      <c r="C62" s="601"/>
      <c r="D62" s="601"/>
      <c r="E62" s="601"/>
      <c r="F62" s="601"/>
      <c r="G62" s="601"/>
      <c r="H62" s="85">
        <f>ROUND(SUM(H26:H61),2)</f>
        <v>1566.45</v>
      </c>
      <c r="I62" s="58"/>
      <c r="J62" s="58"/>
      <c r="K62" s="1"/>
      <c r="L62" s="1"/>
      <c r="M62" s="1"/>
      <c r="N62" s="69"/>
      <c r="O62" s="69"/>
    </row>
    <row r="63" spans="1:23" ht="15" hidden="1" customHeight="1">
      <c r="A63" s="579" t="s">
        <v>77</v>
      </c>
      <c r="B63" s="579"/>
      <c r="C63" s="579"/>
      <c r="D63" s="579"/>
      <c r="E63" s="579"/>
      <c r="F63" s="579"/>
      <c r="G63" s="86">
        <f>Dados!G43</f>
        <v>0.03</v>
      </c>
      <c r="H63" s="87">
        <f>ROUND((H62*G63),2)</f>
        <v>46.99</v>
      </c>
      <c r="I63" s="58"/>
      <c r="J63" s="58"/>
      <c r="K63" s="1"/>
      <c r="L63" s="1"/>
      <c r="M63" s="1"/>
      <c r="N63" s="69"/>
      <c r="O63" s="69"/>
    </row>
    <row r="64" spans="1:23" ht="15" hidden="1" customHeight="1">
      <c r="A64" s="579" t="s">
        <v>78</v>
      </c>
      <c r="B64" s="579"/>
      <c r="C64" s="579"/>
      <c r="D64" s="579"/>
      <c r="E64" s="579"/>
      <c r="F64" s="579"/>
      <c r="G64" s="86">
        <f>Dados!G44</f>
        <v>6.7900000000000002E-2</v>
      </c>
      <c r="H64" s="87">
        <f>ROUND((SUM(H62:H63)*G64),2)</f>
        <v>109.55</v>
      </c>
      <c r="I64" s="58"/>
      <c r="J64" s="58"/>
      <c r="K64" s="1"/>
      <c r="L64" s="1"/>
      <c r="M64" s="1"/>
      <c r="N64" s="69"/>
      <c r="O64" s="69"/>
    </row>
    <row r="65" spans="1:23" ht="15" hidden="1" customHeight="1">
      <c r="A65" s="579" t="s">
        <v>79</v>
      </c>
      <c r="B65" s="579"/>
      <c r="C65" s="579"/>
      <c r="D65" s="579"/>
      <c r="E65" s="579"/>
      <c r="F65" s="579"/>
      <c r="G65" s="86">
        <f>Dados!G55</f>
        <v>0.14250000000000002</v>
      </c>
      <c r="H65" s="87">
        <f>ROUND((H66*G65),2)</f>
        <v>286.33</v>
      </c>
      <c r="I65" s="58"/>
      <c r="J65" s="58"/>
      <c r="K65" s="1"/>
      <c r="L65" s="1"/>
      <c r="M65" s="1"/>
      <c r="N65" s="69"/>
      <c r="O65" s="69"/>
    </row>
    <row r="66" spans="1:23" ht="15.75" hidden="1" customHeight="1">
      <c r="A66" s="580" t="s">
        <v>80</v>
      </c>
      <c r="B66" s="580"/>
      <c r="C66" s="580"/>
      <c r="D66" s="580"/>
      <c r="E66" s="580"/>
      <c r="F66" s="580"/>
      <c r="G66" s="580"/>
      <c r="H66" s="88">
        <f>ROUND((SUM(H62:H64)/(1-G65)),2)</f>
        <v>2009.32</v>
      </c>
      <c r="I66" s="58"/>
      <c r="J66" s="58"/>
      <c r="K66" s="1"/>
      <c r="L66" s="1"/>
      <c r="M66" s="1"/>
      <c r="N66" s="69"/>
      <c r="O66" s="69"/>
    </row>
    <row r="67" spans="1:23" hidden="1">
      <c r="A67" s="64"/>
      <c r="B67" s="69"/>
      <c r="C67" s="69"/>
      <c r="D67" s="69"/>
      <c r="E67" s="69"/>
      <c r="F67" s="69"/>
      <c r="G67" s="64"/>
      <c r="H67" s="69"/>
      <c r="I67" s="69"/>
      <c r="J67" s="69"/>
      <c r="K67" s="1"/>
      <c r="L67" s="1"/>
      <c r="M67" s="1"/>
      <c r="N67" s="69"/>
      <c r="O67" s="69"/>
    </row>
    <row r="68" spans="1:23" ht="15.75" hidden="1" customHeight="1">
      <c r="A68" s="586" t="s">
        <v>59</v>
      </c>
      <c r="B68" s="593" t="s">
        <v>81</v>
      </c>
      <c r="C68" s="593"/>
      <c r="D68" s="593"/>
      <c r="E68" s="593"/>
      <c r="F68" s="594" t="s">
        <v>61</v>
      </c>
      <c r="G68" s="594"/>
      <c r="H68" s="594"/>
      <c r="I68" s="595" t="s">
        <v>62</v>
      </c>
      <c r="J68" s="595"/>
      <c r="K68" s="595"/>
      <c r="L68" s="596" t="s">
        <v>63</v>
      </c>
      <c r="M68" s="596"/>
      <c r="N68" s="596"/>
      <c r="O68" s="596"/>
      <c r="V68" s="1"/>
      <c r="W68" s="1"/>
    </row>
    <row r="69" spans="1:23" ht="38.25" hidden="1" customHeight="1">
      <c r="A69" s="586"/>
      <c r="B69" s="597" t="s">
        <v>64</v>
      </c>
      <c r="C69" s="597"/>
      <c r="D69" s="597"/>
      <c r="E69" s="63" t="s">
        <v>65</v>
      </c>
      <c r="F69" s="63" t="s">
        <v>66</v>
      </c>
      <c r="G69" s="63" t="s">
        <v>67</v>
      </c>
      <c r="H69" s="73" t="s">
        <v>68</v>
      </c>
      <c r="I69" s="595"/>
      <c r="J69" s="595"/>
      <c r="K69" s="595"/>
      <c r="L69" s="70" t="s">
        <v>69</v>
      </c>
      <c r="M69" s="71" t="s">
        <v>70</v>
      </c>
      <c r="N69" s="71" t="s">
        <v>71</v>
      </c>
      <c r="O69" s="72" t="s">
        <v>72</v>
      </c>
      <c r="V69" s="1"/>
      <c r="W69" s="1"/>
    </row>
    <row r="70" spans="1:23" ht="15" hidden="1" customHeight="1">
      <c r="A70" s="89">
        <v>1</v>
      </c>
      <c r="B70" s="581" t="s">
        <v>627</v>
      </c>
      <c r="C70" s="582"/>
      <c r="D70" s="583"/>
      <c r="E70" s="83" t="s">
        <v>628</v>
      </c>
      <c r="F70" s="83" t="s">
        <v>629</v>
      </c>
      <c r="G70" s="75">
        <f t="shared" ref="G70:G93" si="4">IF($D$4="PLANILHA PARA LICITAÇÃO (PRECIFICAÇÃO)",L70,0)</f>
        <v>1</v>
      </c>
      <c r="H70" s="76">
        <f>G70*Mat!G51</f>
        <v>15.74</v>
      </c>
      <c r="I70" s="584" t="str">
        <f t="shared" ref="I70:I93" si="5">IF(G70&lt;L70,"Fornecimento inferior ao estimado mensalmente",IF(G70=L70,"Fornecimento igual ao estimado mensalmente",IF(G70&gt;L70,"Fornecimento superior ao estimado mensalmente",)))</f>
        <v>Fornecimento igual ao estimado mensalmente</v>
      </c>
      <c r="J70" s="584"/>
      <c r="K70" s="584"/>
      <c r="L70" s="77">
        <f t="shared" ref="L70:L93" si="6">M70/O70</f>
        <v>1</v>
      </c>
      <c r="M70" s="90">
        <f>Mat!E51</f>
        <v>1</v>
      </c>
      <c r="N70" s="90" t="str">
        <f>Mat!F51</f>
        <v>Mensal</v>
      </c>
      <c r="O70" s="80">
        <f t="shared" ref="O70:O93" si="7">IF(N70="MENSAL",1,IF(N70="BIMESTRAL",2,IF(N70="TRIMESTRAL",3,IF(N70="QUADRIMESTRAL",4,IF(N70="SEMESTRAL",6,IF(N70="ANUAL",12,IF(N70="BIENAL",24,"")))))))</f>
        <v>1</v>
      </c>
      <c r="W70" s="1"/>
    </row>
    <row r="71" spans="1:23" ht="15" hidden="1" customHeight="1">
      <c r="A71" s="89">
        <v>2</v>
      </c>
      <c r="B71" s="581" t="s">
        <v>630</v>
      </c>
      <c r="C71" s="582"/>
      <c r="D71" s="583"/>
      <c r="E71" s="83" t="s">
        <v>82</v>
      </c>
      <c r="F71" s="83" t="s">
        <v>631</v>
      </c>
      <c r="G71" s="75">
        <f t="shared" si="4"/>
        <v>0.33333333333333331</v>
      </c>
      <c r="H71" s="76">
        <f>G71*Mat!G52</f>
        <v>1.5</v>
      </c>
      <c r="I71" s="584" t="str">
        <f t="shared" si="5"/>
        <v>Fornecimento igual ao estimado mensalmente</v>
      </c>
      <c r="J71" s="584"/>
      <c r="K71" s="584"/>
      <c r="L71" s="77">
        <f t="shared" si="6"/>
        <v>0.33333333333333331</v>
      </c>
      <c r="M71" s="90">
        <f>Mat!E52</f>
        <v>1</v>
      </c>
      <c r="N71" s="90" t="str">
        <f>Mat!F52</f>
        <v>Trimestral</v>
      </c>
      <c r="O71" s="80">
        <f t="shared" si="7"/>
        <v>3</v>
      </c>
      <c r="W71" s="1"/>
    </row>
    <row r="72" spans="1:23" ht="30.75" hidden="1" customHeight="1">
      <c r="A72" s="89">
        <v>3</v>
      </c>
      <c r="B72" s="590" t="s">
        <v>571</v>
      </c>
      <c r="C72" s="591"/>
      <c r="D72" s="592"/>
      <c r="E72" s="83" t="s">
        <v>82</v>
      </c>
      <c r="F72" s="83"/>
      <c r="G72" s="75">
        <f t="shared" si="4"/>
        <v>0.16666666666666666</v>
      </c>
      <c r="H72" s="76">
        <f>G72*Mat!G53</f>
        <v>2.6683333333333334</v>
      </c>
      <c r="I72" s="584" t="str">
        <f t="shared" si="5"/>
        <v>Fornecimento igual ao estimado mensalmente</v>
      </c>
      <c r="J72" s="584"/>
      <c r="K72" s="584"/>
      <c r="L72" s="77">
        <f t="shared" si="6"/>
        <v>0.16666666666666666</v>
      </c>
      <c r="M72" s="90">
        <f>Mat!E53</f>
        <v>1</v>
      </c>
      <c r="N72" s="90" t="str">
        <f>Mat!F53</f>
        <v>Semestral</v>
      </c>
      <c r="O72" s="80">
        <f t="shared" si="7"/>
        <v>6</v>
      </c>
      <c r="W72" s="1"/>
    </row>
    <row r="73" spans="1:23" ht="15" hidden="1" customHeight="1">
      <c r="A73" s="89">
        <v>4</v>
      </c>
      <c r="B73" s="590" t="s">
        <v>632</v>
      </c>
      <c r="C73" s="591"/>
      <c r="D73" s="592"/>
      <c r="E73" s="83" t="s">
        <v>82</v>
      </c>
      <c r="F73" s="83" t="s">
        <v>633</v>
      </c>
      <c r="G73" s="75">
        <f t="shared" si="4"/>
        <v>1</v>
      </c>
      <c r="H73" s="76">
        <f>G73*Mat!G54</f>
        <v>4.91</v>
      </c>
      <c r="I73" s="584" t="str">
        <f t="shared" si="5"/>
        <v>Fornecimento igual ao estimado mensalmente</v>
      </c>
      <c r="J73" s="584"/>
      <c r="K73" s="584"/>
      <c r="L73" s="77">
        <f t="shared" si="6"/>
        <v>1</v>
      </c>
      <c r="M73" s="90">
        <f>Mat!E54</f>
        <v>3</v>
      </c>
      <c r="N73" s="90" t="str">
        <f>Mat!F54</f>
        <v>Trimestral</v>
      </c>
      <c r="O73" s="80">
        <f t="shared" si="7"/>
        <v>3</v>
      </c>
      <c r="W73" s="1"/>
    </row>
    <row r="74" spans="1:23" ht="15" hidden="1" customHeight="1">
      <c r="A74" s="89">
        <v>5</v>
      </c>
      <c r="B74" s="590" t="s">
        <v>634</v>
      </c>
      <c r="C74" s="591"/>
      <c r="D74" s="592"/>
      <c r="E74" s="83" t="s">
        <v>628</v>
      </c>
      <c r="F74" s="83" t="s">
        <v>635</v>
      </c>
      <c r="G74" s="75">
        <f t="shared" si="4"/>
        <v>1</v>
      </c>
      <c r="H74" s="76">
        <f>G74*Mat!G55</f>
        <v>21.67</v>
      </c>
      <c r="I74" s="584" t="str">
        <f t="shared" si="5"/>
        <v>Fornecimento igual ao estimado mensalmente</v>
      </c>
      <c r="J74" s="584"/>
      <c r="K74" s="584"/>
      <c r="L74" s="77">
        <f t="shared" si="6"/>
        <v>1</v>
      </c>
      <c r="M74" s="90">
        <f>Mat!E55</f>
        <v>2</v>
      </c>
      <c r="N74" s="90" t="str">
        <f>Mat!F55</f>
        <v>Bimestral</v>
      </c>
      <c r="O74" s="80">
        <f t="shared" si="7"/>
        <v>2</v>
      </c>
      <c r="W74" s="1"/>
    </row>
    <row r="75" spans="1:23" ht="15" hidden="1" customHeight="1">
      <c r="A75" s="89">
        <v>6</v>
      </c>
      <c r="B75" s="590" t="s">
        <v>83</v>
      </c>
      <c r="C75" s="591"/>
      <c r="D75" s="592"/>
      <c r="E75" s="83" t="s">
        <v>84</v>
      </c>
      <c r="F75" s="83" t="s">
        <v>636</v>
      </c>
      <c r="G75" s="75">
        <f t="shared" si="4"/>
        <v>8.3333333333333329E-2</v>
      </c>
      <c r="H75" s="76">
        <f>G75*Mat!G56</f>
        <v>0.81</v>
      </c>
      <c r="I75" s="584" t="str">
        <f t="shared" si="5"/>
        <v>Fornecimento igual ao estimado mensalmente</v>
      </c>
      <c r="J75" s="584"/>
      <c r="K75" s="584"/>
      <c r="L75" s="77">
        <f t="shared" si="6"/>
        <v>8.3333333333333329E-2</v>
      </c>
      <c r="M75" s="90">
        <f>Mat!E56</f>
        <v>1</v>
      </c>
      <c r="N75" s="90" t="str">
        <f>Mat!F56</f>
        <v>Anual</v>
      </c>
      <c r="O75" s="80">
        <f t="shared" si="7"/>
        <v>12</v>
      </c>
      <c r="W75" s="1"/>
    </row>
    <row r="76" spans="1:23" ht="15" hidden="1" customHeight="1">
      <c r="A76" s="89">
        <v>7</v>
      </c>
      <c r="B76" s="581" t="s">
        <v>637</v>
      </c>
      <c r="C76" s="582"/>
      <c r="D76" s="583"/>
      <c r="E76" s="83" t="s">
        <v>82</v>
      </c>
      <c r="F76" s="83" t="s">
        <v>581</v>
      </c>
      <c r="G76" s="75">
        <f t="shared" si="4"/>
        <v>3</v>
      </c>
      <c r="H76" s="76">
        <f>G76*Mat!G57</f>
        <v>13.86</v>
      </c>
      <c r="I76" s="584" t="str">
        <f t="shared" si="5"/>
        <v>Fornecimento igual ao estimado mensalmente</v>
      </c>
      <c r="J76" s="584"/>
      <c r="K76" s="584"/>
      <c r="L76" s="77">
        <f t="shared" si="6"/>
        <v>3</v>
      </c>
      <c r="M76" s="90">
        <f>Mat!E57</f>
        <v>3</v>
      </c>
      <c r="N76" s="90" t="str">
        <f>Mat!F57</f>
        <v>Mensal</v>
      </c>
      <c r="O76" s="80">
        <f t="shared" si="7"/>
        <v>1</v>
      </c>
      <c r="W76" s="1"/>
    </row>
    <row r="77" spans="1:23" ht="15" hidden="1" customHeight="1">
      <c r="A77" s="89">
        <v>8</v>
      </c>
      <c r="B77" s="581" t="s">
        <v>638</v>
      </c>
      <c r="C77" s="582"/>
      <c r="D77" s="583"/>
      <c r="E77" s="83" t="s">
        <v>82</v>
      </c>
      <c r="F77" s="83" t="s">
        <v>74</v>
      </c>
      <c r="G77" s="75">
        <f t="shared" si="4"/>
        <v>0.16666666666666666</v>
      </c>
      <c r="H77" s="76">
        <f>G77*Mat!G58</f>
        <v>0.52</v>
      </c>
      <c r="I77" s="584" t="str">
        <f t="shared" si="5"/>
        <v>Fornecimento igual ao estimado mensalmente</v>
      </c>
      <c r="J77" s="584"/>
      <c r="K77" s="584"/>
      <c r="L77" s="77">
        <f t="shared" si="6"/>
        <v>0.16666666666666666</v>
      </c>
      <c r="M77" s="90">
        <f>Mat!E58</f>
        <v>1</v>
      </c>
      <c r="N77" s="90" t="str">
        <f>Mat!F58</f>
        <v>Semestral</v>
      </c>
      <c r="O77" s="80">
        <f t="shared" si="7"/>
        <v>6</v>
      </c>
      <c r="W77" s="1"/>
    </row>
    <row r="78" spans="1:23" ht="53.25" hidden="1" customHeight="1">
      <c r="A78" s="89">
        <v>9</v>
      </c>
      <c r="B78" s="590" t="s">
        <v>585</v>
      </c>
      <c r="C78" s="591"/>
      <c r="D78" s="592"/>
      <c r="E78" s="83" t="s">
        <v>82</v>
      </c>
      <c r="F78" s="83" t="s">
        <v>639</v>
      </c>
      <c r="G78" s="75">
        <f t="shared" si="4"/>
        <v>4</v>
      </c>
      <c r="H78" s="76">
        <f>G78*Mat!G59</f>
        <v>18.559999999999999</v>
      </c>
      <c r="I78" s="584" t="str">
        <f t="shared" si="5"/>
        <v>Fornecimento igual ao estimado mensalmente</v>
      </c>
      <c r="J78" s="584"/>
      <c r="K78" s="584"/>
      <c r="L78" s="77">
        <f t="shared" si="6"/>
        <v>4</v>
      </c>
      <c r="M78" s="90">
        <f>Mat!E59</f>
        <v>4</v>
      </c>
      <c r="N78" s="90" t="str">
        <f>Mat!F59</f>
        <v>Mensal</v>
      </c>
      <c r="O78" s="80">
        <f t="shared" si="7"/>
        <v>1</v>
      </c>
      <c r="W78" s="1"/>
    </row>
    <row r="79" spans="1:23" ht="67.5" hidden="1" customHeight="1">
      <c r="A79" s="89">
        <v>10</v>
      </c>
      <c r="B79" s="581" t="s">
        <v>394</v>
      </c>
      <c r="C79" s="582"/>
      <c r="D79" s="583"/>
      <c r="E79" s="83" t="s">
        <v>85</v>
      </c>
      <c r="F79" s="83" t="s">
        <v>86</v>
      </c>
      <c r="G79" s="75">
        <f t="shared" si="4"/>
        <v>1</v>
      </c>
      <c r="H79" s="76">
        <f>G79*Mat!G60</f>
        <v>4.01</v>
      </c>
      <c r="I79" s="584" t="str">
        <f t="shared" si="5"/>
        <v>Fornecimento igual ao estimado mensalmente</v>
      </c>
      <c r="J79" s="584"/>
      <c r="K79" s="584"/>
      <c r="L79" s="77">
        <f t="shared" si="6"/>
        <v>1</v>
      </c>
      <c r="M79" s="90">
        <f>Mat!E60</f>
        <v>3</v>
      </c>
      <c r="N79" s="90" t="str">
        <f>Mat!F60</f>
        <v>Trimestral</v>
      </c>
      <c r="O79" s="80">
        <f t="shared" si="7"/>
        <v>3</v>
      </c>
      <c r="W79" s="1"/>
    </row>
    <row r="80" spans="1:23" ht="65.25" hidden="1" customHeight="1">
      <c r="A80" s="89">
        <v>11</v>
      </c>
      <c r="B80" s="581" t="s">
        <v>640</v>
      </c>
      <c r="C80" s="582"/>
      <c r="D80" s="583"/>
      <c r="E80" s="83" t="s">
        <v>85</v>
      </c>
      <c r="F80" s="83" t="s">
        <v>86</v>
      </c>
      <c r="G80" s="75">
        <f t="shared" si="4"/>
        <v>1</v>
      </c>
      <c r="H80" s="76">
        <f>G80*Mat!G61</f>
        <v>5.23</v>
      </c>
      <c r="I80" s="584" t="str">
        <f t="shared" si="5"/>
        <v>Fornecimento igual ao estimado mensalmente</v>
      </c>
      <c r="J80" s="584"/>
      <c r="K80" s="584"/>
      <c r="L80" s="77">
        <f t="shared" si="6"/>
        <v>1</v>
      </c>
      <c r="M80" s="90">
        <f>Mat!E61</f>
        <v>3</v>
      </c>
      <c r="N80" s="90" t="str">
        <f>Mat!F61</f>
        <v>Trimestral</v>
      </c>
      <c r="O80" s="80">
        <f t="shared" si="7"/>
        <v>3</v>
      </c>
      <c r="W80" s="1"/>
    </row>
    <row r="81" spans="1:23" ht="26.25" hidden="1" customHeight="1">
      <c r="A81" s="89">
        <v>12</v>
      </c>
      <c r="B81" s="590" t="s">
        <v>641</v>
      </c>
      <c r="C81" s="591"/>
      <c r="D81" s="592"/>
      <c r="E81" s="83" t="s">
        <v>85</v>
      </c>
      <c r="F81" s="83" t="s">
        <v>642</v>
      </c>
      <c r="G81" s="75">
        <f t="shared" si="4"/>
        <v>0.66666666666666663</v>
      </c>
      <c r="H81" s="76">
        <f>G81*Mat!G62</f>
        <v>1.7799999999999998</v>
      </c>
      <c r="I81" s="584" t="str">
        <f t="shared" si="5"/>
        <v>Fornecimento igual ao estimado mensalmente</v>
      </c>
      <c r="J81" s="584"/>
      <c r="K81" s="584"/>
      <c r="L81" s="77">
        <f t="shared" si="6"/>
        <v>0.66666666666666663</v>
      </c>
      <c r="M81" s="90">
        <f>Mat!E62</f>
        <v>2</v>
      </c>
      <c r="N81" s="90" t="str">
        <f>Mat!F62</f>
        <v>Trimestral</v>
      </c>
      <c r="O81" s="80">
        <f t="shared" si="7"/>
        <v>3</v>
      </c>
      <c r="W81" s="1"/>
    </row>
    <row r="82" spans="1:23" ht="15" hidden="1" customHeight="1">
      <c r="A82" s="89">
        <v>13</v>
      </c>
      <c r="B82" s="581" t="s">
        <v>643</v>
      </c>
      <c r="C82" s="582"/>
      <c r="D82" s="583"/>
      <c r="E82" s="83" t="s">
        <v>84</v>
      </c>
      <c r="F82" s="83" t="s">
        <v>644</v>
      </c>
      <c r="G82" s="75">
        <f t="shared" si="4"/>
        <v>2</v>
      </c>
      <c r="H82" s="76">
        <f>G82*Mat!G63</f>
        <v>12.6</v>
      </c>
      <c r="I82" s="584" t="str">
        <f t="shared" si="5"/>
        <v>Fornecimento igual ao estimado mensalmente</v>
      </c>
      <c r="J82" s="584"/>
      <c r="K82" s="584"/>
      <c r="L82" s="77">
        <f t="shared" si="6"/>
        <v>2</v>
      </c>
      <c r="M82" s="90">
        <f>Mat!E63</f>
        <v>2</v>
      </c>
      <c r="N82" s="90" t="str">
        <f>Mat!F63</f>
        <v>Mensal</v>
      </c>
      <c r="O82" s="80">
        <f t="shared" si="7"/>
        <v>1</v>
      </c>
      <c r="W82" s="1"/>
    </row>
    <row r="83" spans="1:23" ht="15" hidden="1" customHeight="1">
      <c r="A83" s="89">
        <v>14</v>
      </c>
      <c r="B83" s="581" t="s">
        <v>645</v>
      </c>
      <c r="C83" s="582"/>
      <c r="D83" s="583"/>
      <c r="E83" s="83" t="s">
        <v>84</v>
      </c>
      <c r="F83" s="83" t="s">
        <v>594</v>
      </c>
      <c r="G83" s="75">
        <f t="shared" si="4"/>
        <v>1</v>
      </c>
      <c r="H83" s="76">
        <f>G83*Mat!G64</f>
        <v>14.16</v>
      </c>
      <c r="I83" s="584" t="str">
        <f t="shared" si="5"/>
        <v>Fornecimento igual ao estimado mensalmente</v>
      </c>
      <c r="J83" s="584"/>
      <c r="K83" s="584"/>
      <c r="L83" s="77">
        <f t="shared" si="6"/>
        <v>1</v>
      </c>
      <c r="M83" s="90">
        <f>Mat!E64</f>
        <v>1</v>
      </c>
      <c r="N83" s="90" t="str">
        <f>Mat!F64</f>
        <v>Mensal</v>
      </c>
      <c r="O83" s="80">
        <f t="shared" si="7"/>
        <v>1</v>
      </c>
      <c r="W83" s="1"/>
    </row>
    <row r="84" spans="1:23" ht="29.25" hidden="1" customHeight="1">
      <c r="A84" s="89">
        <v>15</v>
      </c>
      <c r="B84" s="581" t="s">
        <v>646</v>
      </c>
      <c r="C84" s="582"/>
      <c r="D84" s="583"/>
      <c r="E84" s="83" t="s">
        <v>84</v>
      </c>
      <c r="F84" s="83" t="s">
        <v>599</v>
      </c>
      <c r="G84" s="75">
        <f t="shared" si="4"/>
        <v>0.16666666666666666</v>
      </c>
      <c r="H84" s="76">
        <f>G84*Mat!G65</f>
        <v>1.9449999999999998</v>
      </c>
      <c r="I84" s="584" t="str">
        <f t="shared" si="5"/>
        <v>Fornecimento igual ao estimado mensalmente</v>
      </c>
      <c r="J84" s="584"/>
      <c r="K84" s="584"/>
      <c r="L84" s="77">
        <f t="shared" si="6"/>
        <v>0.16666666666666666</v>
      </c>
      <c r="M84" s="90">
        <f>Mat!E65</f>
        <v>1</v>
      </c>
      <c r="N84" s="90" t="str">
        <f>Mat!F65</f>
        <v>Semestral</v>
      </c>
      <c r="O84" s="80">
        <f t="shared" si="7"/>
        <v>6</v>
      </c>
      <c r="W84" s="1"/>
    </row>
    <row r="85" spans="1:23" ht="15" hidden="1" customHeight="1">
      <c r="A85" s="89">
        <v>16</v>
      </c>
      <c r="B85" s="581" t="s">
        <v>647</v>
      </c>
      <c r="C85" s="582"/>
      <c r="D85" s="583"/>
      <c r="E85" s="83" t="s">
        <v>84</v>
      </c>
      <c r="F85" s="83"/>
      <c r="G85" s="75">
        <f t="shared" si="4"/>
        <v>5</v>
      </c>
      <c r="H85" s="76">
        <f>G85*Mat!G66</f>
        <v>34.449999999999996</v>
      </c>
      <c r="I85" s="584" t="str">
        <f t="shared" si="5"/>
        <v>Fornecimento igual ao estimado mensalmente</v>
      </c>
      <c r="J85" s="584"/>
      <c r="K85" s="584"/>
      <c r="L85" s="77">
        <f t="shared" si="6"/>
        <v>5</v>
      </c>
      <c r="M85" s="90">
        <f>Mat!E66</f>
        <v>5</v>
      </c>
      <c r="N85" s="90" t="str">
        <f>Mat!F66</f>
        <v>Mensal</v>
      </c>
      <c r="O85" s="80">
        <f t="shared" si="7"/>
        <v>1</v>
      </c>
      <c r="W85" s="1"/>
    </row>
    <row r="86" spans="1:23" ht="15" hidden="1" customHeight="1">
      <c r="A86" s="89">
        <v>17</v>
      </c>
      <c r="B86" s="581" t="s">
        <v>648</v>
      </c>
      <c r="C86" s="582"/>
      <c r="D86" s="583"/>
      <c r="E86" s="83" t="s">
        <v>84</v>
      </c>
      <c r="F86" s="83" t="s">
        <v>601</v>
      </c>
      <c r="G86" s="75">
        <f t="shared" si="4"/>
        <v>8</v>
      </c>
      <c r="H86" s="76">
        <f>G86*Mat!G67</f>
        <v>33.04</v>
      </c>
      <c r="I86" s="584" t="str">
        <f t="shared" ref="I86:I91" si="8">IF(G86&lt;L86,"Fornecimento inferior ao estimado mensalmente",IF(G86=L86,"Fornecimento igual ao estimado mensalmente",IF(G86&gt;L86,"Fornecimento superior ao estimado mensalmente",)))</f>
        <v>Fornecimento igual ao estimado mensalmente</v>
      </c>
      <c r="J86" s="584"/>
      <c r="K86" s="584"/>
      <c r="L86" s="77">
        <f t="shared" si="6"/>
        <v>8</v>
      </c>
      <c r="M86" s="90">
        <f>Mat!E67</f>
        <v>8</v>
      </c>
      <c r="N86" s="90" t="str">
        <f>Mat!F67</f>
        <v>Mensal</v>
      </c>
      <c r="O86" s="80">
        <f t="shared" si="7"/>
        <v>1</v>
      </c>
      <c r="W86" s="1"/>
    </row>
    <row r="87" spans="1:23" ht="51.75" hidden="1" customHeight="1">
      <c r="A87" s="89">
        <v>18</v>
      </c>
      <c r="B87" s="581" t="s">
        <v>649</v>
      </c>
      <c r="C87" s="582"/>
      <c r="D87" s="583"/>
      <c r="E87" s="83" t="s">
        <v>84</v>
      </c>
      <c r="F87" s="83" t="s">
        <v>650</v>
      </c>
      <c r="G87" s="75">
        <f t="shared" si="4"/>
        <v>0.16666666666666666</v>
      </c>
      <c r="H87" s="76">
        <f>G87*Mat!G68</f>
        <v>2.0549999999999997</v>
      </c>
      <c r="I87" s="584" t="str">
        <f t="shared" si="8"/>
        <v>Fornecimento igual ao estimado mensalmente</v>
      </c>
      <c r="J87" s="584"/>
      <c r="K87" s="584"/>
      <c r="L87" s="77">
        <f t="shared" si="6"/>
        <v>0.16666666666666666</v>
      </c>
      <c r="M87" s="90">
        <f>Mat!E68</f>
        <v>1</v>
      </c>
      <c r="N87" s="90" t="str">
        <f>Mat!F68</f>
        <v>Semestral</v>
      </c>
      <c r="O87" s="80">
        <f t="shared" si="7"/>
        <v>6</v>
      </c>
      <c r="W87" s="1"/>
    </row>
    <row r="88" spans="1:23" ht="15" hidden="1" customHeight="1">
      <c r="A88" s="89">
        <v>19</v>
      </c>
      <c r="B88" s="581" t="s">
        <v>651</v>
      </c>
      <c r="C88" s="582"/>
      <c r="D88" s="583"/>
      <c r="E88" s="83" t="s">
        <v>85</v>
      </c>
      <c r="F88" s="83" t="s">
        <v>652</v>
      </c>
      <c r="G88" s="75">
        <f t="shared" si="4"/>
        <v>1</v>
      </c>
      <c r="H88" s="76">
        <f>G88*Mat!G69</f>
        <v>10.25</v>
      </c>
      <c r="I88" s="584" t="str">
        <f t="shared" si="8"/>
        <v>Fornecimento igual ao estimado mensalmente</v>
      </c>
      <c r="J88" s="584"/>
      <c r="K88" s="584"/>
      <c r="L88" s="77">
        <f t="shared" si="6"/>
        <v>1</v>
      </c>
      <c r="M88" s="90">
        <f>Mat!E69</f>
        <v>1</v>
      </c>
      <c r="N88" s="90" t="str">
        <f>Mat!F69</f>
        <v>Mensal</v>
      </c>
      <c r="O88" s="80">
        <f t="shared" si="7"/>
        <v>1</v>
      </c>
      <c r="W88" s="1"/>
    </row>
    <row r="89" spans="1:23" ht="15" hidden="1" customHeight="1">
      <c r="A89" s="89">
        <v>20</v>
      </c>
      <c r="B89" s="581" t="s">
        <v>612</v>
      </c>
      <c r="C89" s="582"/>
      <c r="D89" s="583"/>
      <c r="E89" s="83" t="s">
        <v>653</v>
      </c>
      <c r="F89" s="83" t="s">
        <v>614</v>
      </c>
      <c r="G89" s="75">
        <f t="shared" si="4"/>
        <v>1</v>
      </c>
      <c r="H89" s="76">
        <f>G89*Mat!G70</f>
        <v>16.27</v>
      </c>
      <c r="I89" s="584" t="str">
        <f t="shared" si="8"/>
        <v>Fornecimento igual ao estimado mensalmente</v>
      </c>
      <c r="J89" s="584"/>
      <c r="K89" s="584"/>
      <c r="L89" s="77">
        <f t="shared" si="6"/>
        <v>1</v>
      </c>
      <c r="M89" s="90">
        <f>Mat!E70</f>
        <v>1</v>
      </c>
      <c r="N89" s="90" t="str">
        <f>Mat!F70</f>
        <v>Mensal</v>
      </c>
      <c r="O89" s="80">
        <f t="shared" si="7"/>
        <v>1</v>
      </c>
      <c r="W89" s="1"/>
    </row>
    <row r="90" spans="1:23" ht="28.5" hidden="1" customHeight="1">
      <c r="A90" s="89">
        <v>21</v>
      </c>
      <c r="B90" s="581" t="s">
        <v>617</v>
      </c>
      <c r="C90" s="582"/>
      <c r="D90" s="583"/>
      <c r="E90" s="83" t="s">
        <v>82</v>
      </c>
      <c r="F90" s="83"/>
      <c r="G90" s="75">
        <f t="shared" si="4"/>
        <v>4</v>
      </c>
      <c r="H90" s="76">
        <f>G90*Mat!G71</f>
        <v>43.4</v>
      </c>
      <c r="I90" s="584" t="str">
        <f t="shared" si="8"/>
        <v>Fornecimento igual ao estimado mensalmente</v>
      </c>
      <c r="J90" s="584"/>
      <c r="K90" s="584"/>
      <c r="L90" s="77">
        <f t="shared" si="6"/>
        <v>4</v>
      </c>
      <c r="M90" s="90">
        <f>Mat!E71</f>
        <v>4</v>
      </c>
      <c r="N90" s="90" t="str">
        <f>Mat!F71</f>
        <v>Mensal</v>
      </c>
      <c r="O90" s="80">
        <f t="shared" si="7"/>
        <v>1</v>
      </c>
      <c r="W90" s="1"/>
    </row>
    <row r="91" spans="1:23" ht="15" hidden="1" customHeight="1">
      <c r="A91" s="89">
        <v>22</v>
      </c>
      <c r="B91" s="581" t="s">
        <v>654</v>
      </c>
      <c r="C91" s="582"/>
      <c r="D91" s="583"/>
      <c r="E91" s="83" t="s">
        <v>619</v>
      </c>
      <c r="F91" s="83" t="s">
        <v>620</v>
      </c>
      <c r="G91" s="75">
        <f t="shared" si="4"/>
        <v>1</v>
      </c>
      <c r="H91" s="76">
        <f>G91*Mat!G72</f>
        <v>16.100000000000001</v>
      </c>
      <c r="I91" s="584" t="str">
        <f t="shared" si="8"/>
        <v>Fornecimento igual ao estimado mensalmente</v>
      </c>
      <c r="J91" s="584"/>
      <c r="K91" s="584"/>
      <c r="L91" s="77">
        <f t="shared" si="6"/>
        <v>1</v>
      </c>
      <c r="M91" s="90">
        <f>Mat!E72</f>
        <v>1</v>
      </c>
      <c r="N91" s="90" t="str">
        <f>Mat!F72</f>
        <v>Mensal</v>
      </c>
      <c r="O91" s="80">
        <f t="shared" si="7"/>
        <v>1</v>
      </c>
      <c r="W91" s="1"/>
    </row>
    <row r="92" spans="1:23" ht="15" hidden="1" customHeight="1">
      <c r="A92" s="89">
        <v>23</v>
      </c>
      <c r="B92" s="581" t="s">
        <v>655</v>
      </c>
      <c r="C92" s="582"/>
      <c r="D92" s="583"/>
      <c r="E92" s="83" t="s">
        <v>82</v>
      </c>
      <c r="F92" s="83" t="s">
        <v>75</v>
      </c>
      <c r="G92" s="75">
        <f t="shared" si="4"/>
        <v>0.33333333333333331</v>
      </c>
      <c r="H92" s="76">
        <f>G92*Mat!G73</f>
        <v>2.0066666666666664</v>
      </c>
      <c r="I92" s="584" t="str">
        <f t="shared" si="5"/>
        <v>Fornecimento igual ao estimado mensalmente</v>
      </c>
      <c r="J92" s="584"/>
      <c r="K92" s="584"/>
      <c r="L92" s="77">
        <f t="shared" si="6"/>
        <v>0.33333333333333331</v>
      </c>
      <c r="M92" s="90">
        <f>Mat!E73</f>
        <v>1</v>
      </c>
      <c r="N92" s="90" t="str">
        <f>Mat!F73</f>
        <v>Trimestral</v>
      </c>
      <c r="O92" s="80">
        <f t="shared" si="7"/>
        <v>3</v>
      </c>
      <c r="W92" s="1"/>
    </row>
    <row r="93" spans="1:23" ht="15.75" hidden="1" customHeight="1" thickBot="1">
      <c r="A93" s="91">
        <v>24</v>
      </c>
      <c r="B93" s="587" t="s">
        <v>624</v>
      </c>
      <c r="C93" s="588"/>
      <c r="D93" s="589"/>
      <c r="E93" s="83" t="s">
        <v>82</v>
      </c>
      <c r="F93" s="83" t="s">
        <v>656</v>
      </c>
      <c r="G93" s="75">
        <f t="shared" si="4"/>
        <v>0.16666666666666666</v>
      </c>
      <c r="H93" s="76">
        <f>G93*Mat!G74</f>
        <v>2.6633333333333331</v>
      </c>
      <c r="I93" s="585" t="str">
        <f t="shared" si="5"/>
        <v>Fornecimento igual ao estimado mensalmente</v>
      </c>
      <c r="J93" s="585"/>
      <c r="K93" s="585"/>
      <c r="L93" s="77">
        <f t="shared" si="6"/>
        <v>0.16666666666666666</v>
      </c>
      <c r="M93" s="90">
        <f>Mat!E74</f>
        <v>1</v>
      </c>
      <c r="N93" s="90" t="str">
        <f>Mat!F74</f>
        <v>Semestral</v>
      </c>
      <c r="O93" s="80">
        <f t="shared" si="7"/>
        <v>6</v>
      </c>
      <c r="W93" s="1"/>
    </row>
    <row r="94" spans="1:23" ht="15" hidden="1" customHeight="1">
      <c r="A94" s="586" t="s">
        <v>76</v>
      </c>
      <c r="B94" s="586"/>
      <c r="C94" s="586"/>
      <c r="D94" s="586"/>
      <c r="E94" s="586"/>
      <c r="F94" s="586"/>
      <c r="G94" s="586"/>
      <c r="H94" s="92">
        <f>SUM(H70:H93)</f>
        <v>280.19833333333338</v>
      </c>
      <c r="I94" s="58"/>
      <c r="J94" s="58"/>
      <c r="K94" s="1"/>
      <c r="L94" s="69"/>
      <c r="M94" s="69"/>
      <c r="N94" s="69"/>
      <c r="V94" s="1"/>
      <c r="W94" s="1"/>
    </row>
    <row r="95" spans="1:23" ht="15" hidden="1" customHeight="1">
      <c r="A95" s="579" t="s">
        <v>77</v>
      </c>
      <c r="B95" s="579"/>
      <c r="C95" s="579"/>
      <c r="D95" s="579"/>
      <c r="E95" s="579"/>
      <c r="F95" s="579"/>
      <c r="G95" s="86">
        <f>Dados!$G$43</f>
        <v>0.03</v>
      </c>
      <c r="H95" s="87">
        <f>ROUND((H94*G95),2)</f>
        <v>8.41</v>
      </c>
      <c r="I95" s="69"/>
      <c r="J95" s="69"/>
      <c r="K95" s="1"/>
      <c r="L95" s="69"/>
      <c r="M95" s="69"/>
      <c r="N95" s="69"/>
      <c r="V95" s="1"/>
      <c r="W95" s="1"/>
    </row>
    <row r="96" spans="1:23" ht="15" hidden="1" customHeight="1">
      <c r="A96" s="579" t="s">
        <v>78</v>
      </c>
      <c r="B96" s="579"/>
      <c r="C96" s="579"/>
      <c r="D96" s="579"/>
      <c r="E96" s="579"/>
      <c r="F96" s="579"/>
      <c r="G96" s="86">
        <f>Dados!$G$44</f>
        <v>6.7900000000000002E-2</v>
      </c>
      <c r="H96" s="87">
        <f>ROUND((SUM(H94:H95)*G96),2)</f>
        <v>19.600000000000001</v>
      </c>
      <c r="I96" s="69"/>
      <c r="J96" s="69"/>
      <c r="K96" s="1"/>
      <c r="L96" s="69"/>
      <c r="M96" s="69"/>
      <c r="N96" s="69"/>
      <c r="V96" s="1"/>
      <c r="W96" s="1"/>
    </row>
    <row r="97" spans="1:23" ht="15" hidden="1" customHeight="1">
      <c r="A97" s="579" t="s">
        <v>79</v>
      </c>
      <c r="B97" s="579"/>
      <c r="C97" s="579"/>
      <c r="D97" s="579"/>
      <c r="E97" s="579"/>
      <c r="F97" s="579"/>
      <c r="G97" s="86">
        <f>Dados!$G$55</f>
        <v>0.14250000000000002</v>
      </c>
      <c r="H97" s="87">
        <f>ROUND((H98*G97),2)</f>
        <v>51.22</v>
      </c>
      <c r="I97" s="69"/>
      <c r="J97" s="69"/>
      <c r="K97" s="1"/>
      <c r="L97" s="69"/>
      <c r="M97" s="69"/>
      <c r="N97" s="69"/>
      <c r="V97" s="1"/>
      <c r="W97" s="1"/>
    </row>
    <row r="98" spans="1:23" ht="15.75" hidden="1" customHeight="1">
      <c r="A98" s="580" t="s">
        <v>87</v>
      </c>
      <c r="B98" s="580"/>
      <c r="C98" s="580"/>
      <c r="D98" s="580"/>
      <c r="E98" s="580"/>
      <c r="F98" s="580"/>
      <c r="G98" s="580"/>
      <c r="H98" s="88">
        <f>ROUND((SUM(H94:H96)/(1-G97)),2)</f>
        <v>359.43</v>
      </c>
      <c r="I98" s="69"/>
      <c r="J98" s="69"/>
      <c r="K98" s="1"/>
      <c r="L98" s="69"/>
      <c r="M98" s="69"/>
      <c r="N98" s="69"/>
      <c r="V98" s="1"/>
      <c r="W98" s="1"/>
    </row>
    <row r="99" spans="1:23" hidden="1">
      <c r="A99" s="64"/>
      <c r="B99" s="69"/>
      <c r="C99" s="69"/>
      <c r="D99" s="69"/>
      <c r="E99" s="69"/>
      <c r="F99" s="69"/>
      <c r="G99" s="64"/>
      <c r="H99" s="69"/>
      <c r="I99" s="69"/>
      <c r="J99" s="69"/>
      <c r="K99" s="1"/>
      <c r="L99" s="69"/>
      <c r="M99" s="69"/>
      <c r="N99" s="69"/>
      <c r="V99" s="1"/>
      <c r="W99" s="1"/>
    </row>
    <row r="100" spans="1:23" hidden="1">
      <c r="L100" s="1"/>
      <c r="M100" s="1"/>
      <c r="P100" s="3"/>
      <c r="Q100" s="3"/>
      <c r="V100" s="1"/>
      <c r="W100" s="1"/>
    </row>
    <row r="101" spans="1:23" hidden="1"/>
    <row r="102" spans="1:23" hidden="1">
      <c r="B102" s="578" t="s">
        <v>88</v>
      </c>
      <c r="C102" s="578"/>
    </row>
    <row r="103" spans="1:23" hidden="1">
      <c r="B103" s="93" t="s">
        <v>89</v>
      </c>
      <c r="C103" s="94">
        <v>22</v>
      </c>
      <c r="D103" s="1" t="s">
        <v>90</v>
      </c>
    </row>
    <row r="104" spans="1:23" hidden="1">
      <c r="B104" s="93" t="s">
        <v>5</v>
      </c>
      <c r="C104" s="95">
        <v>30</v>
      </c>
      <c r="D104" s="1" t="s">
        <v>91</v>
      </c>
    </row>
    <row r="105" spans="1:23" hidden="1">
      <c r="B105" s="93" t="s">
        <v>92</v>
      </c>
      <c r="C105" s="95" t="s">
        <v>93</v>
      </c>
      <c r="D105" s="1" t="s">
        <v>94</v>
      </c>
    </row>
    <row r="106" spans="1:23" hidden="1"/>
    <row r="107" spans="1:23" hidden="1">
      <c r="B107" s="93" t="s">
        <v>95</v>
      </c>
      <c r="C107" s="93" t="s">
        <v>96</v>
      </c>
    </row>
    <row r="108" spans="1:23" hidden="1">
      <c r="B108" s="93">
        <v>220</v>
      </c>
      <c r="C108" s="93">
        <v>8.8000000000000007</v>
      </c>
    </row>
    <row r="109" spans="1:23" hidden="1">
      <c r="B109" s="93">
        <v>200</v>
      </c>
      <c r="C109" s="93">
        <v>8</v>
      </c>
    </row>
    <row r="110" spans="1:23" hidden="1">
      <c r="B110" s="93">
        <v>180</v>
      </c>
      <c r="C110" s="93">
        <v>7.2</v>
      </c>
    </row>
    <row r="111" spans="1:23" hidden="1">
      <c r="B111" s="93">
        <v>150</v>
      </c>
      <c r="C111" s="93">
        <v>6</v>
      </c>
    </row>
    <row r="112" spans="1:23" hidden="1">
      <c r="B112" s="93">
        <v>120</v>
      </c>
      <c r="C112" s="93">
        <v>4.8</v>
      </c>
    </row>
    <row r="113" spans="2:3" hidden="1">
      <c r="B113" s="93">
        <v>100</v>
      </c>
      <c r="C113" s="93">
        <v>4</v>
      </c>
    </row>
    <row r="114" spans="2:3" hidden="1">
      <c r="B114" s="93">
        <v>75</v>
      </c>
      <c r="C114" s="93">
        <v>3</v>
      </c>
    </row>
    <row r="115" spans="2:3" hidden="1"/>
    <row r="116" spans="2:3" hidden="1">
      <c r="B116" s="93" t="s">
        <v>97</v>
      </c>
    </row>
    <row r="117" spans="2:3" hidden="1">
      <c r="B117" s="96">
        <v>0</v>
      </c>
    </row>
    <row r="118" spans="2:3" hidden="1">
      <c r="B118" s="96">
        <v>1</v>
      </c>
    </row>
    <row r="119" spans="2:3" hidden="1">
      <c r="B119" s="96">
        <v>2</v>
      </c>
    </row>
  </sheetData>
  <sheetProtection algorithmName="SHA-512" hashValue="VLtD2I8IWxo+LiroI3O8qpXLHrkhQAH9KIZKqMjbD9Drsp8NRNIJkNKQY/Jr15BYbCshisiNaRU37a7DvH+koA==" saltValue="6PBUr39ZxsL2fTdnGtKvPg==" spinCount="100000" sheet="1" objects="1" scenarios="1"/>
  <mergeCells count="170">
    <mergeCell ref="C2:S2"/>
    <mergeCell ref="C3:S3"/>
    <mergeCell ref="A4:C4"/>
    <mergeCell ref="D4:E4"/>
    <mergeCell ref="A5:C5"/>
    <mergeCell ref="A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T7:W9"/>
    <mergeCell ref="A15:G15"/>
    <mergeCell ref="I15:J15"/>
    <mergeCell ref="A18:B19"/>
    <mergeCell ref="A20:F21"/>
    <mergeCell ref="A24:A25"/>
    <mergeCell ref="B24:E24"/>
    <mergeCell ref="F24:H24"/>
    <mergeCell ref="I24:K25"/>
    <mergeCell ref="L24:O24"/>
    <mergeCell ref="B25:D25"/>
    <mergeCell ref="B26:D26"/>
    <mergeCell ref="I26:K26"/>
    <mergeCell ref="B27:D27"/>
    <mergeCell ref="I27:K27"/>
    <mergeCell ref="B28:D28"/>
    <mergeCell ref="I28:K28"/>
    <mergeCell ref="B29:D29"/>
    <mergeCell ref="I29:K29"/>
    <mergeCell ref="B30:D30"/>
    <mergeCell ref="I30:K30"/>
    <mergeCell ref="B31:D31"/>
    <mergeCell ref="I31:K31"/>
    <mergeCell ref="B32:D32"/>
    <mergeCell ref="I32:K32"/>
    <mergeCell ref="B33:D33"/>
    <mergeCell ref="I33:K33"/>
    <mergeCell ref="B34:D34"/>
    <mergeCell ref="I34:K34"/>
    <mergeCell ref="B35:D35"/>
    <mergeCell ref="I35:K35"/>
    <mergeCell ref="B36:D36"/>
    <mergeCell ref="I36:K36"/>
    <mergeCell ref="B37:D37"/>
    <mergeCell ref="I37:K37"/>
    <mergeCell ref="B38:D38"/>
    <mergeCell ref="I38:K38"/>
    <mergeCell ref="B39:D39"/>
    <mergeCell ref="I39:K39"/>
    <mergeCell ref="B40:D40"/>
    <mergeCell ref="I40:K40"/>
    <mergeCell ref="B41:D41"/>
    <mergeCell ref="I41:K41"/>
    <mergeCell ref="B42:D42"/>
    <mergeCell ref="I42:K42"/>
    <mergeCell ref="B43:D43"/>
    <mergeCell ref="I43:K43"/>
    <mergeCell ref="B44:D44"/>
    <mergeCell ref="I44:K44"/>
    <mergeCell ref="B45:D45"/>
    <mergeCell ref="I45:K45"/>
    <mergeCell ref="B46:D46"/>
    <mergeCell ref="I46:K46"/>
    <mergeCell ref="B47:D47"/>
    <mergeCell ref="I47:K47"/>
    <mergeCell ref="B48:D48"/>
    <mergeCell ref="I48:K48"/>
    <mergeCell ref="B49:D49"/>
    <mergeCell ref="I49:K49"/>
    <mergeCell ref="B50:D50"/>
    <mergeCell ref="I50:K50"/>
    <mergeCell ref="B51:D51"/>
    <mergeCell ref="I51:K51"/>
    <mergeCell ref="B52:D52"/>
    <mergeCell ref="I52:K52"/>
    <mergeCell ref="B53:D53"/>
    <mergeCell ref="I53:K53"/>
    <mergeCell ref="B54:D54"/>
    <mergeCell ref="I54:K54"/>
    <mergeCell ref="B55:D55"/>
    <mergeCell ref="I55:K55"/>
    <mergeCell ref="B61:D61"/>
    <mergeCell ref="I61:K61"/>
    <mergeCell ref="A62:G62"/>
    <mergeCell ref="B56:D56"/>
    <mergeCell ref="I56:K56"/>
    <mergeCell ref="B57:D57"/>
    <mergeCell ref="I57:K57"/>
    <mergeCell ref="B58:D58"/>
    <mergeCell ref="I58:K58"/>
    <mergeCell ref="B59:D59"/>
    <mergeCell ref="I59:K59"/>
    <mergeCell ref="B60:D60"/>
    <mergeCell ref="I60:K60"/>
    <mergeCell ref="A63:F63"/>
    <mergeCell ref="A64:F64"/>
    <mergeCell ref="A65:F65"/>
    <mergeCell ref="A66:G66"/>
    <mergeCell ref="A68:A69"/>
    <mergeCell ref="B68:E68"/>
    <mergeCell ref="F68:H68"/>
    <mergeCell ref="I68:K69"/>
    <mergeCell ref="L68:O68"/>
    <mergeCell ref="B69:D69"/>
    <mergeCell ref="B70:D70"/>
    <mergeCell ref="I70:K70"/>
    <mergeCell ref="B71:D71"/>
    <mergeCell ref="I71:K71"/>
    <mergeCell ref="B72:D72"/>
    <mergeCell ref="I72:K72"/>
    <mergeCell ref="B73:D73"/>
    <mergeCell ref="I73:K73"/>
    <mergeCell ref="B74:D74"/>
    <mergeCell ref="I74:K74"/>
    <mergeCell ref="B75:D75"/>
    <mergeCell ref="I75:K75"/>
    <mergeCell ref="B76:D76"/>
    <mergeCell ref="I76:K76"/>
    <mergeCell ref="B77:D77"/>
    <mergeCell ref="I77:K77"/>
    <mergeCell ref="B78:D78"/>
    <mergeCell ref="I78:K78"/>
    <mergeCell ref="B79:D79"/>
    <mergeCell ref="I79:K79"/>
    <mergeCell ref="B80:D80"/>
    <mergeCell ref="I80:K80"/>
    <mergeCell ref="B81:D81"/>
    <mergeCell ref="I81:K81"/>
    <mergeCell ref="B82:D82"/>
    <mergeCell ref="I82:K82"/>
    <mergeCell ref="B83:D83"/>
    <mergeCell ref="I83:K83"/>
    <mergeCell ref="B84:D84"/>
    <mergeCell ref="I84:K84"/>
    <mergeCell ref="B102:C102"/>
    <mergeCell ref="A97:F97"/>
    <mergeCell ref="A98:G98"/>
    <mergeCell ref="B85:D85"/>
    <mergeCell ref="I85:K85"/>
    <mergeCell ref="B91:D91"/>
    <mergeCell ref="I92:K92"/>
    <mergeCell ref="B92:D92"/>
    <mergeCell ref="I93:K93"/>
    <mergeCell ref="A94:G94"/>
    <mergeCell ref="A95:F95"/>
    <mergeCell ref="A96:F96"/>
    <mergeCell ref="B86:D86"/>
    <mergeCell ref="B87:D87"/>
    <mergeCell ref="B88:D88"/>
    <mergeCell ref="B89:D89"/>
    <mergeCell ref="B90:D90"/>
    <mergeCell ref="B93:D93"/>
    <mergeCell ref="I86:K86"/>
    <mergeCell ref="I87:K87"/>
    <mergeCell ref="I88:K88"/>
    <mergeCell ref="I89:K89"/>
    <mergeCell ref="I90:K90"/>
    <mergeCell ref="I91:K91"/>
  </mergeCells>
  <conditionalFormatting sqref="I26:I61 I70:I93">
    <cfRule type="containsText" dxfId="1" priority="2" operator="containsText" text="inferior">
      <formula>NOT(ISERROR(SEARCH("inferior",I26)))</formula>
    </cfRule>
    <cfRule type="containsText" dxfId="0" priority="3" operator="containsText" text="superior">
      <formula>NOT(ISERROR(SEARCH("superior",I26)))</formula>
    </cfRule>
  </conditionalFormatting>
  <dataValidations count="7">
    <dataValidation type="list" allowBlank="1" showInputMessage="1" showErrorMessage="1" sqref="N26:N61">
      <formula1>"Mensal,Bimestral,Trimestral,Quadrimestral,Semestral,Anual,Bienal"</formula1>
      <formula2>0</formula2>
    </dataValidation>
    <dataValidation type="list" allowBlank="1" showInputMessage="1" showErrorMessage="1" sqref="C19">
      <formula1>$B$108:$B$114</formula1>
      <formula2>0</formula2>
    </dataValidation>
    <dataValidation type="list" allowBlank="1" showInputMessage="1" showErrorMessage="1" sqref="D14">
      <formula1>$B$117:$B$119</formula1>
      <formula2>0</formula2>
    </dataValidation>
    <dataValidation type="list" allowBlank="1" showInputMessage="1" showErrorMessage="1" sqref="D4:E4">
      <formula1>"PLANILHA PARA LICITAÇÃO (PRECIFICAÇÃO),PLANILHA PARA FATURAMENTO"</formula1>
      <formula2>0</formula2>
    </dataValidation>
    <dataValidation type="list" allowBlank="1" showInputMessage="1" showErrorMessage="1" sqref="D5">
      <formula1>$B$103:$B$105</formula1>
      <formula2>0</formula2>
    </dataValidation>
    <dataValidation type="list" allowBlank="1" showInputMessage="1" showErrorMessage="1" sqref="E11:E14">
      <formula1>"SIM,NÃO"</formula1>
      <formula2>0</formula2>
    </dataValidation>
    <dataValidation type="list" allowBlank="1" showInputMessage="1" showErrorMessage="1" sqref="D11:D13">
      <formula1>$B$117:$B$118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7"/>
  <sheetViews>
    <sheetView showGridLines="0" view="pageBreakPreview" zoomScale="140" zoomScaleNormal="100" zoomScalePageLayoutView="140" workbookViewId="0">
      <selection activeCell="F15" sqref="F15"/>
    </sheetView>
  </sheetViews>
  <sheetFormatPr defaultColWidth="8.6640625" defaultRowHeight="14.4"/>
  <cols>
    <col min="1" max="1" width="10.5546875" style="69" customWidth="1"/>
    <col min="2" max="2" width="27.6640625" style="69" customWidth="1"/>
    <col min="3" max="3" width="14.44140625" style="69" customWidth="1"/>
    <col min="4" max="5" width="15" style="69" customWidth="1"/>
    <col min="6" max="6" width="16.6640625" style="329" customWidth="1"/>
    <col min="7" max="8" width="13.109375" style="329" customWidth="1"/>
    <col min="9" max="10" width="12.5546875" style="329" customWidth="1"/>
    <col min="11" max="257" width="9.109375" style="69" customWidth="1"/>
    <col min="258" max="258" width="10.5546875" style="69" customWidth="1"/>
    <col min="259" max="259" width="27.6640625" style="69" customWidth="1"/>
    <col min="260" max="260" width="14.44140625" style="69" customWidth="1"/>
    <col min="261" max="262" width="15" style="69" customWidth="1"/>
    <col min="263" max="263" width="16.6640625" style="69" customWidth="1"/>
    <col min="264" max="264" width="13.109375" style="69" customWidth="1"/>
    <col min="265" max="266" width="12.5546875" style="69" customWidth="1"/>
    <col min="267" max="513" width="9.109375" style="69" customWidth="1"/>
    <col min="514" max="514" width="10.5546875" style="69" customWidth="1"/>
    <col min="515" max="515" width="27.6640625" style="69" customWidth="1"/>
    <col min="516" max="516" width="14.44140625" style="69" customWidth="1"/>
    <col min="517" max="518" width="15" style="69" customWidth="1"/>
    <col min="519" max="519" width="16.6640625" style="69" customWidth="1"/>
    <col min="520" max="520" width="13.109375" style="69" customWidth="1"/>
    <col min="521" max="522" width="12.5546875" style="69" customWidth="1"/>
    <col min="523" max="769" width="9.109375" style="69" customWidth="1"/>
    <col min="770" max="770" width="10.5546875" style="69" customWidth="1"/>
    <col min="771" max="771" width="27.6640625" style="69" customWidth="1"/>
    <col min="772" max="772" width="14.44140625" style="69" customWidth="1"/>
    <col min="773" max="774" width="15" style="69" customWidth="1"/>
    <col min="775" max="775" width="16.6640625" style="69" customWidth="1"/>
    <col min="776" max="776" width="13.109375" style="69" customWidth="1"/>
    <col min="777" max="778" width="12.5546875" style="69" customWidth="1"/>
    <col min="779" max="1025" width="9.109375" style="69" customWidth="1"/>
  </cols>
  <sheetData>
    <row r="1" spans="1:10">
      <c r="A1" s="330"/>
      <c r="B1" s="99" t="str">
        <f>INSTRUÇÕES!B1</f>
        <v>Tribunal Regional Federal da 6ª Região</v>
      </c>
      <c r="C1" s="331"/>
      <c r="D1" s="331"/>
      <c r="E1" s="331"/>
      <c r="F1" s="332"/>
      <c r="G1" s="333"/>
      <c r="H1" s="333"/>
      <c r="I1" s="332"/>
      <c r="J1" s="334"/>
    </row>
    <row r="2" spans="1:10">
      <c r="A2" s="335"/>
      <c r="B2" s="101" t="str">
        <f>INSTRUÇÕES!B2</f>
        <v>Seção Judiciária de Minas Gerais</v>
      </c>
      <c r="C2" s="58"/>
      <c r="D2" s="58"/>
      <c r="E2" s="58"/>
      <c r="F2" s="336"/>
      <c r="I2" s="336"/>
      <c r="J2" s="337"/>
    </row>
    <row r="3" spans="1:10">
      <c r="A3" s="169"/>
      <c r="B3" s="338" t="str">
        <f>INSTRUÇÕES!B3</f>
        <v>Subseção Judiciária de Poços de Caldas</v>
      </c>
      <c r="C3" s="58"/>
      <c r="D3" s="58"/>
      <c r="E3" s="58"/>
      <c r="F3" s="336"/>
      <c r="I3" s="336"/>
      <c r="J3" s="337"/>
    </row>
    <row r="4" spans="1:10" ht="19.5" customHeight="1">
      <c r="A4" s="722" t="s">
        <v>426</v>
      </c>
      <c r="B4" s="722"/>
      <c r="C4" s="722"/>
      <c r="D4" s="722"/>
      <c r="E4" s="722"/>
      <c r="F4" s="722"/>
      <c r="G4" s="722"/>
      <c r="H4" s="722"/>
      <c r="I4" s="722"/>
      <c r="J4" s="722"/>
    </row>
    <row r="5" spans="1:10" ht="19.5" customHeight="1">
      <c r="A5" s="723" t="s">
        <v>696</v>
      </c>
      <c r="B5" s="723"/>
      <c r="C5" s="723"/>
      <c r="D5" s="723"/>
      <c r="E5" s="723"/>
      <c r="F5" s="723"/>
      <c r="G5" s="723"/>
      <c r="H5" s="723"/>
      <c r="I5" s="723"/>
      <c r="J5" s="723"/>
    </row>
    <row r="6" spans="1:10" ht="36" customHeight="1">
      <c r="A6" s="724" t="str">
        <f>Dados!A4</f>
        <v>Sindicato utilizado - SINTAPPI/MG. Vigência: 01/04/2024 à 31/03/2025. Sendo a data base da categoria 01º de Abril. Com número de registro no MTE MG002103/2024.</v>
      </c>
      <c r="B6" s="724"/>
      <c r="C6" s="724"/>
      <c r="D6" s="724"/>
      <c r="E6" s="724"/>
      <c r="F6" s="724"/>
      <c r="G6" s="724"/>
      <c r="H6" s="724"/>
      <c r="I6" s="724"/>
      <c r="J6" s="724"/>
    </row>
    <row r="7" spans="1:10" ht="19.5" customHeight="1">
      <c r="A7" s="725" t="str">
        <f>Dados!C8</f>
        <v>Servente de Limpeza  ac. Copeira</v>
      </c>
      <c r="B7" s="725"/>
      <c r="C7" s="725"/>
      <c r="D7" s="725"/>
      <c r="E7" s="725"/>
      <c r="F7" s="726" t="s">
        <v>427</v>
      </c>
      <c r="G7" s="726" t="s">
        <v>428</v>
      </c>
      <c r="H7" s="726" t="s">
        <v>429</v>
      </c>
      <c r="I7" s="726" t="s">
        <v>430</v>
      </c>
      <c r="J7" s="726" t="s">
        <v>431</v>
      </c>
    </row>
    <row r="8" spans="1:10" ht="19.5" customHeight="1">
      <c r="A8" s="727" t="s">
        <v>432</v>
      </c>
      <c r="B8" s="727"/>
      <c r="C8" s="727"/>
      <c r="D8" s="727"/>
      <c r="E8" s="507" t="s">
        <v>395</v>
      </c>
      <c r="F8" s="726"/>
      <c r="G8" s="726"/>
      <c r="H8" s="726"/>
      <c r="I8" s="726"/>
      <c r="J8" s="726"/>
    </row>
    <row r="9" spans="1:10" ht="19.5" customHeight="1">
      <c r="A9" s="706" t="s">
        <v>433</v>
      </c>
      <c r="B9" s="706"/>
      <c r="C9" s="706"/>
      <c r="D9" s="706"/>
      <c r="E9" s="706"/>
      <c r="F9" s="706"/>
      <c r="G9" s="706"/>
      <c r="H9" s="706"/>
      <c r="I9" s="706"/>
      <c r="J9" s="706"/>
    </row>
    <row r="10" spans="1:10" ht="24" customHeight="1">
      <c r="A10" s="508" t="s">
        <v>396</v>
      </c>
      <c r="B10" s="716" t="s">
        <v>434</v>
      </c>
      <c r="C10" s="716"/>
      <c r="D10" s="509" t="s">
        <v>435</v>
      </c>
      <c r="E10" s="510" t="s">
        <v>436</v>
      </c>
      <c r="F10" s="717" t="s">
        <v>399</v>
      </c>
      <c r="G10" s="717"/>
      <c r="H10" s="717"/>
      <c r="I10" s="717"/>
      <c r="J10" s="717"/>
    </row>
    <row r="11" spans="1:10" ht="19.5" customHeight="1">
      <c r="A11" s="718">
        <v>1</v>
      </c>
      <c r="B11" s="719" t="str">
        <f>A7</f>
        <v>Servente de Limpeza  ac. Copeira</v>
      </c>
      <c r="C11" s="719"/>
      <c r="D11" s="511">
        <f>Dados!D8</f>
        <v>220</v>
      </c>
      <c r="E11" s="339">
        <f>Dados!E8</f>
        <v>1526.8</v>
      </c>
      <c r="F11" s="224">
        <f>ROUND(E11/220*D11,2)</f>
        <v>1526.8</v>
      </c>
      <c r="G11" s="224">
        <f>F11</f>
        <v>1526.8</v>
      </c>
      <c r="H11" s="224"/>
      <c r="I11" s="224"/>
      <c r="J11" s="340"/>
    </row>
    <row r="12" spans="1:10" ht="19.5" customHeight="1">
      <c r="A12" s="718"/>
      <c r="B12" s="719" t="s">
        <v>437</v>
      </c>
      <c r="C12" s="719"/>
      <c r="D12" s="532">
        <f>Dados!G8</f>
        <v>0</v>
      </c>
      <c r="E12" s="339">
        <f>Dados!G27</f>
        <v>1412</v>
      </c>
      <c r="F12" s="224">
        <f>D12*E12</f>
        <v>0</v>
      </c>
      <c r="G12" s="224">
        <f>F12</f>
        <v>0</v>
      </c>
      <c r="H12" s="224"/>
      <c r="I12" s="224"/>
      <c r="J12" s="340">
        <f>F12</f>
        <v>0</v>
      </c>
    </row>
    <row r="13" spans="1:10" ht="21" customHeight="1">
      <c r="A13" s="718"/>
      <c r="B13" s="513" t="s">
        <v>438</v>
      </c>
      <c r="C13" s="514">
        <f>Dados!I8</f>
        <v>0.12</v>
      </c>
      <c r="D13" s="514">
        <f>Dados!J8</f>
        <v>0.25</v>
      </c>
      <c r="E13" s="341">
        <f>Dados!K8</f>
        <v>1526.8</v>
      </c>
      <c r="F13" s="342">
        <f>ROUND((E13*D13*C13),2)</f>
        <v>45.8</v>
      </c>
      <c r="G13" s="342">
        <f>F13</f>
        <v>45.8</v>
      </c>
      <c r="H13" s="342"/>
      <c r="I13" s="342"/>
      <c r="J13" s="343"/>
    </row>
    <row r="14" spans="1:10" ht="19.5" customHeight="1">
      <c r="A14" s="718"/>
      <c r="B14" s="720" t="s">
        <v>439</v>
      </c>
      <c r="C14" s="720"/>
      <c r="D14" s="720"/>
      <c r="E14" s="720"/>
      <c r="F14" s="344">
        <f>SUM(F11:F13)</f>
        <v>1572.6</v>
      </c>
      <c r="G14" s="344">
        <f>SUM(G11:G13)</f>
        <v>1572.6</v>
      </c>
      <c r="H14" s="344">
        <f>SUM(H11:H13)</f>
        <v>0</v>
      </c>
      <c r="I14" s="344">
        <f>SUM(I11:I13)</f>
        <v>0</v>
      </c>
      <c r="J14" s="345">
        <f>SUM(J11:J13)</f>
        <v>0</v>
      </c>
    </row>
    <row r="15" spans="1:10" ht="19.5" customHeight="1">
      <c r="A15" s="718"/>
      <c r="B15" s="721" t="s">
        <v>440</v>
      </c>
      <c r="C15" s="721"/>
      <c r="D15" s="721"/>
      <c r="E15" s="515">
        <f>Encargos!$C$57</f>
        <v>0.76400000000000001</v>
      </c>
      <c r="F15" s="224">
        <f>ROUND((E15*F14),2)</f>
        <v>1201.47</v>
      </c>
      <c r="G15" s="224">
        <f>F15</f>
        <v>1201.47</v>
      </c>
      <c r="H15" s="224"/>
      <c r="I15" s="224"/>
      <c r="J15" s="340">
        <f>ROUND((E15*J14),2)</f>
        <v>0</v>
      </c>
    </row>
    <row r="16" spans="1:10" ht="19.5" customHeight="1">
      <c r="A16" s="712" t="s">
        <v>441</v>
      </c>
      <c r="B16" s="712"/>
      <c r="C16" s="712"/>
      <c r="D16" s="712"/>
      <c r="E16" s="712"/>
      <c r="F16" s="346">
        <f>SUM(F14:F15)</f>
        <v>2774.0699999999997</v>
      </c>
      <c r="G16" s="346">
        <f>SUM(G14:G15)</f>
        <v>2774.0699999999997</v>
      </c>
      <c r="H16" s="346">
        <f>SUM(H14:H15)</f>
        <v>0</v>
      </c>
      <c r="I16" s="346">
        <f>SUM(I14:I15)</f>
        <v>0</v>
      </c>
      <c r="J16" s="347">
        <f>SUM(J14:J15)</f>
        <v>0</v>
      </c>
    </row>
    <row r="17" spans="1:12" ht="19.5" customHeight="1">
      <c r="A17" s="713" t="s">
        <v>442</v>
      </c>
      <c r="B17" s="713"/>
      <c r="C17" s="713"/>
      <c r="D17" s="713"/>
      <c r="E17" s="713"/>
      <c r="F17" s="713"/>
      <c r="G17" s="713"/>
      <c r="H17" s="713"/>
      <c r="I17" s="713"/>
      <c r="J17" s="713"/>
    </row>
    <row r="18" spans="1:12" ht="19.5" customHeight="1">
      <c r="A18" s="707" t="s">
        <v>443</v>
      </c>
      <c r="B18" s="707"/>
      <c r="C18" s="38" t="s">
        <v>398</v>
      </c>
      <c r="D18" s="714" t="s">
        <v>463</v>
      </c>
      <c r="E18" s="714"/>
      <c r="F18" s="715" t="s">
        <v>399</v>
      </c>
      <c r="G18" s="715"/>
      <c r="H18" s="715"/>
      <c r="I18" s="715"/>
      <c r="J18" s="715"/>
    </row>
    <row r="19" spans="1:12" ht="19.5" customHeight="1">
      <c r="A19" s="698" t="s">
        <v>445</v>
      </c>
      <c r="B19" s="698"/>
      <c r="C19" s="349"/>
      <c r="D19" s="349"/>
      <c r="E19" s="349"/>
      <c r="F19" s="224">
        <f>Dados!$N$8</f>
        <v>71.260000000000005</v>
      </c>
      <c r="G19" s="224">
        <f t="shared" ref="G19:G24" si="0">F19</f>
        <v>71.260000000000005</v>
      </c>
      <c r="H19" s="224"/>
      <c r="I19" s="224"/>
      <c r="J19" s="340"/>
    </row>
    <row r="20" spans="1:12" ht="19.5" customHeight="1">
      <c r="A20" s="698" t="s">
        <v>446</v>
      </c>
      <c r="B20" s="698"/>
      <c r="C20" s="349"/>
      <c r="D20" s="349"/>
      <c r="E20" s="349"/>
      <c r="F20" s="224">
        <f>Dados!$G$30</f>
        <v>7.2</v>
      </c>
      <c r="G20" s="224">
        <f t="shared" si="0"/>
        <v>7.2</v>
      </c>
      <c r="H20" s="224"/>
      <c r="I20" s="224"/>
      <c r="J20" s="340"/>
    </row>
    <row r="21" spans="1:12" ht="23.25" customHeight="1">
      <c r="A21" s="711" t="s">
        <v>225</v>
      </c>
      <c r="B21" s="711"/>
      <c r="C21" s="349"/>
      <c r="D21" s="349"/>
      <c r="E21" s="349"/>
      <c r="F21" s="224">
        <f>Dados!G31</f>
        <v>0</v>
      </c>
      <c r="G21" s="224">
        <f t="shared" si="0"/>
        <v>0</v>
      </c>
      <c r="H21" s="224"/>
      <c r="I21" s="224"/>
      <c r="J21" s="340"/>
    </row>
    <row r="22" spans="1:12" ht="19.5" customHeight="1">
      <c r="A22" s="698" t="s">
        <v>226</v>
      </c>
      <c r="B22" s="698"/>
      <c r="C22" s="348">
        <f>Dados!$G$34</f>
        <v>22</v>
      </c>
      <c r="D22" s="348">
        <f>Dados!$G$33</f>
        <v>2</v>
      </c>
      <c r="E22" s="349">
        <f>Dados!$G$32</f>
        <v>6</v>
      </c>
      <c r="F22" s="224">
        <f>IF(ROUND((E22*D22*C22)-(F11*Dados!$G$35),2)&lt;0,0,ROUND((E22*D22*C22)-(F11*Dados!$G$35),2))</f>
        <v>172.39</v>
      </c>
      <c r="G22" s="224">
        <f t="shared" si="0"/>
        <v>172.39</v>
      </c>
      <c r="H22" s="224"/>
      <c r="I22" s="224">
        <f>F22</f>
        <v>172.39</v>
      </c>
      <c r="J22" s="340"/>
    </row>
    <row r="23" spans="1:12" ht="19.5" customHeight="1">
      <c r="A23" s="698" t="s">
        <v>235</v>
      </c>
      <c r="B23" s="698"/>
      <c r="C23" s="348">
        <f>Dados!G37</f>
        <v>22</v>
      </c>
      <c r="D23" s="350">
        <f>Dados!G38</f>
        <v>0.2</v>
      </c>
      <c r="E23" s="349">
        <f>Dados!$G$36</f>
        <v>27</v>
      </c>
      <c r="F23" s="258">
        <f>ROUND((IF(D11&gt;150,((C23*E23)-(C23*(D23*E23))),0)),2)</f>
        <v>475.2</v>
      </c>
      <c r="G23" s="224">
        <f t="shared" si="0"/>
        <v>475.2</v>
      </c>
      <c r="H23" s="224">
        <f>$F$23</f>
        <v>475.2</v>
      </c>
      <c r="I23" s="258"/>
      <c r="J23" s="340"/>
    </row>
    <row r="24" spans="1:12" ht="19.5" customHeight="1">
      <c r="A24" s="698" t="s">
        <v>687</v>
      </c>
      <c r="B24" s="698"/>
      <c r="C24" s="348"/>
      <c r="D24" s="348"/>
      <c r="E24" s="349"/>
      <c r="F24" s="258">
        <f>Dados!Q8</f>
        <v>8.4550000000000001</v>
      </c>
      <c r="G24" s="224">
        <f t="shared" si="0"/>
        <v>8.4550000000000001</v>
      </c>
      <c r="H24" s="224"/>
      <c r="I24" s="258"/>
      <c r="J24" s="340"/>
    </row>
    <row r="25" spans="1:12" ht="19.5" customHeight="1">
      <c r="A25" s="698" t="s">
        <v>238</v>
      </c>
      <c r="B25" s="698"/>
      <c r="C25" s="348"/>
      <c r="D25" s="348"/>
      <c r="E25" s="349"/>
      <c r="F25" s="258">
        <f>Dados!$G$40</f>
        <v>0</v>
      </c>
      <c r="G25" s="224"/>
      <c r="H25" s="224"/>
      <c r="I25" s="258"/>
      <c r="J25" s="340"/>
    </row>
    <row r="26" spans="1:12" ht="19.5" customHeight="1">
      <c r="A26" s="698" t="s">
        <v>447</v>
      </c>
      <c r="B26" s="698"/>
      <c r="C26" s="348"/>
      <c r="D26" s="349"/>
      <c r="E26" s="349"/>
      <c r="F26" s="224">
        <f>Dados!$O$8</f>
        <v>783.22</v>
      </c>
      <c r="G26" s="224"/>
      <c r="H26" s="224"/>
      <c r="I26" s="224"/>
      <c r="J26" s="340"/>
      <c r="L26" s="351"/>
    </row>
    <row r="27" spans="1:12" ht="19.5" customHeight="1">
      <c r="A27" s="516" t="s">
        <v>448</v>
      </c>
      <c r="B27" s="517"/>
      <c r="C27" s="348"/>
      <c r="D27" s="349"/>
      <c r="E27" s="349"/>
      <c r="F27" s="224"/>
      <c r="G27" s="224"/>
      <c r="H27" s="224"/>
      <c r="I27" s="224"/>
      <c r="J27" s="340"/>
    </row>
    <row r="28" spans="1:12" ht="19.5" customHeight="1">
      <c r="A28" s="710" t="s">
        <v>449</v>
      </c>
      <c r="B28" s="710"/>
      <c r="C28" s="352"/>
      <c r="D28" s="353"/>
      <c r="E28" s="353"/>
      <c r="F28" s="342">
        <f>Dados!$R$8</f>
        <v>0</v>
      </c>
      <c r="G28" s="342">
        <f>F28</f>
        <v>0</v>
      </c>
      <c r="H28" s="342"/>
      <c r="I28" s="342"/>
      <c r="J28" s="343"/>
    </row>
    <row r="29" spans="1:12" ht="19.5" customHeight="1">
      <c r="A29" s="705" t="s">
        <v>450</v>
      </c>
      <c r="B29" s="705"/>
      <c r="C29" s="705"/>
      <c r="D29" s="705"/>
      <c r="E29" s="705"/>
      <c r="F29" s="346">
        <f>SUM(F19:F28)</f>
        <v>1517.7249999999999</v>
      </c>
      <c r="G29" s="346">
        <f>SUM(G19:G28)</f>
        <v>734.505</v>
      </c>
      <c r="H29" s="346">
        <f>SUM(H19:H28)</f>
        <v>475.2</v>
      </c>
      <c r="I29" s="346">
        <f>SUM(I19:I28)</f>
        <v>172.39</v>
      </c>
      <c r="J29" s="347">
        <f>SUM(J19:J28)</f>
        <v>0</v>
      </c>
    </row>
    <row r="30" spans="1:12" ht="19.5" customHeight="1">
      <c r="A30" s="705" t="s">
        <v>451</v>
      </c>
      <c r="B30" s="705"/>
      <c r="C30" s="705"/>
      <c r="D30" s="705"/>
      <c r="E30" s="705"/>
      <c r="F30" s="346">
        <f>F16+F29</f>
        <v>4291.7950000000001</v>
      </c>
      <c r="G30" s="346">
        <f>G16+G29</f>
        <v>3508.5749999999998</v>
      </c>
      <c r="H30" s="346">
        <f>H16+H29</f>
        <v>475.2</v>
      </c>
      <c r="I30" s="346">
        <f>I16+I29</f>
        <v>172.39</v>
      </c>
      <c r="J30" s="347">
        <f>J16+J29</f>
        <v>0</v>
      </c>
    </row>
    <row r="31" spans="1:12" ht="19.5" customHeight="1">
      <c r="A31" s="706" t="s">
        <v>452</v>
      </c>
      <c r="B31" s="706"/>
      <c r="C31" s="706"/>
      <c r="D31" s="706"/>
      <c r="E31" s="706"/>
      <c r="F31" s="706"/>
      <c r="G31" s="706"/>
      <c r="H31" s="706"/>
      <c r="I31" s="706"/>
      <c r="J31" s="706"/>
    </row>
    <row r="32" spans="1:12" ht="19.5" customHeight="1">
      <c r="A32" s="707" t="s">
        <v>453</v>
      </c>
      <c r="B32" s="707"/>
      <c r="C32" s="707"/>
      <c r="D32" s="518" t="s">
        <v>454</v>
      </c>
      <c r="E32" s="708" t="s">
        <v>399</v>
      </c>
      <c r="F32" s="708"/>
      <c r="G32" s="708"/>
      <c r="H32" s="708"/>
      <c r="I32" s="708"/>
      <c r="J32" s="708"/>
    </row>
    <row r="33" spans="1:12" ht="19.5" customHeight="1">
      <c r="A33" s="519" t="s">
        <v>455</v>
      </c>
      <c r="B33" s="520"/>
      <c r="C33" s="520"/>
      <c r="D33" s="512">
        <f>Dados!$G$43</f>
        <v>0.03</v>
      </c>
      <c r="E33" s="521"/>
      <c r="F33" s="224">
        <f>ROUND((F30*$D$33),2)</f>
        <v>128.75</v>
      </c>
      <c r="G33" s="224">
        <f>ROUND((G30*$D$33),2)</f>
        <v>105.26</v>
      </c>
      <c r="H33" s="224">
        <f>ROUND((H30*$D$33),2)</f>
        <v>14.26</v>
      </c>
      <c r="I33" s="224">
        <f>ROUND((I30*$D$33),2)</f>
        <v>5.17</v>
      </c>
      <c r="J33" s="340">
        <f>ROUND((J30*$D$33),2)</f>
        <v>0</v>
      </c>
    </row>
    <row r="34" spans="1:12" ht="19.5" customHeight="1">
      <c r="A34" s="709" t="s">
        <v>456</v>
      </c>
      <c r="B34" s="709"/>
      <c r="C34" s="709"/>
      <c r="D34" s="512"/>
      <c r="E34" s="521"/>
      <c r="F34" s="224">
        <f>F30+F33</f>
        <v>4420.5450000000001</v>
      </c>
      <c r="G34" s="224">
        <f>G30+G33</f>
        <v>3613.835</v>
      </c>
      <c r="H34" s="224">
        <f>H30+H33</f>
        <v>489.46</v>
      </c>
      <c r="I34" s="224">
        <f>I30+I33</f>
        <v>177.55999999999997</v>
      </c>
      <c r="J34" s="340">
        <f>J30+J33</f>
        <v>0</v>
      </c>
    </row>
    <row r="35" spans="1:12" ht="19.5" customHeight="1">
      <c r="A35" s="522" t="s">
        <v>243</v>
      </c>
      <c r="B35" s="523"/>
      <c r="C35" s="523"/>
      <c r="D35" s="524">
        <f>Dados!$G$44</f>
        <v>6.7900000000000002E-2</v>
      </c>
      <c r="E35" s="525"/>
      <c r="F35" s="342">
        <f>ROUND((F34*$D$35),2)</f>
        <v>300.16000000000003</v>
      </c>
      <c r="G35" s="342">
        <f>ROUND((G34*$D$35),2)</f>
        <v>245.38</v>
      </c>
      <c r="H35" s="342">
        <f>ROUND((H34*$D$35),2)</f>
        <v>33.229999999999997</v>
      </c>
      <c r="I35" s="342">
        <f>ROUND((I34*$D$35),2)</f>
        <v>12.06</v>
      </c>
      <c r="J35" s="343">
        <f>ROUND((J34*$D$35),2)</f>
        <v>0</v>
      </c>
    </row>
    <row r="36" spans="1:12" ht="19.5" customHeight="1">
      <c r="A36" s="526" t="s">
        <v>457</v>
      </c>
      <c r="B36" s="527"/>
      <c r="C36" s="527"/>
      <c r="D36" s="528">
        <f>SUM(D33:D35)</f>
        <v>9.7900000000000001E-2</v>
      </c>
      <c r="E36" s="529"/>
      <c r="F36" s="346">
        <f>F33+F35</f>
        <v>428.91</v>
      </c>
      <c r="G36" s="346">
        <f>G33+G35</f>
        <v>350.64</v>
      </c>
      <c r="H36" s="346">
        <f>H33+H35</f>
        <v>47.489999999999995</v>
      </c>
      <c r="I36" s="346">
        <f>I33+I35</f>
        <v>17.23</v>
      </c>
      <c r="J36" s="347">
        <f>J33+J35</f>
        <v>0</v>
      </c>
    </row>
    <row r="37" spans="1:12" ht="19.5" customHeight="1">
      <c r="A37" s="703" t="s">
        <v>458</v>
      </c>
      <c r="B37" s="703"/>
      <c r="C37" s="703"/>
      <c r="D37" s="703"/>
      <c r="E37" s="703"/>
      <c r="F37" s="354">
        <f>F30+F36</f>
        <v>4720.7049999999999</v>
      </c>
      <c r="G37" s="354">
        <f>G30+G36</f>
        <v>3859.2149999999997</v>
      </c>
      <c r="H37" s="354">
        <f>H30+H36</f>
        <v>522.68999999999994</v>
      </c>
      <c r="I37" s="354">
        <f>I30+I36</f>
        <v>189.61999999999998</v>
      </c>
      <c r="J37" s="355">
        <f>J30+J36</f>
        <v>0</v>
      </c>
    </row>
    <row r="38" spans="1:12" ht="19.5" customHeight="1">
      <c r="A38" s="704" t="s">
        <v>459</v>
      </c>
      <c r="B38" s="704"/>
      <c r="C38" s="704"/>
      <c r="D38" s="704"/>
      <c r="E38" s="704"/>
      <c r="F38" s="704"/>
      <c r="G38" s="704"/>
      <c r="H38" s="704"/>
      <c r="I38" s="704"/>
      <c r="J38" s="704"/>
    </row>
    <row r="39" spans="1:12" ht="19.5" customHeight="1">
      <c r="A39" s="698" t="s">
        <v>249</v>
      </c>
      <c r="B39" s="698"/>
      <c r="C39" s="698"/>
      <c r="D39" s="512">
        <f>Dados!G51</f>
        <v>7.5999999999999998E-2</v>
      </c>
      <c r="E39" s="224"/>
      <c r="F39" s="224">
        <f>ROUND(($F$45*D39),2)</f>
        <v>418.4</v>
      </c>
      <c r="G39" s="224">
        <f>ROUND((G45*$D$39),2)</f>
        <v>342.04</v>
      </c>
      <c r="H39" s="224">
        <f>ROUND((H45*$D$39),2)</f>
        <v>46.33</v>
      </c>
      <c r="I39" s="224">
        <f>ROUND((I45*$D$39),2)</f>
        <v>16.809999999999999</v>
      </c>
      <c r="J39" s="340">
        <f>ROUND((J45*$D$39),2)</f>
        <v>0</v>
      </c>
    </row>
    <row r="40" spans="1:12" ht="19.5" customHeight="1">
      <c r="A40" s="698" t="s">
        <v>251</v>
      </c>
      <c r="B40" s="698"/>
      <c r="C40" s="698"/>
      <c r="D40" s="512">
        <f>Dados!G52</f>
        <v>1.6500000000000001E-2</v>
      </c>
      <c r="E40" s="224"/>
      <c r="F40" s="224">
        <f>ROUND((F45*$D$40),2)</f>
        <v>90.84</v>
      </c>
      <c r="G40" s="224">
        <f>ROUND((G45*$D$40),2)</f>
        <v>74.260000000000005</v>
      </c>
      <c r="H40" s="224">
        <f>ROUND((H45*$D$40),2)</f>
        <v>10.06</v>
      </c>
      <c r="I40" s="224">
        <f>ROUND((I45*$D$40),2)</f>
        <v>3.65</v>
      </c>
      <c r="J40" s="340">
        <f>ROUND((J45*$D$40),2)</f>
        <v>0</v>
      </c>
    </row>
    <row r="41" spans="1:12" ht="19.5" customHeight="1">
      <c r="A41" s="698" t="s">
        <v>252</v>
      </c>
      <c r="B41" s="698"/>
      <c r="C41" s="698"/>
      <c r="D41" s="512">
        <f>Dados!G53</f>
        <v>0.05</v>
      </c>
      <c r="E41" s="224"/>
      <c r="F41" s="224">
        <f>ROUND((F45*$D$41),2)</f>
        <v>275.26</v>
      </c>
      <c r="G41" s="224">
        <f>ROUND((G45*$D$41),2)</f>
        <v>225.03</v>
      </c>
      <c r="H41" s="224">
        <f>ROUND((H45*$D$41),2)</f>
        <v>30.48</v>
      </c>
      <c r="I41" s="224">
        <f>ROUND((I45*$D$41),2)</f>
        <v>11.06</v>
      </c>
      <c r="J41" s="340">
        <f>ROUND((J45*$D$41),2)</f>
        <v>0</v>
      </c>
    </row>
    <row r="42" spans="1:12" ht="19.5" customHeight="1">
      <c r="A42" s="698" t="s">
        <v>238</v>
      </c>
      <c r="B42" s="698"/>
      <c r="C42" s="698"/>
      <c r="D42" s="512">
        <f>Dados!G54</f>
        <v>0</v>
      </c>
      <c r="E42" s="224"/>
      <c r="F42" s="224">
        <f>ROUND((F45*$D$42),2)</f>
        <v>0</v>
      </c>
      <c r="G42" s="224">
        <f>ROUND((G45*$D$42),2)</f>
        <v>0</v>
      </c>
      <c r="H42" s="224">
        <f>ROUND((H45*$D$42),2)</f>
        <v>0</v>
      </c>
      <c r="I42" s="224">
        <f>ROUND((I45*$D$42),2)</f>
        <v>0</v>
      </c>
      <c r="J42" s="340">
        <f>ROUND((J45*$D$42),2)</f>
        <v>0</v>
      </c>
    </row>
    <row r="43" spans="1:12" ht="19.5" customHeight="1">
      <c r="A43" s="699" t="s">
        <v>460</v>
      </c>
      <c r="B43" s="699"/>
      <c r="C43" s="699"/>
      <c r="D43" s="530">
        <f>SUM(D39:D42)</f>
        <v>0.14250000000000002</v>
      </c>
      <c r="E43" s="531"/>
      <c r="F43" s="356">
        <f>SUM(F39:F42)</f>
        <v>784.5</v>
      </c>
      <c r="G43" s="356">
        <f>SUM(G39:G42)</f>
        <v>641.33000000000004</v>
      </c>
      <c r="H43" s="356">
        <f>SUM(H39:H42)</f>
        <v>86.87</v>
      </c>
      <c r="I43" s="356">
        <f>SUM(I39:I42)</f>
        <v>31.519999999999996</v>
      </c>
      <c r="J43" s="357">
        <f>SUM(J39:J41)</f>
        <v>0</v>
      </c>
    </row>
    <row r="44" spans="1:12" ht="19.5" customHeight="1">
      <c r="A44" s="700" t="str">
        <f>CONCATENATE("Custo Mensal - ",A7)</f>
        <v>Custo Mensal - Servente de Limpeza  ac. Copeira</v>
      </c>
      <c r="B44" s="700"/>
      <c r="C44" s="700"/>
      <c r="D44" s="700"/>
      <c r="E44" s="700"/>
      <c r="F44" s="358">
        <f>ROUND(F37/(1-D43),2)</f>
        <v>5505.2</v>
      </c>
      <c r="G44" s="358">
        <f>ROUND(G37/(1-D43),2)</f>
        <v>4500.54</v>
      </c>
      <c r="H44" s="358">
        <f>ROUND(H37/(1-D43),2)</f>
        <v>609.54999999999995</v>
      </c>
      <c r="I44" s="358">
        <f>ROUND(I37/(1-D43),2)</f>
        <v>221.13</v>
      </c>
      <c r="J44" s="359">
        <f>ROUND(J37/(1-D43),2)</f>
        <v>0</v>
      </c>
    </row>
    <row r="45" spans="1:12" ht="19.5" customHeight="1">
      <c r="A45" s="701" t="str">
        <f>CONCATENATE("Valor do Custo Mensal - ",A7)</f>
        <v>Valor do Custo Mensal - Servente de Limpeza  ac. Copeira</v>
      </c>
      <c r="B45" s="701"/>
      <c r="C45" s="701"/>
      <c r="D45" s="701"/>
      <c r="E45" s="701"/>
      <c r="F45" s="358">
        <f>F44</f>
        <v>5505.2</v>
      </c>
      <c r="G45" s="358">
        <f>G44</f>
        <v>4500.54</v>
      </c>
      <c r="H45" s="358">
        <f>H44</f>
        <v>609.54999999999995</v>
      </c>
      <c r="I45" s="358">
        <f>I44</f>
        <v>221.13</v>
      </c>
      <c r="J45" s="359">
        <f>J44</f>
        <v>0</v>
      </c>
      <c r="K45" s="360"/>
      <c r="L45" s="360"/>
    </row>
    <row r="46" spans="1:12" ht="27.75" customHeight="1">
      <c r="A46" s="702" t="s">
        <v>461</v>
      </c>
      <c r="B46" s="702"/>
      <c r="C46" s="702"/>
      <c r="D46" s="702"/>
      <c r="E46" s="702"/>
      <c r="F46" s="361">
        <f>(F45/F14)</f>
        <v>3.5006994785705201</v>
      </c>
      <c r="G46" s="361">
        <f>(G45/G14)</f>
        <v>2.8618466234261732</v>
      </c>
      <c r="H46" s="697" t="s">
        <v>462</v>
      </c>
      <c r="I46" s="697"/>
      <c r="J46" s="362">
        <v>0</v>
      </c>
    </row>
    <row r="47" spans="1:12" ht="19.5" customHeight="1"/>
  </sheetData>
  <sheetProtection algorithmName="SHA-512" hashValue="11DlippMnZAkrAMBMNxw5uvNl7vMCZr1igvSfEckj0zREQ2J+RruiEhLsSOYCMMS6eSI4mHPpYrRmeFIi9oQFQ==" saltValue="fUnjRpDz5NdH/ftdB4eDhQ==" spinCount="100000" sheet="1" objects="1" scenarios="1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H46:I46"/>
    <mergeCell ref="A42:C42"/>
    <mergeCell ref="A43:C43"/>
    <mergeCell ref="A44:E44"/>
    <mergeCell ref="A45:E45"/>
    <mergeCell ref="A46:E4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61" fitToHeight="2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7"/>
  <sheetViews>
    <sheetView showGridLines="0" view="pageBreakPreview" zoomScale="140" zoomScaleNormal="100" zoomScalePageLayoutView="140" workbookViewId="0">
      <selection activeCell="F10" sqref="F10:J10"/>
    </sheetView>
  </sheetViews>
  <sheetFormatPr defaultColWidth="8.6640625" defaultRowHeight="14.4"/>
  <cols>
    <col min="1" max="1" width="10.5546875" style="69" customWidth="1"/>
    <col min="2" max="2" width="27.6640625" style="69" customWidth="1"/>
    <col min="3" max="3" width="14.44140625" style="69" customWidth="1"/>
    <col min="4" max="5" width="15" style="69" customWidth="1"/>
    <col min="6" max="6" width="16.6640625" style="329" customWidth="1"/>
    <col min="7" max="8" width="13.109375" style="329" customWidth="1"/>
    <col min="9" max="10" width="12.5546875" style="329" customWidth="1"/>
    <col min="11" max="257" width="9.109375" style="69" customWidth="1"/>
    <col min="258" max="258" width="10.5546875" style="69" customWidth="1"/>
    <col min="259" max="259" width="27.6640625" style="69" customWidth="1"/>
    <col min="260" max="260" width="14.44140625" style="69" customWidth="1"/>
    <col min="261" max="262" width="15" style="69" customWidth="1"/>
    <col min="263" max="263" width="16.6640625" style="69" customWidth="1"/>
    <col min="264" max="264" width="13.109375" style="69" customWidth="1"/>
    <col min="265" max="266" width="12.5546875" style="69" customWidth="1"/>
    <col min="267" max="513" width="9.109375" style="69" customWidth="1"/>
    <col min="514" max="514" width="10.5546875" style="69" customWidth="1"/>
    <col min="515" max="515" width="27.6640625" style="69" customWidth="1"/>
    <col min="516" max="516" width="14.44140625" style="69" customWidth="1"/>
    <col min="517" max="518" width="15" style="69" customWidth="1"/>
    <col min="519" max="519" width="16.6640625" style="69" customWidth="1"/>
    <col min="520" max="520" width="13.109375" style="69" customWidth="1"/>
    <col min="521" max="522" width="12.5546875" style="69" customWidth="1"/>
    <col min="523" max="769" width="9.109375" style="69" customWidth="1"/>
    <col min="770" max="770" width="10.5546875" style="69" customWidth="1"/>
    <col min="771" max="771" width="27.6640625" style="69" customWidth="1"/>
    <col min="772" max="772" width="14.44140625" style="69" customWidth="1"/>
    <col min="773" max="774" width="15" style="69" customWidth="1"/>
    <col min="775" max="775" width="16.6640625" style="69" customWidth="1"/>
    <col min="776" max="776" width="13.109375" style="69" customWidth="1"/>
    <col min="777" max="778" width="12.5546875" style="69" customWidth="1"/>
    <col min="779" max="1025" width="9.109375" style="69" customWidth="1"/>
  </cols>
  <sheetData>
    <row r="1" spans="1:10">
      <c r="A1" s="330"/>
      <c r="B1" s="99" t="str">
        <f>INSTRUÇÕES!B1</f>
        <v>Tribunal Regional Federal da 6ª Região</v>
      </c>
      <c r="C1" s="331"/>
      <c r="D1" s="331"/>
      <c r="E1" s="331"/>
      <c r="F1" s="332"/>
      <c r="G1" s="333"/>
      <c r="H1" s="333"/>
      <c r="I1" s="332"/>
      <c r="J1" s="334"/>
    </row>
    <row r="2" spans="1:10">
      <c r="A2" s="335"/>
      <c r="B2" s="101" t="str">
        <f>INSTRUÇÕES!B2</f>
        <v>Seção Judiciária de Minas Gerais</v>
      </c>
      <c r="C2" s="58"/>
      <c r="D2" s="58"/>
      <c r="E2" s="58"/>
      <c r="F2" s="336"/>
      <c r="I2" s="336"/>
      <c r="J2" s="337"/>
    </row>
    <row r="3" spans="1:10">
      <c r="A3" s="169"/>
      <c r="B3" s="338" t="str">
        <f>INSTRUÇÕES!B3</f>
        <v>Subseção Judiciária de Poços de Caldas</v>
      </c>
      <c r="C3" s="58"/>
      <c r="D3" s="58"/>
      <c r="E3" s="58"/>
      <c r="F3" s="336"/>
      <c r="I3" s="336"/>
      <c r="J3" s="337"/>
    </row>
    <row r="4" spans="1:10" ht="19.5" customHeight="1">
      <c r="A4" s="722" t="s">
        <v>426</v>
      </c>
      <c r="B4" s="722"/>
      <c r="C4" s="722"/>
      <c r="D4" s="722"/>
      <c r="E4" s="722"/>
      <c r="F4" s="722"/>
      <c r="G4" s="722"/>
      <c r="H4" s="722"/>
      <c r="I4" s="722"/>
      <c r="J4" s="722"/>
    </row>
    <row r="5" spans="1:10" ht="19.5" customHeight="1">
      <c r="A5" s="723" t="s">
        <v>696</v>
      </c>
      <c r="B5" s="723"/>
      <c r="C5" s="723"/>
      <c r="D5" s="723"/>
      <c r="E5" s="723"/>
      <c r="F5" s="723"/>
      <c r="G5" s="723"/>
      <c r="H5" s="723"/>
      <c r="I5" s="723"/>
      <c r="J5" s="723"/>
    </row>
    <row r="6" spans="1:10" ht="36" customHeight="1">
      <c r="A6" s="724" t="str">
        <f>Dados!A4</f>
        <v>Sindicato utilizado - SINTAPPI/MG. Vigência: 01/04/2024 à 31/03/2025. Sendo a data base da categoria 01º de Abril. Com número de registro no MTE MG002103/2024.</v>
      </c>
      <c r="B6" s="724"/>
      <c r="C6" s="724"/>
      <c r="D6" s="724"/>
      <c r="E6" s="724"/>
      <c r="F6" s="724"/>
      <c r="G6" s="724"/>
      <c r="H6" s="724"/>
      <c r="I6" s="724"/>
      <c r="J6" s="724"/>
    </row>
    <row r="7" spans="1:10" ht="19.5" customHeight="1">
      <c r="A7" s="725" t="str">
        <f>Dados!C9</f>
        <v>Zelador</v>
      </c>
      <c r="B7" s="725"/>
      <c r="C7" s="725"/>
      <c r="D7" s="725"/>
      <c r="E7" s="725"/>
      <c r="F7" s="726" t="s">
        <v>427</v>
      </c>
      <c r="G7" s="726" t="s">
        <v>428</v>
      </c>
      <c r="H7" s="726" t="s">
        <v>429</v>
      </c>
      <c r="I7" s="726" t="s">
        <v>430</v>
      </c>
      <c r="J7" s="726" t="s">
        <v>431</v>
      </c>
    </row>
    <row r="8" spans="1:10" ht="19.5" customHeight="1">
      <c r="A8" s="727" t="s">
        <v>432</v>
      </c>
      <c r="B8" s="727"/>
      <c r="C8" s="727"/>
      <c r="D8" s="727"/>
      <c r="E8" s="507" t="s">
        <v>395</v>
      </c>
      <c r="F8" s="726"/>
      <c r="G8" s="726"/>
      <c r="H8" s="726"/>
      <c r="I8" s="726"/>
      <c r="J8" s="726"/>
    </row>
    <row r="9" spans="1:10" ht="19.5" customHeight="1">
      <c r="A9" s="706" t="s">
        <v>433</v>
      </c>
      <c r="B9" s="706"/>
      <c r="C9" s="706"/>
      <c r="D9" s="706"/>
      <c r="E9" s="706"/>
      <c r="F9" s="706"/>
      <c r="G9" s="706"/>
      <c r="H9" s="706"/>
      <c r="I9" s="706"/>
      <c r="J9" s="706"/>
    </row>
    <row r="10" spans="1:10" ht="24" customHeight="1">
      <c r="A10" s="508" t="s">
        <v>396</v>
      </c>
      <c r="B10" s="716" t="s">
        <v>434</v>
      </c>
      <c r="C10" s="716"/>
      <c r="D10" s="509" t="s">
        <v>435</v>
      </c>
      <c r="E10" s="510" t="s">
        <v>436</v>
      </c>
      <c r="F10" s="717" t="s">
        <v>399</v>
      </c>
      <c r="G10" s="717"/>
      <c r="H10" s="717"/>
      <c r="I10" s="717"/>
      <c r="J10" s="717"/>
    </row>
    <row r="11" spans="1:10" ht="19.5" customHeight="1">
      <c r="A11" s="718">
        <v>1</v>
      </c>
      <c r="B11" s="719" t="str">
        <f>A7</f>
        <v>Zelador</v>
      </c>
      <c r="C11" s="719"/>
      <c r="D11" s="511">
        <f>Dados!$D$9</f>
        <v>220</v>
      </c>
      <c r="E11" s="339">
        <f>Dados!$E$9</f>
        <v>2281.4</v>
      </c>
      <c r="F11" s="224">
        <f>ROUND(E11/220*D11,2)</f>
        <v>2281.4</v>
      </c>
      <c r="G11" s="224">
        <f>F11</f>
        <v>2281.4</v>
      </c>
      <c r="H11" s="224"/>
      <c r="I11" s="224"/>
      <c r="J11" s="340"/>
    </row>
    <row r="12" spans="1:10" ht="19.5" customHeight="1">
      <c r="A12" s="718"/>
      <c r="B12" s="719" t="s">
        <v>437</v>
      </c>
      <c r="C12" s="719"/>
      <c r="D12" s="532">
        <f>Dados!G8</f>
        <v>0</v>
      </c>
      <c r="E12" s="339">
        <f>Dados!$G$27</f>
        <v>1412</v>
      </c>
      <c r="F12" s="224">
        <f>D12*E12</f>
        <v>0</v>
      </c>
      <c r="G12" s="224">
        <f>F12</f>
        <v>0</v>
      </c>
      <c r="H12" s="224"/>
      <c r="I12" s="224"/>
      <c r="J12" s="340">
        <f>F12</f>
        <v>0</v>
      </c>
    </row>
    <row r="13" spans="1:10" ht="30.75" customHeight="1">
      <c r="A13" s="718"/>
      <c r="B13" s="513" t="s">
        <v>438</v>
      </c>
      <c r="C13" s="514">
        <f>Dados!$I$9</f>
        <v>0</v>
      </c>
      <c r="D13" s="514">
        <f>Dados!$J$9</f>
        <v>0</v>
      </c>
      <c r="E13" s="341">
        <f>Dados!$K$9</f>
        <v>0</v>
      </c>
      <c r="F13" s="342">
        <f>ROUND((E13*D13*C13),2)</f>
        <v>0</v>
      </c>
      <c r="G13" s="342">
        <f>F13</f>
        <v>0</v>
      </c>
      <c r="H13" s="342"/>
      <c r="I13" s="342"/>
      <c r="J13" s="343"/>
    </row>
    <row r="14" spans="1:10" ht="19.5" customHeight="1">
      <c r="A14" s="718"/>
      <c r="B14" s="720" t="s">
        <v>439</v>
      </c>
      <c r="C14" s="720"/>
      <c r="D14" s="720"/>
      <c r="E14" s="720"/>
      <c r="F14" s="344">
        <f>SUM(F11:F13)</f>
        <v>2281.4</v>
      </c>
      <c r="G14" s="344">
        <f>SUM(G11:G13)</f>
        <v>2281.4</v>
      </c>
      <c r="H14" s="344">
        <f>SUM(H11:H13)</f>
        <v>0</v>
      </c>
      <c r="I14" s="344">
        <f>SUM(I11:I13)</f>
        <v>0</v>
      </c>
      <c r="J14" s="345">
        <f>SUM(J11:J13)</f>
        <v>0</v>
      </c>
    </row>
    <row r="15" spans="1:10" ht="19.5" customHeight="1">
      <c r="A15" s="718"/>
      <c r="B15" s="721" t="s">
        <v>440</v>
      </c>
      <c r="C15" s="721"/>
      <c r="D15" s="721"/>
      <c r="E15" s="515">
        <f>Encargos!$C$57</f>
        <v>0.76400000000000001</v>
      </c>
      <c r="F15" s="224">
        <f>ROUND((E15*F14),2)</f>
        <v>1742.99</v>
      </c>
      <c r="G15" s="224">
        <f>F15</f>
        <v>1742.99</v>
      </c>
      <c r="H15" s="224"/>
      <c r="I15" s="224"/>
      <c r="J15" s="340">
        <f>ROUND((E15*J14),2)</f>
        <v>0</v>
      </c>
    </row>
    <row r="16" spans="1:10" ht="19.5" customHeight="1">
      <c r="A16" s="712" t="s">
        <v>441</v>
      </c>
      <c r="B16" s="712"/>
      <c r="C16" s="712"/>
      <c r="D16" s="712"/>
      <c r="E16" s="712"/>
      <c r="F16" s="346">
        <f>SUM(F14:F15)</f>
        <v>4024.3900000000003</v>
      </c>
      <c r="G16" s="346">
        <f>SUM(G14:G15)</f>
        <v>4024.3900000000003</v>
      </c>
      <c r="H16" s="346">
        <f>SUM(H14:H15)</f>
        <v>0</v>
      </c>
      <c r="I16" s="346">
        <f>SUM(I14:I15)</f>
        <v>0</v>
      </c>
      <c r="J16" s="347">
        <f>SUM(J14:J15)</f>
        <v>0</v>
      </c>
    </row>
    <row r="17" spans="1:12" ht="19.5" customHeight="1">
      <c r="A17" s="713" t="s">
        <v>442</v>
      </c>
      <c r="B17" s="713"/>
      <c r="C17" s="713"/>
      <c r="D17" s="713"/>
      <c r="E17" s="713"/>
      <c r="F17" s="713"/>
      <c r="G17" s="713"/>
      <c r="H17" s="713"/>
      <c r="I17" s="713"/>
      <c r="J17" s="713"/>
    </row>
    <row r="18" spans="1:12" ht="19.5" customHeight="1">
      <c r="A18" s="707" t="s">
        <v>443</v>
      </c>
      <c r="B18" s="707"/>
      <c r="C18" s="38" t="s">
        <v>398</v>
      </c>
      <c r="D18" s="714" t="s">
        <v>463</v>
      </c>
      <c r="E18" s="714"/>
      <c r="F18" s="715" t="s">
        <v>399</v>
      </c>
      <c r="G18" s="715"/>
      <c r="H18" s="715"/>
      <c r="I18" s="715"/>
      <c r="J18" s="715"/>
    </row>
    <row r="19" spans="1:12" ht="19.5" customHeight="1">
      <c r="A19" s="698" t="s">
        <v>445</v>
      </c>
      <c r="B19" s="698"/>
      <c r="C19" s="349"/>
      <c r="D19" s="349"/>
      <c r="E19" s="349"/>
      <c r="F19" s="224">
        <f>Dados!$N$9</f>
        <v>64</v>
      </c>
      <c r="G19" s="224">
        <f>F19</f>
        <v>64</v>
      </c>
      <c r="H19" s="224"/>
      <c r="I19" s="224"/>
      <c r="J19" s="340"/>
    </row>
    <row r="20" spans="1:12" ht="19.5" customHeight="1">
      <c r="A20" s="698" t="s">
        <v>446</v>
      </c>
      <c r="B20" s="698"/>
      <c r="C20" s="349"/>
      <c r="D20" s="349"/>
      <c r="E20" s="349"/>
      <c r="F20" s="224">
        <f>Dados!$G$30</f>
        <v>7.2</v>
      </c>
      <c r="G20" s="224">
        <f>F20</f>
        <v>7.2</v>
      </c>
      <c r="H20" s="224"/>
      <c r="I20" s="224"/>
      <c r="J20" s="340"/>
    </row>
    <row r="21" spans="1:12" ht="23.25" customHeight="1">
      <c r="A21" s="711" t="s">
        <v>225</v>
      </c>
      <c r="B21" s="711"/>
      <c r="C21" s="349"/>
      <c r="D21" s="349"/>
      <c r="E21" s="349"/>
      <c r="F21" s="224">
        <f>Dados!G31</f>
        <v>0</v>
      </c>
      <c r="G21" s="224">
        <f>F21</f>
        <v>0</v>
      </c>
      <c r="H21" s="224"/>
      <c r="I21" s="224"/>
      <c r="J21" s="340"/>
    </row>
    <row r="22" spans="1:12" ht="19.5" customHeight="1">
      <c r="A22" s="698" t="s">
        <v>226</v>
      </c>
      <c r="B22" s="698"/>
      <c r="C22" s="348">
        <f>Dados!$G$34</f>
        <v>22</v>
      </c>
      <c r="D22" s="348">
        <f>Dados!$G$33</f>
        <v>2</v>
      </c>
      <c r="E22" s="349">
        <f>Dados!$G$32</f>
        <v>6</v>
      </c>
      <c r="F22" s="224">
        <f>IF(ROUND((E22*D22*C22)-(F11*Dados!$G$35),2)&lt;0,0,ROUND((E22*D22*C22)-(F11*Dados!$G$35),2))</f>
        <v>127.12</v>
      </c>
      <c r="G22" s="224">
        <f>F22</f>
        <v>127.12</v>
      </c>
      <c r="H22" s="224"/>
      <c r="I22" s="224">
        <f>F22</f>
        <v>127.12</v>
      </c>
      <c r="J22" s="340"/>
    </row>
    <row r="23" spans="1:12" ht="19.5" customHeight="1">
      <c r="A23" s="698" t="s">
        <v>235</v>
      </c>
      <c r="B23" s="698"/>
      <c r="C23" s="348">
        <f>Dados!G37</f>
        <v>22</v>
      </c>
      <c r="D23" s="350">
        <f>Dados!G38</f>
        <v>0.2</v>
      </c>
      <c r="E23" s="349">
        <f>Dados!$G$36</f>
        <v>27</v>
      </c>
      <c r="F23" s="258">
        <f>ROUND((IF(D11&gt;150,((C23*E23)-(C23*(D23*E23))),0)),2)</f>
        <v>475.2</v>
      </c>
      <c r="G23" s="224">
        <f>F23</f>
        <v>475.2</v>
      </c>
      <c r="H23" s="224">
        <f>$F$23</f>
        <v>475.2</v>
      </c>
      <c r="I23" s="258"/>
      <c r="J23" s="340"/>
    </row>
    <row r="24" spans="1:12" ht="19.5" customHeight="1">
      <c r="A24" s="698" t="s">
        <v>238</v>
      </c>
      <c r="B24" s="698"/>
      <c r="C24" s="348"/>
      <c r="D24" s="348"/>
      <c r="E24" s="349"/>
      <c r="F24" s="258">
        <f>Dados!$G$39</f>
        <v>0</v>
      </c>
      <c r="G24" s="224"/>
      <c r="H24" s="224"/>
      <c r="I24" s="258"/>
      <c r="J24" s="340"/>
    </row>
    <row r="25" spans="1:12" ht="19.5" customHeight="1">
      <c r="A25" s="698" t="s">
        <v>238</v>
      </c>
      <c r="B25" s="698"/>
      <c r="C25" s="348"/>
      <c r="D25" s="348"/>
      <c r="E25" s="349"/>
      <c r="F25" s="258">
        <f>Dados!$G$40</f>
        <v>0</v>
      </c>
      <c r="G25" s="224"/>
      <c r="H25" s="224"/>
      <c r="I25" s="258"/>
      <c r="J25" s="340"/>
    </row>
    <row r="26" spans="1:12" ht="19.5" customHeight="1">
      <c r="A26" s="698" t="s">
        <v>687</v>
      </c>
      <c r="B26" s="698"/>
      <c r="C26" s="348"/>
      <c r="D26" s="349"/>
      <c r="E26" s="349"/>
      <c r="F26" s="224">
        <f>Dados!Q9</f>
        <v>39.430000000000007</v>
      </c>
      <c r="G26" s="224">
        <f>F26</f>
        <v>39.430000000000007</v>
      </c>
      <c r="H26" s="224"/>
      <c r="I26" s="224"/>
      <c r="J26" s="340"/>
      <c r="L26" s="351"/>
    </row>
    <row r="27" spans="1:12" ht="19.5" customHeight="1">
      <c r="A27" s="516" t="s">
        <v>448</v>
      </c>
      <c r="B27" s="517"/>
      <c r="C27" s="348"/>
      <c r="D27" s="349"/>
      <c r="E27" s="349"/>
      <c r="F27" s="224"/>
      <c r="G27" s="224"/>
      <c r="H27" s="224"/>
      <c r="I27" s="224"/>
      <c r="J27" s="340"/>
    </row>
    <row r="28" spans="1:12" ht="19.5" customHeight="1">
      <c r="A28" s="710" t="s">
        <v>449</v>
      </c>
      <c r="B28" s="710"/>
      <c r="C28" s="352"/>
      <c r="D28" s="353"/>
      <c r="E28" s="353"/>
      <c r="F28" s="342">
        <f>Dados!R9</f>
        <v>20.71</v>
      </c>
      <c r="G28" s="342">
        <f>F28</f>
        <v>20.71</v>
      </c>
      <c r="H28" s="342"/>
      <c r="I28" s="342"/>
      <c r="J28" s="343"/>
    </row>
    <row r="29" spans="1:12" ht="19.5" customHeight="1">
      <c r="A29" s="705" t="s">
        <v>450</v>
      </c>
      <c r="B29" s="705"/>
      <c r="C29" s="705"/>
      <c r="D29" s="705"/>
      <c r="E29" s="705"/>
      <c r="F29" s="346">
        <f>SUM(F19:F28)</f>
        <v>733.66000000000008</v>
      </c>
      <c r="G29" s="346">
        <f>SUM(G19:G28)</f>
        <v>733.66000000000008</v>
      </c>
      <c r="H29" s="346">
        <f>SUM(H19:H28)</f>
        <v>475.2</v>
      </c>
      <c r="I29" s="346">
        <f>SUM(I19:I28)</f>
        <v>127.12</v>
      </c>
      <c r="J29" s="347">
        <f>SUM(J19:J28)</f>
        <v>0</v>
      </c>
    </row>
    <row r="30" spans="1:12" ht="19.5" customHeight="1">
      <c r="A30" s="705" t="s">
        <v>451</v>
      </c>
      <c r="B30" s="705"/>
      <c r="C30" s="705"/>
      <c r="D30" s="705"/>
      <c r="E30" s="705"/>
      <c r="F30" s="346">
        <f>F16+F29</f>
        <v>4758.05</v>
      </c>
      <c r="G30" s="346">
        <f>G16+G29</f>
        <v>4758.05</v>
      </c>
      <c r="H30" s="346">
        <f>H16+H29</f>
        <v>475.2</v>
      </c>
      <c r="I30" s="346">
        <f>I16+I29</f>
        <v>127.12</v>
      </c>
      <c r="J30" s="347">
        <f>J16+J29</f>
        <v>0</v>
      </c>
    </row>
    <row r="31" spans="1:12" ht="19.5" customHeight="1">
      <c r="A31" s="706" t="s">
        <v>452</v>
      </c>
      <c r="B31" s="706"/>
      <c r="C31" s="706"/>
      <c r="D31" s="706"/>
      <c r="E31" s="706"/>
      <c r="F31" s="706"/>
      <c r="G31" s="706"/>
      <c r="H31" s="706"/>
      <c r="I31" s="706"/>
      <c r="J31" s="706"/>
    </row>
    <row r="32" spans="1:12" ht="19.5" customHeight="1">
      <c r="A32" s="707" t="s">
        <v>453</v>
      </c>
      <c r="B32" s="707"/>
      <c r="C32" s="707"/>
      <c r="D32" s="518" t="s">
        <v>454</v>
      </c>
      <c r="E32" s="708" t="s">
        <v>399</v>
      </c>
      <c r="F32" s="708"/>
      <c r="G32" s="708"/>
      <c r="H32" s="708"/>
      <c r="I32" s="708"/>
      <c r="J32" s="708"/>
    </row>
    <row r="33" spans="1:12" ht="19.5" customHeight="1">
      <c r="A33" s="519" t="s">
        <v>455</v>
      </c>
      <c r="B33" s="520"/>
      <c r="C33" s="520"/>
      <c r="D33" s="512">
        <f>Dados!$G$43</f>
        <v>0.03</v>
      </c>
      <c r="E33" s="521"/>
      <c r="F33" s="224">
        <f>ROUND((F30*$D$33),2)</f>
        <v>142.74</v>
      </c>
      <c r="G33" s="224">
        <f>ROUND((G30*$D$33),2)</f>
        <v>142.74</v>
      </c>
      <c r="H33" s="224">
        <f>ROUND((H30*$D$33),2)</f>
        <v>14.26</v>
      </c>
      <c r="I33" s="224">
        <f>ROUND((I30*$D$33),2)</f>
        <v>3.81</v>
      </c>
      <c r="J33" s="340">
        <f>ROUND((J30*$D$33),2)</f>
        <v>0</v>
      </c>
    </row>
    <row r="34" spans="1:12" ht="19.5" customHeight="1">
      <c r="A34" s="709" t="s">
        <v>456</v>
      </c>
      <c r="B34" s="709"/>
      <c r="C34" s="709"/>
      <c r="D34" s="512"/>
      <c r="E34" s="521"/>
      <c r="F34" s="224">
        <f>F30+F33</f>
        <v>4900.79</v>
      </c>
      <c r="G34" s="224">
        <f>G30+G33</f>
        <v>4900.79</v>
      </c>
      <c r="H34" s="224">
        <f>H30+H33</f>
        <v>489.46</v>
      </c>
      <c r="I34" s="224">
        <f>I30+I33</f>
        <v>130.93</v>
      </c>
      <c r="J34" s="340">
        <f>J30+J33</f>
        <v>0</v>
      </c>
    </row>
    <row r="35" spans="1:12" ht="19.5" customHeight="1">
      <c r="A35" s="522" t="s">
        <v>243</v>
      </c>
      <c r="B35" s="523"/>
      <c r="C35" s="523"/>
      <c r="D35" s="524">
        <f>Dados!$G$44</f>
        <v>6.7900000000000002E-2</v>
      </c>
      <c r="E35" s="525"/>
      <c r="F35" s="342">
        <f>ROUND((F34*$D$35),2)</f>
        <v>332.76</v>
      </c>
      <c r="G35" s="342">
        <f>ROUND((G34*$D$35),2)</f>
        <v>332.76</v>
      </c>
      <c r="H35" s="342">
        <f>ROUND((H34*$D$35),2)</f>
        <v>33.229999999999997</v>
      </c>
      <c r="I35" s="342">
        <f>ROUND((I34*$D$35),2)</f>
        <v>8.89</v>
      </c>
      <c r="J35" s="343">
        <f>ROUND((J34*$D$35),2)</f>
        <v>0</v>
      </c>
    </row>
    <row r="36" spans="1:12" ht="19.5" customHeight="1">
      <c r="A36" s="526" t="s">
        <v>457</v>
      </c>
      <c r="B36" s="527"/>
      <c r="C36" s="527"/>
      <c r="D36" s="528">
        <f>SUM(D33:D35)</f>
        <v>9.7900000000000001E-2</v>
      </c>
      <c r="E36" s="529"/>
      <c r="F36" s="346">
        <f>F33+F35</f>
        <v>475.5</v>
      </c>
      <c r="G36" s="346">
        <f>G33+G35</f>
        <v>475.5</v>
      </c>
      <c r="H36" s="346">
        <f>H33+H35</f>
        <v>47.489999999999995</v>
      </c>
      <c r="I36" s="346">
        <f>I33+I35</f>
        <v>12.700000000000001</v>
      </c>
      <c r="J36" s="347">
        <f>J33+J35</f>
        <v>0</v>
      </c>
    </row>
    <row r="37" spans="1:12" ht="19.5" customHeight="1">
      <c r="A37" s="703" t="s">
        <v>458</v>
      </c>
      <c r="B37" s="703"/>
      <c r="C37" s="703"/>
      <c r="D37" s="703"/>
      <c r="E37" s="703"/>
      <c r="F37" s="354">
        <f>F30+F36</f>
        <v>5233.55</v>
      </c>
      <c r="G37" s="354">
        <f>G30+G36</f>
        <v>5233.55</v>
      </c>
      <c r="H37" s="354">
        <f>H30+H36</f>
        <v>522.68999999999994</v>
      </c>
      <c r="I37" s="354">
        <f>I30+I36</f>
        <v>139.82</v>
      </c>
      <c r="J37" s="355">
        <f>J30+J36</f>
        <v>0</v>
      </c>
    </row>
    <row r="38" spans="1:12" ht="19.5" customHeight="1">
      <c r="A38" s="704" t="s">
        <v>459</v>
      </c>
      <c r="B38" s="704"/>
      <c r="C38" s="704"/>
      <c r="D38" s="704"/>
      <c r="E38" s="704"/>
      <c r="F38" s="704"/>
      <c r="G38" s="704"/>
      <c r="H38" s="704"/>
      <c r="I38" s="704"/>
      <c r="J38" s="704"/>
    </row>
    <row r="39" spans="1:12" ht="19.5" customHeight="1">
      <c r="A39" s="698" t="s">
        <v>249</v>
      </c>
      <c r="B39" s="698"/>
      <c r="C39" s="698"/>
      <c r="D39" s="512">
        <f>Dados!G51</f>
        <v>7.5999999999999998E-2</v>
      </c>
      <c r="E39" s="224"/>
      <c r="F39" s="224">
        <f>ROUND(($F$45*D39),2)</f>
        <v>463.85</v>
      </c>
      <c r="G39" s="224">
        <f>ROUND((G45*$D$39),2)</f>
        <v>463.85</v>
      </c>
      <c r="H39" s="224">
        <f>ROUND((H45*$D$39),2)</f>
        <v>46.33</v>
      </c>
      <c r="I39" s="224">
        <f>ROUND((I45*$D$39),2)</f>
        <v>12.39</v>
      </c>
      <c r="J39" s="340">
        <f>ROUND((J45*$D$39),2)</f>
        <v>0</v>
      </c>
    </row>
    <row r="40" spans="1:12" ht="19.5" customHeight="1">
      <c r="A40" s="698" t="s">
        <v>251</v>
      </c>
      <c r="B40" s="698"/>
      <c r="C40" s="698"/>
      <c r="D40" s="512">
        <f>Dados!G52</f>
        <v>1.6500000000000001E-2</v>
      </c>
      <c r="E40" s="224"/>
      <c r="F40" s="224">
        <f>ROUND((F45*$D$40),2)</f>
        <v>100.7</v>
      </c>
      <c r="G40" s="224">
        <f>ROUND((G45*$D$40),2)</f>
        <v>100.7</v>
      </c>
      <c r="H40" s="224">
        <f>ROUND((H45*$D$40),2)</f>
        <v>10.06</v>
      </c>
      <c r="I40" s="224">
        <f>ROUND((I45*$D$40),2)</f>
        <v>2.69</v>
      </c>
      <c r="J40" s="340">
        <f>ROUND((J45*$D$40),2)</f>
        <v>0</v>
      </c>
    </row>
    <row r="41" spans="1:12" ht="19.5" customHeight="1">
      <c r="A41" s="698" t="s">
        <v>252</v>
      </c>
      <c r="B41" s="698"/>
      <c r="C41" s="698"/>
      <c r="D41" s="512">
        <f>Dados!G53</f>
        <v>0.05</v>
      </c>
      <c r="E41" s="224"/>
      <c r="F41" s="224">
        <f>ROUND((F45*$D$41),2)</f>
        <v>305.16000000000003</v>
      </c>
      <c r="G41" s="224">
        <f>ROUND((G45*$D$41),2)</f>
        <v>305.16000000000003</v>
      </c>
      <c r="H41" s="224">
        <f>ROUND((H45*$D$41),2)</f>
        <v>30.48</v>
      </c>
      <c r="I41" s="224">
        <f>ROUND((I45*$D$41),2)</f>
        <v>8.15</v>
      </c>
      <c r="J41" s="340">
        <f>ROUND((J45*$D$41),2)</f>
        <v>0</v>
      </c>
    </row>
    <row r="42" spans="1:12" ht="19.5" customHeight="1">
      <c r="A42" s="698" t="s">
        <v>238</v>
      </c>
      <c r="B42" s="698"/>
      <c r="C42" s="698"/>
      <c r="D42" s="512">
        <f>Dados!G54</f>
        <v>0</v>
      </c>
      <c r="E42" s="224"/>
      <c r="F42" s="224">
        <f>ROUND((F45*$D$42),2)</f>
        <v>0</v>
      </c>
      <c r="G42" s="224">
        <f>ROUND((G45*$D$42),2)</f>
        <v>0</v>
      </c>
      <c r="H42" s="224">
        <f>ROUND((H45*$D$42),2)</f>
        <v>0</v>
      </c>
      <c r="I42" s="224">
        <f>ROUND((I45*$D$42),2)</f>
        <v>0</v>
      </c>
      <c r="J42" s="340">
        <f>ROUND((J45*$D$42),2)</f>
        <v>0</v>
      </c>
    </row>
    <row r="43" spans="1:12" ht="19.5" customHeight="1">
      <c r="A43" s="699" t="s">
        <v>460</v>
      </c>
      <c r="B43" s="699"/>
      <c r="C43" s="699"/>
      <c r="D43" s="530">
        <f>SUM(D39:D42)</f>
        <v>0.14250000000000002</v>
      </c>
      <c r="E43" s="531"/>
      <c r="F43" s="356">
        <f>SUM(F39:F42)</f>
        <v>869.71</v>
      </c>
      <c r="G43" s="356">
        <f>SUM(G39:G42)</f>
        <v>869.71</v>
      </c>
      <c r="H43" s="356">
        <f>SUM(H39:H42)</f>
        <v>86.87</v>
      </c>
      <c r="I43" s="356">
        <f>SUM(I39:I42)</f>
        <v>23.23</v>
      </c>
      <c r="J43" s="357">
        <f>SUM(J39:J41)</f>
        <v>0</v>
      </c>
    </row>
    <row r="44" spans="1:12" ht="19.5" customHeight="1">
      <c r="A44" s="700" t="str">
        <f>CONCATENATE("Custo Mensal - ",A7)</f>
        <v>Custo Mensal - Zelador</v>
      </c>
      <c r="B44" s="700"/>
      <c r="C44" s="700"/>
      <c r="D44" s="700"/>
      <c r="E44" s="700"/>
      <c r="F44" s="358">
        <f>ROUND(F37/(1-D43),2)</f>
        <v>6103.27</v>
      </c>
      <c r="G44" s="358">
        <f>ROUND(G37/(1-D43),2)</f>
        <v>6103.27</v>
      </c>
      <c r="H44" s="358">
        <f>ROUND(H37/(1-D43),2)</f>
        <v>609.54999999999995</v>
      </c>
      <c r="I44" s="358">
        <f>ROUND(I37/(1-D43),2)</f>
        <v>163.06</v>
      </c>
      <c r="J44" s="359">
        <f>ROUND(J37/(1-D43),2)</f>
        <v>0</v>
      </c>
    </row>
    <row r="45" spans="1:12" ht="19.5" customHeight="1">
      <c r="A45" s="701" t="str">
        <f>CONCATENATE("Valor do Custo Mensal - ",A7)</f>
        <v>Valor do Custo Mensal - Zelador</v>
      </c>
      <c r="B45" s="701"/>
      <c r="C45" s="701"/>
      <c r="D45" s="701"/>
      <c r="E45" s="701"/>
      <c r="F45" s="358">
        <f>F44</f>
        <v>6103.27</v>
      </c>
      <c r="G45" s="358">
        <f>G44</f>
        <v>6103.27</v>
      </c>
      <c r="H45" s="358">
        <f>H44</f>
        <v>609.54999999999995</v>
      </c>
      <c r="I45" s="358">
        <f>I44</f>
        <v>163.06</v>
      </c>
      <c r="J45" s="359">
        <f>J44</f>
        <v>0</v>
      </c>
      <c r="K45" s="360"/>
      <c r="L45" s="360"/>
    </row>
    <row r="46" spans="1:12" ht="27.75" customHeight="1">
      <c r="A46" s="702" t="s">
        <v>461</v>
      </c>
      <c r="B46" s="702"/>
      <c r="C46" s="702"/>
      <c r="D46" s="702"/>
      <c r="E46" s="702"/>
      <c r="F46" s="361">
        <f>(F45/F14)</f>
        <v>2.6752301218550012</v>
      </c>
      <c r="G46" s="361">
        <f>(G45/G14)</f>
        <v>2.6752301218550012</v>
      </c>
      <c r="H46" s="697" t="s">
        <v>462</v>
      </c>
      <c r="I46" s="697"/>
      <c r="J46" s="362">
        <v>0</v>
      </c>
    </row>
    <row r="47" spans="1:12" ht="19.5" customHeight="1"/>
  </sheetData>
  <sheetProtection algorithmName="SHA-512" hashValue="8Q1JL8UjcR3ymYfGPQvusRkLJXyxXwV0upZYHSowTH11yFnjVduUD8yGb803G6j1Md5FcezegOzSAStDCRxKfg==" saltValue="r1fRykdTUGySpzhio38e7A==" spinCount="100000" sheet="1" objects="1" scenarios="1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H46:I46"/>
    <mergeCell ref="A42:C42"/>
    <mergeCell ref="A43:C43"/>
    <mergeCell ref="A44:E44"/>
    <mergeCell ref="A45:E45"/>
    <mergeCell ref="A46:E4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61" fitToHeight="2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7"/>
  <sheetViews>
    <sheetView showGridLines="0" view="pageBreakPreview" zoomScale="140" zoomScaleNormal="100" zoomScalePageLayoutView="140" workbookViewId="0">
      <selection activeCell="A9" sqref="A9:J9"/>
    </sheetView>
  </sheetViews>
  <sheetFormatPr defaultColWidth="8.6640625" defaultRowHeight="14.4"/>
  <cols>
    <col min="1" max="1" width="10.5546875" style="69" customWidth="1"/>
    <col min="2" max="2" width="27.6640625" style="69" customWidth="1"/>
    <col min="3" max="3" width="14.44140625" style="69" customWidth="1"/>
    <col min="4" max="5" width="15" style="69" customWidth="1"/>
    <col min="6" max="6" width="16.6640625" style="329" customWidth="1"/>
    <col min="7" max="8" width="13.109375" style="329" customWidth="1"/>
    <col min="9" max="9" width="12.5546875" style="329" customWidth="1"/>
    <col min="10" max="10" width="13.88671875" style="329" customWidth="1"/>
    <col min="11" max="257" width="9.109375" style="69" customWidth="1"/>
    <col min="258" max="258" width="10.5546875" style="69" customWidth="1"/>
    <col min="259" max="259" width="27.6640625" style="69" customWidth="1"/>
    <col min="260" max="260" width="14.44140625" style="69" customWidth="1"/>
    <col min="261" max="262" width="15" style="69" customWidth="1"/>
    <col min="263" max="263" width="16.6640625" style="69" customWidth="1"/>
    <col min="264" max="264" width="13.109375" style="69" customWidth="1"/>
    <col min="265" max="266" width="12.5546875" style="69" customWidth="1"/>
    <col min="267" max="513" width="9.109375" style="69" customWidth="1"/>
    <col min="514" max="514" width="10.5546875" style="69" customWidth="1"/>
    <col min="515" max="515" width="27.6640625" style="69" customWidth="1"/>
    <col min="516" max="516" width="14.44140625" style="69" customWidth="1"/>
    <col min="517" max="518" width="15" style="69" customWidth="1"/>
    <col min="519" max="519" width="16.6640625" style="69" customWidth="1"/>
    <col min="520" max="520" width="13.109375" style="69" customWidth="1"/>
    <col min="521" max="522" width="12.5546875" style="69" customWidth="1"/>
    <col min="523" max="769" width="9.109375" style="69" customWidth="1"/>
    <col min="770" max="770" width="10.5546875" style="69" customWidth="1"/>
    <col min="771" max="771" width="27.6640625" style="69" customWidth="1"/>
    <col min="772" max="772" width="14.44140625" style="69" customWidth="1"/>
    <col min="773" max="774" width="15" style="69" customWidth="1"/>
    <col min="775" max="775" width="16.6640625" style="69" customWidth="1"/>
    <col min="776" max="776" width="13.109375" style="69" customWidth="1"/>
    <col min="777" max="778" width="12.5546875" style="69" customWidth="1"/>
    <col min="779" max="1025" width="9.109375" style="69" customWidth="1"/>
  </cols>
  <sheetData>
    <row r="1" spans="1:10">
      <c r="A1" s="330"/>
      <c r="B1" s="99" t="str">
        <f>INSTRUÇÕES!B1</f>
        <v>Tribunal Regional Federal da 6ª Região</v>
      </c>
      <c r="C1" s="331"/>
      <c r="D1" s="331"/>
      <c r="E1" s="331"/>
      <c r="F1" s="332"/>
      <c r="G1" s="333"/>
      <c r="H1" s="333"/>
      <c r="I1" s="332"/>
      <c r="J1" s="334"/>
    </row>
    <row r="2" spans="1:10">
      <c r="A2" s="335"/>
      <c r="B2" s="101" t="str">
        <f>INSTRUÇÕES!B2</f>
        <v>Seção Judiciária de Minas Gerais</v>
      </c>
      <c r="C2" s="58"/>
      <c r="D2" s="58"/>
      <c r="E2" s="58"/>
      <c r="F2" s="336"/>
      <c r="I2" s="336"/>
      <c r="J2" s="337"/>
    </row>
    <row r="3" spans="1:10">
      <c r="A3" s="169"/>
      <c r="B3" s="338" t="str">
        <f>INSTRUÇÕES!B3</f>
        <v>Subseção Judiciária de Poços de Caldas</v>
      </c>
      <c r="C3" s="58"/>
      <c r="D3" s="58"/>
      <c r="E3" s="58"/>
      <c r="F3" s="336"/>
      <c r="I3" s="336"/>
      <c r="J3" s="337"/>
    </row>
    <row r="4" spans="1:10" ht="19.5" customHeight="1">
      <c r="A4" s="722" t="s">
        <v>426</v>
      </c>
      <c r="B4" s="722"/>
      <c r="C4" s="722"/>
      <c r="D4" s="722"/>
      <c r="E4" s="722"/>
      <c r="F4" s="722"/>
      <c r="G4" s="722"/>
      <c r="H4" s="722"/>
      <c r="I4" s="722"/>
      <c r="J4" s="722"/>
    </row>
    <row r="5" spans="1:10" ht="19.5" customHeight="1">
      <c r="A5" s="723" t="s">
        <v>696</v>
      </c>
      <c r="B5" s="723"/>
      <c r="C5" s="723"/>
      <c r="D5" s="723"/>
      <c r="E5" s="723"/>
      <c r="F5" s="723"/>
      <c r="G5" s="723"/>
      <c r="H5" s="723"/>
      <c r="I5" s="723"/>
      <c r="J5" s="723"/>
    </row>
    <row r="6" spans="1:10" s="1" customFormat="1" ht="36" customHeight="1">
      <c r="A6" s="724" t="str">
        <f>Dados!A4</f>
        <v>Sindicato utilizado - SINTAPPI/MG. Vigência: 01/04/2024 à 31/03/2025. Sendo a data base da categoria 01º de Abril. Com número de registro no MTE MG002103/2024.</v>
      </c>
      <c r="B6" s="724"/>
      <c r="C6" s="724"/>
      <c r="D6" s="724"/>
      <c r="E6" s="724"/>
      <c r="F6" s="724"/>
      <c r="G6" s="724"/>
      <c r="H6" s="724"/>
      <c r="I6" s="724"/>
      <c r="J6" s="724"/>
    </row>
    <row r="7" spans="1:10" ht="19.5" customHeight="1">
      <c r="A7" s="725" t="str">
        <f>Dados!C10</f>
        <v>Auxiliar Administrativo</v>
      </c>
      <c r="B7" s="725"/>
      <c r="C7" s="725"/>
      <c r="D7" s="725"/>
      <c r="E7" s="725"/>
      <c r="F7" s="726" t="s">
        <v>427</v>
      </c>
      <c r="G7" s="726" t="s">
        <v>428</v>
      </c>
      <c r="H7" s="726" t="s">
        <v>429</v>
      </c>
      <c r="I7" s="726" t="s">
        <v>430</v>
      </c>
      <c r="J7" s="726" t="s">
        <v>431</v>
      </c>
    </row>
    <row r="8" spans="1:10" ht="19.5" customHeight="1">
      <c r="A8" s="727" t="s">
        <v>561</v>
      </c>
      <c r="B8" s="727"/>
      <c r="C8" s="727"/>
      <c r="D8" s="727"/>
      <c r="E8" s="507" t="s">
        <v>395</v>
      </c>
      <c r="F8" s="726"/>
      <c r="G8" s="726"/>
      <c r="H8" s="726"/>
      <c r="I8" s="726"/>
      <c r="J8" s="726"/>
    </row>
    <row r="9" spans="1:10" ht="19.5" customHeight="1">
      <c r="A9" s="706" t="s">
        <v>433</v>
      </c>
      <c r="B9" s="706"/>
      <c r="C9" s="706"/>
      <c r="D9" s="706"/>
      <c r="E9" s="706"/>
      <c r="F9" s="706"/>
      <c r="G9" s="706"/>
      <c r="H9" s="706"/>
      <c r="I9" s="706"/>
      <c r="J9" s="706"/>
    </row>
    <row r="10" spans="1:10" ht="24" customHeight="1">
      <c r="A10" s="508" t="s">
        <v>396</v>
      </c>
      <c r="B10" s="716" t="s">
        <v>434</v>
      </c>
      <c r="C10" s="716"/>
      <c r="D10" s="509" t="s">
        <v>435</v>
      </c>
      <c r="E10" s="510" t="s">
        <v>436</v>
      </c>
      <c r="F10" s="717" t="s">
        <v>399</v>
      </c>
      <c r="G10" s="717"/>
      <c r="H10" s="717"/>
      <c r="I10" s="717"/>
      <c r="J10" s="717"/>
    </row>
    <row r="11" spans="1:10" ht="19.5" customHeight="1">
      <c r="A11" s="718">
        <v>1</v>
      </c>
      <c r="B11" s="719" t="str">
        <f>A7</f>
        <v>Auxiliar Administrativo</v>
      </c>
      <c r="C11" s="719"/>
      <c r="D11" s="511">
        <f>Dados!$D$10</f>
        <v>150</v>
      </c>
      <c r="E11" s="339">
        <f>Dados!$E$10</f>
        <v>1914</v>
      </c>
      <c r="F11" s="224">
        <f>ROUND(E11/220*D11,2)</f>
        <v>1305</v>
      </c>
      <c r="G11" s="224">
        <f>F11</f>
        <v>1305</v>
      </c>
      <c r="H11" s="224"/>
      <c r="I11" s="224"/>
      <c r="J11" s="340"/>
    </row>
    <row r="12" spans="1:10" ht="19.5" customHeight="1">
      <c r="A12" s="718"/>
      <c r="B12" s="719" t="s">
        <v>437</v>
      </c>
      <c r="C12" s="719"/>
      <c r="D12" s="532">
        <f>Dados!G8</f>
        <v>0</v>
      </c>
      <c r="E12" s="339">
        <f>Dados!$G$27</f>
        <v>1412</v>
      </c>
      <c r="F12" s="224">
        <f>D12*E12</f>
        <v>0</v>
      </c>
      <c r="G12" s="224">
        <f>F12</f>
        <v>0</v>
      </c>
      <c r="H12" s="224"/>
      <c r="I12" s="224"/>
      <c r="J12" s="340">
        <f>F12</f>
        <v>0</v>
      </c>
    </row>
    <row r="13" spans="1:10" ht="21.75" customHeight="1">
      <c r="A13" s="718"/>
      <c r="B13" s="513" t="s">
        <v>438</v>
      </c>
      <c r="C13" s="514">
        <f>Dados!$I$10</f>
        <v>0</v>
      </c>
      <c r="D13" s="514">
        <f>Dados!$J$10</f>
        <v>0</v>
      </c>
      <c r="E13" s="341">
        <f>Dados!$K$10</f>
        <v>0</v>
      </c>
      <c r="F13" s="342">
        <f>ROUND((E13*D13*C13),2)</f>
        <v>0</v>
      </c>
      <c r="G13" s="342">
        <f>F13</f>
        <v>0</v>
      </c>
      <c r="H13" s="342"/>
      <c r="I13" s="342"/>
      <c r="J13" s="343"/>
    </row>
    <row r="14" spans="1:10" ht="19.5" customHeight="1">
      <c r="A14" s="718"/>
      <c r="B14" s="720" t="s">
        <v>439</v>
      </c>
      <c r="C14" s="720"/>
      <c r="D14" s="720"/>
      <c r="E14" s="720"/>
      <c r="F14" s="344">
        <f>SUM(F11:F13)</f>
        <v>1305</v>
      </c>
      <c r="G14" s="344">
        <f>SUM(G11:G13)</f>
        <v>1305</v>
      </c>
      <c r="H14" s="344">
        <f>SUM(H11:H13)</f>
        <v>0</v>
      </c>
      <c r="I14" s="344">
        <f>SUM(I11:I13)</f>
        <v>0</v>
      </c>
      <c r="J14" s="345">
        <f>SUM(J11:J13)</f>
        <v>0</v>
      </c>
    </row>
    <row r="15" spans="1:10" ht="19.5" customHeight="1">
      <c r="A15" s="718"/>
      <c r="B15" s="721" t="s">
        <v>440</v>
      </c>
      <c r="C15" s="721"/>
      <c r="D15" s="721"/>
      <c r="E15" s="515">
        <f>Encargos!$C$57</f>
        <v>0.76400000000000001</v>
      </c>
      <c r="F15" s="224">
        <f>ROUND((E15*F14),2)</f>
        <v>997.02</v>
      </c>
      <c r="G15" s="224">
        <f>F15</f>
        <v>997.02</v>
      </c>
      <c r="H15" s="224"/>
      <c r="I15" s="224"/>
      <c r="J15" s="340">
        <f>ROUND((E15*J14),2)</f>
        <v>0</v>
      </c>
    </row>
    <row r="16" spans="1:10" ht="19.5" customHeight="1">
      <c r="A16" s="712" t="s">
        <v>441</v>
      </c>
      <c r="B16" s="712"/>
      <c r="C16" s="712"/>
      <c r="D16" s="712"/>
      <c r="E16" s="712"/>
      <c r="F16" s="346">
        <f>SUM(F14:F15)</f>
        <v>2302.02</v>
      </c>
      <c r="G16" s="346">
        <f>SUM(G14:G15)</f>
        <v>2302.02</v>
      </c>
      <c r="H16" s="346">
        <f>SUM(H14:H15)</f>
        <v>0</v>
      </c>
      <c r="I16" s="346">
        <f>SUM(I14:I15)</f>
        <v>0</v>
      </c>
      <c r="J16" s="347">
        <f>SUM(J14:J15)</f>
        <v>0</v>
      </c>
    </row>
    <row r="17" spans="1:12" ht="19.5" customHeight="1">
      <c r="A17" s="713" t="s">
        <v>442</v>
      </c>
      <c r="B17" s="713"/>
      <c r="C17" s="713"/>
      <c r="D17" s="713"/>
      <c r="E17" s="713"/>
      <c r="F17" s="713"/>
      <c r="G17" s="713"/>
      <c r="H17" s="713"/>
      <c r="I17" s="713"/>
      <c r="J17" s="713"/>
    </row>
    <row r="18" spans="1:12" ht="19.5" customHeight="1">
      <c r="A18" s="707" t="s">
        <v>443</v>
      </c>
      <c r="B18" s="707"/>
      <c r="C18" s="38" t="s">
        <v>398</v>
      </c>
      <c r="D18" s="714" t="s">
        <v>463</v>
      </c>
      <c r="E18" s="714"/>
      <c r="F18" s="715" t="s">
        <v>399</v>
      </c>
      <c r="G18" s="715"/>
      <c r="H18" s="715"/>
      <c r="I18" s="715"/>
      <c r="J18" s="715"/>
    </row>
    <row r="19" spans="1:12" ht="19.5" customHeight="1">
      <c r="A19" s="698" t="s">
        <v>445</v>
      </c>
      <c r="B19" s="698"/>
      <c r="C19" s="349"/>
      <c r="D19" s="349"/>
      <c r="E19" s="349"/>
      <c r="F19" s="224">
        <f>Dados!$N$10</f>
        <v>50.78</v>
      </c>
      <c r="G19" s="224">
        <f>F19</f>
        <v>50.78</v>
      </c>
      <c r="H19" s="224"/>
      <c r="I19" s="224"/>
      <c r="J19" s="340"/>
    </row>
    <row r="20" spans="1:12" ht="19.5" customHeight="1">
      <c r="A20" s="698" t="s">
        <v>446</v>
      </c>
      <c r="B20" s="698"/>
      <c r="C20" s="349"/>
      <c r="D20" s="349"/>
      <c r="E20" s="349"/>
      <c r="F20" s="224">
        <f>Dados!$G$30</f>
        <v>7.2</v>
      </c>
      <c r="G20" s="224">
        <f>F20</f>
        <v>7.2</v>
      </c>
      <c r="H20" s="224"/>
      <c r="I20" s="224"/>
      <c r="J20" s="340"/>
    </row>
    <row r="21" spans="1:12" ht="23.25" customHeight="1">
      <c r="A21" s="711" t="s">
        <v>225</v>
      </c>
      <c r="B21" s="711"/>
      <c r="C21" s="349"/>
      <c r="D21" s="349"/>
      <c r="E21" s="349"/>
      <c r="F21" s="224">
        <f>Dados!G31</f>
        <v>0</v>
      </c>
      <c r="G21" s="224">
        <f>F21</f>
        <v>0</v>
      </c>
      <c r="H21" s="224"/>
      <c r="I21" s="224"/>
      <c r="J21" s="340"/>
    </row>
    <row r="22" spans="1:12" ht="19.5" customHeight="1">
      <c r="A22" s="698" t="s">
        <v>226</v>
      </c>
      <c r="B22" s="698"/>
      <c r="C22" s="348">
        <f>Dados!$G$34</f>
        <v>22</v>
      </c>
      <c r="D22" s="348">
        <f>Dados!$G$33</f>
        <v>2</v>
      </c>
      <c r="E22" s="349">
        <f>Dados!$G$32</f>
        <v>6</v>
      </c>
      <c r="F22" s="224">
        <f>IF(ROUND((E22*D22*C22)-(F11*Dados!$G$35),2)&lt;0,0,ROUND((E22*D22*C22)-(F11*Dados!$G$35),2))</f>
        <v>185.7</v>
      </c>
      <c r="G22" s="224">
        <f>F22</f>
        <v>185.7</v>
      </c>
      <c r="H22" s="224"/>
      <c r="I22" s="224">
        <f>F22</f>
        <v>185.7</v>
      </c>
      <c r="J22" s="340"/>
    </row>
    <row r="23" spans="1:12" ht="19.5" customHeight="1">
      <c r="A23" s="698" t="s">
        <v>235</v>
      </c>
      <c r="B23" s="698"/>
      <c r="C23" s="348">
        <f>Dados!G37</f>
        <v>22</v>
      </c>
      <c r="D23" s="350">
        <f>Dados!G38</f>
        <v>0.2</v>
      </c>
      <c r="E23" s="349">
        <f>Dados!$G$36</f>
        <v>27</v>
      </c>
      <c r="F23" s="258">
        <f>ROUND((IF(D11&gt;150,((C23*E23)-(C23*(D23*E23))),0)),2)</f>
        <v>0</v>
      </c>
      <c r="G23" s="224">
        <f>F23</f>
        <v>0</v>
      </c>
      <c r="H23" s="224">
        <f>$F$23</f>
        <v>0</v>
      </c>
      <c r="I23" s="258"/>
      <c r="J23" s="340"/>
    </row>
    <row r="24" spans="1:12" ht="19.5" customHeight="1">
      <c r="A24" s="698" t="s">
        <v>238</v>
      </c>
      <c r="B24" s="698"/>
      <c r="C24" s="348"/>
      <c r="D24" s="348"/>
      <c r="E24" s="349"/>
      <c r="F24" s="258">
        <f>Dados!$G$39</f>
        <v>0</v>
      </c>
      <c r="G24" s="224"/>
      <c r="H24" s="224"/>
      <c r="I24" s="258"/>
      <c r="J24" s="340"/>
    </row>
    <row r="25" spans="1:12" ht="19.5" customHeight="1">
      <c r="A25" s="698" t="s">
        <v>238</v>
      </c>
      <c r="B25" s="698"/>
      <c r="C25" s="348"/>
      <c r="D25" s="348"/>
      <c r="E25" s="349"/>
      <c r="F25" s="258">
        <f>Dados!$G$40</f>
        <v>0</v>
      </c>
      <c r="G25" s="224"/>
      <c r="H25" s="224"/>
      <c r="I25" s="258"/>
      <c r="J25" s="340"/>
    </row>
    <row r="26" spans="1:12" ht="19.5" customHeight="1">
      <c r="A26" s="698" t="s">
        <v>447</v>
      </c>
      <c r="B26" s="698"/>
      <c r="C26" s="348"/>
      <c r="D26" s="349"/>
      <c r="E26" s="349"/>
      <c r="F26" s="224"/>
      <c r="G26" s="224"/>
      <c r="H26" s="224"/>
      <c r="I26" s="224"/>
      <c r="J26" s="340"/>
      <c r="L26" s="351"/>
    </row>
    <row r="27" spans="1:12" ht="19.5" customHeight="1">
      <c r="A27" s="516" t="s">
        <v>448</v>
      </c>
      <c r="B27" s="517"/>
      <c r="C27" s="348"/>
      <c r="D27" s="349"/>
      <c r="E27" s="349"/>
      <c r="F27" s="224"/>
      <c r="G27" s="224"/>
      <c r="H27" s="224"/>
      <c r="I27" s="224"/>
      <c r="J27" s="340"/>
    </row>
    <row r="28" spans="1:12" ht="19.5" customHeight="1">
      <c r="A28" s="710" t="s">
        <v>449</v>
      </c>
      <c r="B28" s="710"/>
      <c r="C28" s="352"/>
      <c r="D28" s="353"/>
      <c r="E28" s="353"/>
      <c r="F28" s="342"/>
      <c r="G28" s="342"/>
      <c r="H28" s="342"/>
      <c r="I28" s="342"/>
      <c r="J28" s="343"/>
    </row>
    <row r="29" spans="1:12" ht="19.5" customHeight="1">
      <c r="A29" s="705" t="s">
        <v>450</v>
      </c>
      <c r="B29" s="705"/>
      <c r="C29" s="705"/>
      <c r="D29" s="705"/>
      <c r="E29" s="705"/>
      <c r="F29" s="346">
        <f>SUM(F19:F28)</f>
        <v>243.68</v>
      </c>
      <c r="G29" s="346">
        <f>SUM(G19:G28)</f>
        <v>243.68</v>
      </c>
      <c r="H29" s="346">
        <f>SUM(H19:H28)</f>
        <v>0</v>
      </c>
      <c r="I29" s="346">
        <f>SUM(I19:I28)</f>
        <v>185.7</v>
      </c>
      <c r="J29" s="347">
        <f>SUM(J19:J28)</f>
        <v>0</v>
      </c>
    </row>
    <row r="30" spans="1:12" ht="19.5" customHeight="1">
      <c r="A30" s="705" t="s">
        <v>451</v>
      </c>
      <c r="B30" s="705"/>
      <c r="C30" s="705"/>
      <c r="D30" s="705"/>
      <c r="E30" s="705"/>
      <c r="F30" s="346">
        <f>F16+F29</f>
        <v>2545.6999999999998</v>
      </c>
      <c r="G30" s="346">
        <f>G16+G29</f>
        <v>2545.6999999999998</v>
      </c>
      <c r="H30" s="346">
        <f>H16+H29</f>
        <v>0</v>
      </c>
      <c r="I30" s="346">
        <f>I16+I29</f>
        <v>185.7</v>
      </c>
      <c r="J30" s="347">
        <f>J16+J29</f>
        <v>0</v>
      </c>
    </row>
    <row r="31" spans="1:12" ht="19.5" customHeight="1">
      <c r="A31" s="706" t="s">
        <v>452</v>
      </c>
      <c r="B31" s="706"/>
      <c r="C31" s="706"/>
      <c r="D31" s="706"/>
      <c r="E31" s="706"/>
      <c r="F31" s="706"/>
      <c r="G31" s="706"/>
      <c r="H31" s="706"/>
      <c r="I31" s="706"/>
      <c r="J31" s="706"/>
    </row>
    <row r="32" spans="1:12" ht="19.5" customHeight="1">
      <c r="A32" s="707" t="s">
        <v>453</v>
      </c>
      <c r="B32" s="707"/>
      <c r="C32" s="707"/>
      <c r="D32" s="518" t="s">
        <v>454</v>
      </c>
      <c r="E32" s="708" t="s">
        <v>399</v>
      </c>
      <c r="F32" s="708"/>
      <c r="G32" s="708"/>
      <c r="H32" s="708"/>
      <c r="I32" s="708"/>
      <c r="J32" s="708"/>
    </row>
    <row r="33" spans="1:12" ht="19.5" customHeight="1">
      <c r="A33" s="519" t="s">
        <v>455</v>
      </c>
      <c r="B33" s="520"/>
      <c r="C33" s="520"/>
      <c r="D33" s="512">
        <f>Dados!$G$43</f>
        <v>0.03</v>
      </c>
      <c r="E33" s="521"/>
      <c r="F33" s="224">
        <f>ROUND((F30*$D$33),2)</f>
        <v>76.37</v>
      </c>
      <c r="G33" s="224">
        <f>ROUND((G30*$D$33),2)</f>
        <v>76.37</v>
      </c>
      <c r="H33" s="224">
        <f>ROUND((H30*$D$33),2)</f>
        <v>0</v>
      </c>
      <c r="I33" s="224">
        <f>ROUND((I30*$D$33),2)</f>
        <v>5.57</v>
      </c>
      <c r="J33" s="340">
        <f>ROUND((J30*$D$33),2)</f>
        <v>0</v>
      </c>
    </row>
    <row r="34" spans="1:12" ht="19.5" customHeight="1">
      <c r="A34" s="709" t="s">
        <v>456</v>
      </c>
      <c r="B34" s="709"/>
      <c r="C34" s="709"/>
      <c r="D34" s="512"/>
      <c r="E34" s="521"/>
      <c r="F34" s="224">
        <f>F30+F33</f>
        <v>2622.0699999999997</v>
      </c>
      <c r="G34" s="224">
        <f>G30+G33</f>
        <v>2622.0699999999997</v>
      </c>
      <c r="H34" s="224">
        <f>H30+H33</f>
        <v>0</v>
      </c>
      <c r="I34" s="224">
        <f>I30+I33</f>
        <v>191.26999999999998</v>
      </c>
      <c r="J34" s="340">
        <f>J30+J33</f>
        <v>0</v>
      </c>
    </row>
    <row r="35" spans="1:12" ht="19.5" customHeight="1">
      <c r="A35" s="522" t="s">
        <v>243</v>
      </c>
      <c r="B35" s="523"/>
      <c r="C35" s="523"/>
      <c r="D35" s="524">
        <f>Dados!$G$44</f>
        <v>6.7900000000000002E-2</v>
      </c>
      <c r="E35" s="525"/>
      <c r="F35" s="342">
        <f>ROUND((F34*$D$35),2)</f>
        <v>178.04</v>
      </c>
      <c r="G35" s="342">
        <f>ROUND((G34*$D$35),2)</f>
        <v>178.04</v>
      </c>
      <c r="H35" s="342">
        <f>ROUND((H34*$D$35),2)</f>
        <v>0</v>
      </c>
      <c r="I35" s="342">
        <f>ROUND((I34*$D$35),2)</f>
        <v>12.99</v>
      </c>
      <c r="J35" s="343">
        <f>ROUND((J34*$D$35),2)</f>
        <v>0</v>
      </c>
    </row>
    <row r="36" spans="1:12" ht="19.5" customHeight="1">
      <c r="A36" s="526" t="s">
        <v>457</v>
      </c>
      <c r="B36" s="527"/>
      <c r="C36" s="527"/>
      <c r="D36" s="528">
        <f>SUM(D33:D35)</f>
        <v>9.7900000000000001E-2</v>
      </c>
      <c r="E36" s="529"/>
      <c r="F36" s="346">
        <f>F33+F35</f>
        <v>254.41</v>
      </c>
      <c r="G36" s="346">
        <f>G33+G35</f>
        <v>254.41</v>
      </c>
      <c r="H36" s="346">
        <f>H33+H35</f>
        <v>0</v>
      </c>
      <c r="I36" s="346">
        <f>I33+I35</f>
        <v>18.560000000000002</v>
      </c>
      <c r="J36" s="347">
        <f>J33+J35</f>
        <v>0</v>
      </c>
    </row>
    <row r="37" spans="1:12" ht="19.5" customHeight="1">
      <c r="A37" s="703" t="s">
        <v>458</v>
      </c>
      <c r="B37" s="703"/>
      <c r="C37" s="703"/>
      <c r="D37" s="703"/>
      <c r="E37" s="703"/>
      <c r="F37" s="354">
        <f>F30+F36</f>
        <v>2800.1099999999997</v>
      </c>
      <c r="G37" s="354">
        <f>G30+G36</f>
        <v>2800.1099999999997</v>
      </c>
      <c r="H37" s="354">
        <f>H30+H36</f>
        <v>0</v>
      </c>
      <c r="I37" s="354">
        <f>I30+I36</f>
        <v>204.26</v>
      </c>
      <c r="J37" s="355">
        <f>J30+J36</f>
        <v>0</v>
      </c>
    </row>
    <row r="38" spans="1:12" ht="19.5" customHeight="1">
      <c r="A38" s="704" t="s">
        <v>459</v>
      </c>
      <c r="B38" s="704"/>
      <c r="C38" s="704"/>
      <c r="D38" s="704"/>
      <c r="E38" s="704"/>
      <c r="F38" s="704"/>
      <c r="G38" s="704"/>
      <c r="H38" s="704"/>
      <c r="I38" s="704"/>
      <c r="J38" s="704"/>
    </row>
    <row r="39" spans="1:12" ht="19.5" customHeight="1">
      <c r="A39" s="698" t="s">
        <v>249</v>
      </c>
      <c r="B39" s="698"/>
      <c r="C39" s="698"/>
      <c r="D39" s="512">
        <f>Dados!G51</f>
        <v>7.5999999999999998E-2</v>
      </c>
      <c r="E39" s="224"/>
      <c r="F39" s="224">
        <f>ROUND(($F$45*D39),2)</f>
        <v>248.17</v>
      </c>
      <c r="G39" s="224">
        <f>ROUND((G45*$D$39),2)</f>
        <v>248.17</v>
      </c>
      <c r="H39" s="224">
        <f>ROUND((H45*$D$39),2)</f>
        <v>0</v>
      </c>
      <c r="I39" s="224">
        <f>ROUND((I45*$D$39),2)</f>
        <v>18.100000000000001</v>
      </c>
      <c r="J39" s="340">
        <f>ROUND((J45*$D$39),2)</f>
        <v>0</v>
      </c>
    </row>
    <row r="40" spans="1:12" ht="19.5" customHeight="1">
      <c r="A40" s="698" t="s">
        <v>251</v>
      </c>
      <c r="B40" s="698"/>
      <c r="C40" s="698"/>
      <c r="D40" s="512">
        <f>Dados!G52</f>
        <v>1.6500000000000001E-2</v>
      </c>
      <c r="E40" s="224"/>
      <c r="F40" s="224">
        <f>ROUND((F45*$D$40),2)</f>
        <v>53.88</v>
      </c>
      <c r="G40" s="224">
        <f>ROUND((G45*$D$40),2)</f>
        <v>53.88</v>
      </c>
      <c r="H40" s="224">
        <f>ROUND((H45*$D$40),2)</f>
        <v>0</v>
      </c>
      <c r="I40" s="224">
        <f>ROUND((I45*$D$40),2)</f>
        <v>3.93</v>
      </c>
      <c r="J40" s="340">
        <f>ROUND((J45*$D$40),2)</f>
        <v>0</v>
      </c>
    </row>
    <row r="41" spans="1:12" ht="19.5" customHeight="1">
      <c r="A41" s="698" t="s">
        <v>252</v>
      </c>
      <c r="B41" s="698"/>
      <c r="C41" s="698"/>
      <c r="D41" s="512">
        <f>Dados!G53</f>
        <v>0.05</v>
      </c>
      <c r="E41" s="224"/>
      <c r="F41" s="224">
        <f>ROUND((F45*$D$41),2)</f>
        <v>163.27000000000001</v>
      </c>
      <c r="G41" s="224">
        <f>ROUND((G45*$D$41),2)</f>
        <v>163.27000000000001</v>
      </c>
      <c r="H41" s="224">
        <f>ROUND((H45*$D$41),2)</f>
        <v>0</v>
      </c>
      <c r="I41" s="224">
        <f>ROUND((I45*$D$41),2)</f>
        <v>11.91</v>
      </c>
      <c r="J41" s="340">
        <f>ROUND((J45*$D$41),2)</f>
        <v>0</v>
      </c>
    </row>
    <row r="42" spans="1:12" ht="19.5" customHeight="1">
      <c r="A42" s="698" t="s">
        <v>238</v>
      </c>
      <c r="B42" s="698"/>
      <c r="C42" s="698"/>
      <c r="D42" s="512">
        <f>Dados!G54</f>
        <v>0</v>
      </c>
      <c r="E42" s="224"/>
      <c r="F42" s="224">
        <f>ROUND((F45*$D$42),2)</f>
        <v>0</v>
      </c>
      <c r="G42" s="224">
        <f>ROUND((G45*$D$42),2)</f>
        <v>0</v>
      </c>
      <c r="H42" s="224">
        <f>ROUND((H45*$D$42),2)</f>
        <v>0</v>
      </c>
      <c r="I42" s="224">
        <f>ROUND((I45*$D$42),2)</f>
        <v>0</v>
      </c>
      <c r="J42" s="340">
        <f>ROUND((J45*$D$42),2)</f>
        <v>0</v>
      </c>
    </row>
    <row r="43" spans="1:12" ht="19.5" customHeight="1">
      <c r="A43" s="699" t="s">
        <v>460</v>
      </c>
      <c r="B43" s="699"/>
      <c r="C43" s="699"/>
      <c r="D43" s="530">
        <f>SUM(D39:D42)</f>
        <v>0.14250000000000002</v>
      </c>
      <c r="E43" s="531"/>
      <c r="F43" s="356">
        <f>SUM(F39:F42)</f>
        <v>465.32000000000005</v>
      </c>
      <c r="G43" s="356">
        <f>SUM(G39:G42)</f>
        <v>465.32000000000005</v>
      </c>
      <c r="H43" s="356">
        <f>SUM(H39:H42)</f>
        <v>0</v>
      </c>
      <c r="I43" s="356">
        <f>SUM(I39:I42)</f>
        <v>33.94</v>
      </c>
      <c r="J43" s="357">
        <f>SUM(J39:J41)</f>
        <v>0</v>
      </c>
    </row>
    <row r="44" spans="1:12" ht="19.5" customHeight="1">
      <c r="A44" s="700" t="str">
        <f>CONCATENATE("Custo Mensal - ",A7)</f>
        <v>Custo Mensal - Auxiliar Administrativo</v>
      </c>
      <c r="B44" s="700"/>
      <c r="C44" s="700"/>
      <c r="D44" s="700"/>
      <c r="E44" s="700"/>
      <c r="F44" s="358">
        <f>ROUND(F37/(1-D43),2)</f>
        <v>3265.43</v>
      </c>
      <c r="G44" s="358">
        <f>ROUND(G37/(1-D43),2)</f>
        <v>3265.43</v>
      </c>
      <c r="H44" s="358">
        <f>ROUND(H37/(1-D43),2)</f>
        <v>0</v>
      </c>
      <c r="I44" s="358">
        <f>ROUND(I37/(1-D43),2)</f>
        <v>238.2</v>
      </c>
      <c r="J44" s="359">
        <f>ROUND(J37/(1-D43),2)</f>
        <v>0</v>
      </c>
    </row>
    <row r="45" spans="1:12" ht="19.5" customHeight="1">
      <c r="A45" s="701" t="str">
        <f>CONCATENATE("Valor do Custo Mensal - ",A7)</f>
        <v>Valor do Custo Mensal - Auxiliar Administrativo</v>
      </c>
      <c r="B45" s="701"/>
      <c r="C45" s="701"/>
      <c r="D45" s="701"/>
      <c r="E45" s="701"/>
      <c r="F45" s="358">
        <f>F44</f>
        <v>3265.43</v>
      </c>
      <c r="G45" s="358">
        <f>G44</f>
        <v>3265.43</v>
      </c>
      <c r="H45" s="358">
        <f>H44</f>
        <v>0</v>
      </c>
      <c r="I45" s="358">
        <f>I44</f>
        <v>238.2</v>
      </c>
      <c r="J45" s="359">
        <f>J44</f>
        <v>0</v>
      </c>
      <c r="K45" s="360"/>
      <c r="L45" s="360"/>
    </row>
    <row r="46" spans="1:12" ht="27.75" customHeight="1">
      <c r="A46" s="702" t="s">
        <v>461</v>
      </c>
      <c r="B46" s="702"/>
      <c r="C46" s="702"/>
      <c r="D46" s="702"/>
      <c r="E46" s="702"/>
      <c r="F46" s="361">
        <f>(F45/F14)</f>
        <v>2.5022452107279691</v>
      </c>
      <c r="G46" s="361">
        <f>(G45/G14)</f>
        <v>2.5022452107279691</v>
      </c>
      <c r="H46" s="697" t="s">
        <v>462</v>
      </c>
      <c r="I46" s="697"/>
      <c r="J46" s="362">
        <v>0</v>
      </c>
    </row>
    <row r="47" spans="1:12" ht="19.5" customHeight="1"/>
  </sheetData>
  <sheetProtection algorithmName="SHA-512" hashValue="tnONVYJaMW/Nk4GfRszH4QSeRyD5bKKPZXpd0uI+fNztKUylZO+t8rE2/f0Selu2bbRa6TBcEngofDhWWFnnVQ==" saltValue="EUQl8EGA7bbqyZO59osJ8Q==" spinCount="100000" sheet="1" objects="1" scenarios="1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H46:I46"/>
    <mergeCell ref="A42:C42"/>
    <mergeCell ref="A43:C43"/>
    <mergeCell ref="A44:E44"/>
    <mergeCell ref="A45:E45"/>
    <mergeCell ref="A46:E4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60" fitToHeight="2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MK23"/>
  <sheetViews>
    <sheetView showGridLines="0" topLeftCell="F1" zoomScaleNormal="100" zoomScaleSheetLayoutView="100" zoomScalePageLayoutView="140" workbookViewId="0">
      <selection activeCell="W16" sqref="W16"/>
    </sheetView>
  </sheetViews>
  <sheetFormatPr defaultColWidth="8.6640625" defaultRowHeight="14.4"/>
  <cols>
    <col min="1" max="1" width="12" style="1" customWidth="1"/>
    <col min="2" max="2" width="44.44140625" style="1" customWidth="1"/>
    <col min="3" max="3" width="7.109375" style="1" customWidth="1"/>
    <col min="4" max="4" width="6.6640625" style="1" customWidth="1"/>
    <col min="5" max="5" width="10.109375" style="1" customWidth="1"/>
    <col min="6" max="6" width="12.5546875" style="1" customWidth="1"/>
    <col min="7" max="7" width="12.33203125" style="1" customWidth="1"/>
    <col min="8" max="8" width="13.44140625" style="1" customWidth="1"/>
    <col min="9" max="9" width="11.88671875" style="1" customWidth="1"/>
    <col min="10" max="10" width="13.6640625" style="1" customWidth="1"/>
    <col min="11" max="11" width="11.33203125" style="1" customWidth="1"/>
    <col min="12" max="12" width="15.5546875" style="1" customWidth="1"/>
    <col min="13" max="13" width="12.33203125" style="1" customWidth="1"/>
    <col min="14" max="14" width="7.44140625" style="1" customWidth="1"/>
    <col min="15" max="15" width="13.33203125" style="1" customWidth="1"/>
    <col min="16" max="16" width="12" style="1" customWidth="1"/>
    <col min="17" max="17" width="9.5546875" style="1" customWidth="1"/>
    <col min="18" max="18" width="11.33203125" style="1" customWidth="1"/>
    <col min="19" max="19" width="16.109375" style="1" customWidth="1"/>
    <col min="20" max="20" width="12.109375" style="1" customWidth="1"/>
    <col min="21" max="22" width="10.109375" style="1" customWidth="1"/>
    <col min="23" max="23" width="16.44140625" style="1" customWidth="1"/>
    <col min="24" max="259" width="9.109375" style="1" customWidth="1"/>
    <col min="260" max="260" width="13.109375" style="1" customWidth="1"/>
    <col min="261" max="261" width="38.44140625" style="1" customWidth="1"/>
    <col min="262" max="262" width="7.109375" style="1" customWidth="1"/>
    <col min="263" max="263" width="6.6640625" style="1" customWidth="1"/>
    <col min="264" max="264" width="10.109375" style="1" customWidth="1"/>
    <col min="265" max="265" width="12.5546875" style="1" customWidth="1"/>
    <col min="266" max="266" width="12.33203125" style="1" customWidth="1"/>
    <col min="267" max="267" width="13.44140625" style="1" customWidth="1"/>
    <col min="268" max="268" width="12.109375" style="1" customWidth="1"/>
    <col min="269" max="269" width="13.6640625" style="1" customWidth="1"/>
    <col min="270" max="270" width="11.33203125" style="1" customWidth="1"/>
    <col min="271" max="271" width="15.5546875" style="1" customWidth="1"/>
    <col min="272" max="272" width="12.33203125" style="1" customWidth="1"/>
    <col min="273" max="273" width="7.44140625" style="1" customWidth="1"/>
    <col min="274" max="274" width="13.33203125" style="1" customWidth="1"/>
    <col min="275" max="275" width="14" style="1" customWidth="1"/>
    <col min="276" max="276" width="12.109375" style="1" customWidth="1"/>
    <col min="277" max="278" width="10.109375" style="1" customWidth="1"/>
    <col min="279" max="279" width="16.44140625" style="1" customWidth="1"/>
    <col min="280" max="515" width="9.109375" style="1" customWidth="1"/>
    <col min="516" max="516" width="13.109375" style="1" customWidth="1"/>
    <col min="517" max="517" width="38.44140625" style="1" customWidth="1"/>
    <col min="518" max="518" width="7.109375" style="1" customWidth="1"/>
    <col min="519" max="519" width="6.6640625" style="1" customWidth="1"/>
    <col min="520" max="520" width="10.109375" style="1" customWidth="1"/>
    <col min="521" max="521" width="12.5546875" style="1" customWidth="1"/>
    <col min="522" max="522" width="12.33203125" style="1" customWidth="1"/>
    <col min="523" max="523" width="13.44140625" style="1" customWidth="1"/>
    <col min="524" max="524" width="12.109375" style="1" customWidth="1"/>
    <col min="525" max="525" width="13.6640625" style="1" customWidth="1"/>
    <col min="526" max="526" width="11.33203125" style="1" customWidth="1"/>
    <col min="527" max="527" width="15.5546875" style="1" customWidth="1"/>
    <col min="528" max="528" width="12.33203125" style="1" customWidth="1"/>
    <col min="529" max="529" width="7.44140625" style="1" customWidth="1"/>
    <col min="530" max="530" width="13.33203125" style="1" customWidth="1"/>
    <col min="531" max="531" width="14" style="1" customWidth="1"/>
    <col min="532" max="532" width="12.109375" style="1" customWidth="1"/>
    <col min="533" max="534" width="10.109375" style="1" customWidth="1"/>
    <col min="535" max="535" width="16.44140625" style="1" customWidth="1"/>
    <col min="536" max="771" width="9.109375" style="1" customWidth="1"/>
    <col min="772" max="772" width="13.109375" style="1" customWidth="1"/>
    <col min="773" max="773" width="38.44140625" style="1" customWidth="1"/>
    <col min="774" max="774" width="7.109375" style="1" customWidth="1"/>
    <col min="775" max="775" width="6.6640625" style="1" customWidth="1"/>
    <col min="776" max="776" width="10.109375" style="1" customWidth="1"/>
    <col min="777" max="777" width="12.5546875" style="1" customWidth="1"/>
    <col min="778" max="778" width="12.33203125" style="1" customWidth="1"/>
    <col min="779" max="779" width="13.44140625" style="1" customWidth="1"/>
    <col min="780" max="780" width="12.109375" style="1" customWidth="1"/>
    <col min="781" max="781" width="13.6640625" style="1" customWidth="1"/>
    <col min="782" max="782" width="11.33203125" style="1" customWidth="1"/>
    <col min="783" max="783" width="15.5546875" style="1" customWidth="1"/>
    <col min="784" max="784" width="12.33203125" style="1" customWidth="1"/>
    <col min="785" max="785" width="7.44140625" style="1" customWidth="1"/>
    <col min="786" max="786" width="13.33203125" style="1" customWidth="1"/>
    <col min="787" max="787" width="14" style="1" customWidth="1"/>
    <col min="788" max="788" width="12.109375" style="1" customWidth="1"/>
    <col min="789" max="790" width="10.109375" style="1" customWidth="1"/>
    <col min="791" max="791" width="16.44140625" style="1" customWidth="1"/>
    <col min="792" max="1025" width="9.109375" style="1" customWidth="1"/>
  </cols>
  <sheetData>
    <row r="1" spans="1:25">
      <c r="A1" s="4"/>
      <c r="B1" s="363" t="str">
        <f>INSTRUÇÕES!B1</f>
        <v>Tribunal Regional Federal da 6ª Região</v>
      </c>
      <c r="C1" s="211"/>
      <c r="D1" s="211"/>
      <c r="E1" s="211"/>
      <c r="F1" s="211"/>
      <c r="G1" s="211"/>
      <c r="H1" s="211"/>
      <c r="I1" s="211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5"/>
    </row>
    <row r="2" spans="1:25">
      <c r="A2" s="366"/>
      <c r="B2" s="115" t="str">
        <f>INSTRUÇÕES!B2</f>
        <v>Seção Judiciária de Minas Gerais</v>
      </c>
      <c r="C2" s="69"/>
      <c r="D2" s="69"/>
      <c r="E2" s="69"/>
      <c r="F2" s="69"/>
      <c r="G2" s="69"/>
      <c r="H2" s="69"/>
      <c r="I2" s="69"/>
      <c r="W2" s="367"/>
    </row>
    <row r="3" spans="1:25">
      <c r="A3" s="366"/>
      <c r="B3" s="115" t="str">
        <f>INSTRUÇÕES!B3</f>
        <v>Subseção Judiciária de Poços de Caldas</v>
      </c>
      <c r="C3" s="69"/>
      <c r="D3" s="69"/>
      <c r="E3" s="69"/>
      <c r="F3" s="69"/>
      <c r="G3" s="69"/>
      <c r="H3" s="69"/>
      <c r="I3" s="69"/>
      <c r="W3" s="367"/>
    </row>
    <row r="4" spans="1:25" s="368" customFormat="1" ht="18.75" customHeight="1">
      <c r="A4" s="742" t="s">
        <v>697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</row>
    <row r="5" spans="1:25" s="119" customFormat="1" ht="21" customHeight="1">
      <c r="A5" s="743" t="str">
        <f>"PREÇO MENSAL GLOBAL - "&amp;B3</f>
        <v>PREÇO MENSAL GLOBAL - Subseção Judiciária de Poços de Caldas</v>
      </c>
      <c r="B5" s="743"/>
      <c r="C5" s="743"/>
      <c r="D5" s="743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  <c r="V5" s="743"/>
      <c r="W5" s="743"/>
    </row>
    <row r="6" spans="1:25" s="3" customFormat="1" ht="23.25" customHeight="1">
      <c r="A6" s="744" t="str">
        <f>Dados!A4</f>
        <v>Sindicato utilizado - SINTAPPI/MG. Vigência: 01/04/2024 à 31/03/2025. Sendo a data base da categoria 01º de Abril. Com número de registro no MTE MG002103/2024.</v>
      </c>
      <c r="B6" s="744"/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  <c r="V6" s="744"/>
      <c r="W6" s="744"/>
    </row>
    <row r="7" spans="1:25" s="17" customFormat="1" ht="18.75" customHeight="1">
      <c r="A7" s="369"/>
      <c r="B7" s="370"/>
      <c r="C7" s="370"/>
      <c r="D7" s="370"/>
      <c r="E7" s="371"/>
      <c r="F7" s="371"/>
      <c r="G7" s="371"/>
      <c r="H7" s="372" t="s">
        <v>464</v>
      </c>
      <c r="I7" s="373"/>
      <c r="J7" s="373"/>
      <c r="K7" s="371"/>
      <c r="L7" s="371"/>
      <c r="M7" s="371"/>
      <c r="N7" s="371"/>
      <c r="O7" s="371"/>
      <c r="P7" s="371"/>
      <c r="Q7" s="371"/>
      <c r="R7" s="371"/>
      <c r="S7" s="745" t="s">
        <v>465</v>
      </c>
      <c r="T7" s="745"/>
      <c r="U7" s="745"/>
      <c r="V7" s="745"/>
      <c r="W7" s="745"/>
    </row>
    <row r="8" spans="1:25" s="17" customFormat="1" ht="22.5" customHeight="1">
      <c r="A8" s="746" t="s">
        <v>466</v>
      </c>
      <c r="B8" s="747" t="s">
        <v>467</v>
      </c>
      <c r="C8" s="747"/>
      <c r="D8" s="748" t="s">
        <v>44</v>
      </c>
      <c r="E8" s="748"/>
      <c r="F8" s="748"/>
      <c r="G8" s="748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9" t="s">
        <v>468</v>
      </c>
    </row>
    <row r="9" spans="1:25" s="17" customFormat="1" ht="20.25" customHeight="1">
      <c r="A9" s="746"/>
      <c r="B9" s="747"/>
      <c r="C9" s="747"/>
      <c r="D9" s="750" t="s">
        <v>469</v>
      </c>
      <c r="E9" s="750"/>
      <c r="F9" s="750"/>
      <c r="G9" s="750" t="s">
        <v>470</v>
      </c>
      <c r="H9" s="750"/>
      <c r="I9" s="750"/>
      <c r="J9" s="751" t="s">
        <v>471</v>
      </c>
      <c r="K9" s="751"/>
      <c r="L9" s="751"/>
      <c r="M9" s="751"/>
      <c r="N9" s="751"/>
      <c r="O9" s="751"/>
      <c r="P9" s="752" t="s">
        <v>472</v>
      </c>
      <c r="Q9" s="752"/>
      <c r="R9" s="752"/>
      <c r="S9" s="374" t="s">
        <v>473</v>
      </c>
      <c r="T9" s="753" t="s">
        <v>474</v>
      </c>
      <c r="U9" s="753"/>
      <c r="V9" s="753"/>
      <c r="W9" s="749"/>
    </row>
    <row r="10" spans="1:25" s="17" customFormat="1" ht="27.75" customHeight="1">
      <c r="A10" s="746"/>
      <c r="B10" s="747"/>
      <c r="C10" s="747"/>
      <c r="D10" s="754" t="s">
        <v>475</v>
      </c>
      <c r="E10" s="754"/>
      <c r="F10" s="754"/>
      <c r="G10" s="755" t="s">
        <v>476</v>
      </c>
      <c r="H10" s="738" t="s">
        <v>477</v>
      </c>
      <c r="I10" s="738"/>
      <c r="J10" s="739" t="s">
        <v>478</v>
      </c>
      <c r="K10" s="739"/>
      <c r="L10" s="739"/>
      <c r="M10" s="740" t="s">
        <v>479</v>
      </c>
      <c r="N10" s="740"/>
      <c r="O10" s="740"/>
      <c r="P10" s="741" t="s">
        <v>480</v>
      </c>
      <c r="Q10" s="741"/>
      <c r="R10" s="741"/>
      <c r="S10" s="728" t="s">
        <v>481</v>
      </c>
      <c r="T10" s="741" t="s">
        <v>482</v>
      </c>
      <c r="U10" s="741"/>
      <c r="V10" s="741"/>
      <c r="W10" s="749"/>
    </row>
    <row r="11" spans="1:25" s="17" customFormat="1" ht="69.599999999999994" thickBot="1">
      <c r="A11" s="746"/>
      <c r="B11" s="375" t="s">
        <v>25</v>
      </c>
      <c r="C11" s="376" t="s">
        <v>26</v>
      </c>
      <c r="D11" s="377" t="s">
        <v>24</v>
      </c>
      <c r="E11" s="378" t="s">
        <v>483</v>
      </c>
      <c r="F11" s="379" t="s">
        <v>484</v>
      </c>
      <c r="G11" s="755"/>
      <c r="H11" s="380" t="s">
        <v>485</v>
      </c>
      <c r="I11" s="381" t="s">
        <v>486</v>
      </c>
      <c r="J11" s="382" t="s">
        <v>487</v>
      </c>
      <c r="K11" s="380" t="s">
        <v>33</v>
      </c>
      <c r="L11" s="383" t="s">
        <v>488</v>
      </c>
      <c r="M11" s="375" t="s">
        <v>489</v>
      </c>
      <c r="N11" s="378" t="s">
        <v>34</v>
      </c>
      <c r="O11" s="384" t="s">
        <v>490</v>
      </c>
      <c r="P11" s="375" t="s">
        <v>491</v>
      </c>
      <c r="Q11" s="378" t="s">
        <v>492</v>
      </c>
      <c r="R11" s="376" t="s">
        <v>493</v>
      </c>
      <c r="S11" s="728"/>
      <c r="T11" s="375" t="s">
        <v>494</v>
      </c>
      <c r="U11" s="378" t="s">
        <v>495</v>
      </c>
      <c r="V11" s="385" t="s">
        <v>496</v>
      </c>
      <c r="W11" s="749"/>
    </row>
    <row r="12" spans="1:25" s="17" customFormat="1" ht="15.75" customHeight="1">
      <c r="A12" s="735">
        <f>Dados!A7</f>
        <v>333903702</v>
      </c>
      <c r="B12" s="386" t="str">
        <f>Dados!C7</f>
        <v>Servente de Limpeza 40% Insalubridade</v>
      </c>
      <c r="C12" s="387">
        <f>Dados!D7</f>
        <v>220</v>
      </c>
      <c r="D12" s="388">
        <f>Dados!B7</f>
        <v>1</v>
      </c>
      <c r="E12" s="389">
        <f>'Serv Ins'!$F$45</f>
        <v>6670.23</v>
      </c>
      <c r="F12" s="390">
        <f>ROUND((D12*E12),2)</f>
        <v>6670.23</v>
      </c>
      <c r="G12" s="391">
        <f>'Serv Ins'!$I$45</f>
        <v>221.13</v>
      </c>
      <c r="H12" s="392">
        <f>'Ocorrências Mensais - FAT'!F11+'Ocorrências Mensais - FAT'!H11</f>
        <v>0</v>
      </c>
      <c r="I12" s="393">
        <f>(ROUND((G12/Dados!$G$34*H12)-(G12/'Ocorrências Mensais - FAT'!$E$5*'Ocorrências Mensais - FAT'!G11),2))</f>
        <v>0</v>
      </c>
      <c r="J12" s="394">
        <f>'Serv Ins'!$G$45</f>
        <v>5665.57</v>
      </c>
      <c r="K12" s="392">
        <f>'Ocorrências Mensais - FAT'!K11</f>
        <v>0</v>
      </c>
      <c r="L12" s="393">
        <f>J12/'Ocorrências Mensais - FAT'!$E$5*K12</f>
        <v>0</v>
      </c>
      <c r="M12" s="395">
        <f>'Custo Estimado Substituto'!$F$33</f>
        <v>4922.0600000000004</v>
      </c>
      <c r="N12" s="396">
        <f>'Ocorrências Mensais - FAT'!L11</f>
        <v>0</v>
      </c>
      <c r="O12" s="397">
        <f>M12/'Ocorrências Mensais - FAT'!$E$5*N12</f>
        <v>0</v>
      </c>
      <c r="P12" s="398">
        <f>'Serv Ins'!$H$45</f>
        <v>609.54999999999995</v>
      </c>
      <c r="Q12" s="399">
        <f>'Ocorrências Mensais - FAT'!M11</f>
        <v>0</v>
      </c>
      <c r="R12" s="397">
        <f>ROUND((P12/Dados!$G$37*Q12),2)</f>
        <v>0</v>
      </c>
      <c r="S12" s="400">
        <f>I12+L12+O12+R12</f>
        <v>0</v>
      </c>
      <c r="T12" s="401"/>
      <c r="U12" s="402"/>
      <c r="V12" s="403"/>
      <c r="W12" s="404">
        <f>ROUND((F12-S12+V12),2)</f>
        <v>6670.23</v>
      </c>
    </row>
    <row r="13" spans="1:25" s="17" customFormat="1" ht="15.6">
      <c r="A13" s="736"/>
      <c r="B13" s="386" t="str">
        <f>Dados!C8</f>
        <v>Servente de Limpeza  ac. Copeira</v>
      </c>
      <c r="C13" s="387">
        <f>Dados!D8</f>
        <v>220</v>
      </c>
      <c r="D13" s="388">
        <f>Dados!B8</f>
        <v>1</v>
      </c>
      <c r="E13" s="389">
        <f>'Serv Copeira'!$F$45</f>
        <v>5505.2</v>
      </c>
      <c r="F13" s="390">
        <f>ROUND((D13*E13),2)</f>
        <v>5505.2</v>
      </c>
      <c r="G13" s="405">
        <f>'Serv Copeira'!$I$45</f>
        <v>221.13</v>
      </c>
      <c r="H13" s="406">
        <f>'Ocorrências Mensais - FAT'!F12+'Ocorrências Mensais - FAT'!H12</f>
        <v>0</v>
      </c>
      <c r="I13" s="407">
        <f>(ROUND((G13/Dados!$G$34*H13)-(G13/'Ocorrências Mensais - FAT'!$E$5*'Ocorrências Mensais - FAT'!G12),2))</f>
        <v>0</v>
      </c>
      <c r="J13" s="408">
        <f>'Serv Copeira'!$G$45</f>
        <v>4500.54</v>
      </c>
      <c r="K13" s="406">
        <f>'Ocorrências Mensais - FAT'!K12</f>
        <v>0</v>
      </c>
      <c r="L13" s="407">
        <f>J13/'Ocorrências Mensais - FAT'!$E$5*K13</f>
        <v>0</v>
      </c>
      <c r="M13" s="408">
        <f>'Custo Estimado Substituto'!G33</f>
        <v>3906.76</v>
      </c>
      <c r="N13" s="406">
        <f>'Ocorrências Mensais - FAT'!L12</f>
        <v>0</v>
      </c>
      <c r="O13" s="409">
        <f>M13/'Ocorrências Mensais - FAT'!$E$5*N13</f>
        <v>0</v>
      </c>
      <c r="P13" s="410">
        <f>'Serv Copeira'!$H$45</f>
        <v>609.54999999999995</v>
      </c>
      <c r="Q13" s="411">
        <f>'Ocorrências Mensais - FAT'!M12</f>
        <v>0</v>
      </c>
      <c r="R13" s="409">
        <f>ROUND((P13/Dados!$G$37*Q13),2)</f>
        <v>0</v>
      </c>
      <c r="S13" s="412">
        <f>I13+L13+O13+R13</f>
        <v>0</v>
      </c>
      <c r="T13" s="405">
        <f>'Serv Ins'!$J$46</f>
        <v>42.6</v>
      </c>
      <c r="U13" s="411">
        <f>'Ocorrências Mensais - FAT'!N12</f>
        <v>0</v>
      </c>
      <c r="V13" s="413">
        <f>T13*U13</f>
        <v>0</v>
      </c>
      <c r="W13" s="404">
        <f>ROUND((F13-S13+V13),2)</f>
        <v>5505.2</v>
      </c>
    </row>
    <row r="14" spans="1:25" s="17" customFormat="1" ht="16.2" thickBot="1">
      <c r="A14" s="737"/>
      <c r="B14" s="386" t="str">
        <f>Dados!C9</f>
        <v>Zelador</v>
      </c>
      <c r="C14" s="387">
        <f>Dados!D9</f>
        <v>220</v>
      </c>
      <c r="D14" s="388">
        <f>Dados!B9</f>
        <v>1</v>
      </c>
      <c r="E14" s="389">
        <f>Zel!$F$45</f>
        <v>6103.27</v>
      </c>
      <c r="F14" s="390">
        <f>ROUND((D14*E14),2)</f>
        <v>6103.27</v>
      </c>
      <c r="G14" s="405">
        <f>Zel!$I$45</f>
        <v>163.06</v>
      </c>
      <c r="H14" s="406">
        <f>'Ocorrências Mensais - FAT'!F13+'Ocorrências Mensais - FAT'!H13</f>
        <v>0</v>
      </c>
      <c r="I14" s="407">
        <f>(ROUND((G14/Dados!$G$34*H14)-(G14/'Ocorrências Mensais - FAT'!$E$5*'Ocorrências Mensais - FAT'!G13),2))</f>
        <v>0</v>
      </c>
      <c r="J14" s="408">
        <f>Zel!$G$45</f>
        <v>6103.27</v>
      </c>
      <c r="K14" s="406">
        <f>'Ocorrências Mensais - FAT'!K13</f>
        <v>0</v>
      </c>
      <c r="L14" s="407">
        <f>J14/'Ocorrências Mensais - FAT'!$E$5*K14</f>
        <v>0</v>
      </c>
      <c r="M14" s="408">
        <f>'Custo Estimado Substituto'!H33</f>
        <v>5235.2699999999995</v>
      </c>
      <c r="N14" s="406">
        <f>'Ocorrências Mensais - FAT'!L13</f>
        <v>0</v>
      </c>
      <c r="O14" s="409">
        <f>M14/'Ocorrências Mensais - FAT'!$E$5*N14</f>
        <v>0</v>
      </c>
      <c r="P14" s="410">
        <f>Zel!$H$45</f>
        <v>609.54999999999995</v>
      </c>
      <c r="Q14" s="411">
        <f>'Ocorrências Mensais - FAT'!M13</f>
        <v>0</v>
      </c>
      <c r="R14" s="409">
        <f>ROUND((P14/Dados!$G$37*Q14),2)</f>
        <v>0</v>
      </c>
      <c r="S14" s="412">
        <f>I14+L14+O14+R14</f>
        <v>0</v>
      </c>
      <c r="T14" s="414"/>
      <c r="U14" s="415"/>
      <c r="V14" s="416"/>
      <c r="W14" s="404">
        <f>ROUND((F14-S14+V14),2)</f>
        <v>6103.27</v>
      </c>
    </row>
    <row r="15" spans="1:25" s="17" customFormat="1" ht="16.2" thickBot="1">
      <c r="A15" s="479">
        <f>Dados!A10</f>
        <v>333903701</v>
      </c>
      <c r="B15" s="417" t="str">
        <f>Dados!C10</f>
        <v>Auxiliar Administrativo</v>
      </c>
      <c r="C15" s="418">
        <f>Dados!D10</f>
        <v>150</v>
      </c>
      <c r="D15" s="419">
        <f>Dados!B10</f>
        <v>2</v>
      </c>
      <c r="E15" s="420">
        <f>'Aux Adm'!$F$45</f>
        <v>3265.43</v>
      </c>
      <c r="F15" s="421">
        <f>ROUND((D15*E15),2)</f>
        <v>6530.86</v>
      </c>
      <c r="G15" s="422">
        <f>'Aux Adm'!$I$45</f>
        <v>238.2</v>
      </c>
      <c r="H15" s="423">
        <f>'Ocorrências Mensais - FAT'!F14+'Ocorrências Mensais - FAT'!H14</f>
        <v>0</v>
      </c>
      <c r="I15" s="424">
        <f>(ROUND((G15/Dados!$G$34*H15)-(G15/'Ocorrências Mensais - FAT'!$E$5*'Ocorrências Mensais - FAT'!G14),2))</f>
        <v>0</v>
      </c>
      <c r="J15" s="425">
        <f>'Aux Adm'!$G$45</f>
        <v>3265.43</v>
      </c>
      <c r="K15" s="423">
        <f>'Ocorrências Mensais - FAT'!K14</f>
        <v>0</v>
      </c>
      <c r="L15" s="424">
        <f>J15/'Ocorrências Mensais - FAT'!$E$5*K15</f>
        <v>0</v>
      </c>
      <c r="M15" s="425">
        <f>'Custo Estimado Substituto'!I33</f>
        <v>2790.7799999999997</v>
      </c>
      <c r="N15" s="423">
        <f>'Ocorrências Mensais - FAT'!L14</f>
        <v>0</v>
      </c>
      <c r="O15" s="426">
        <f>M15/'Ocorrências Mensais - FAT'!$E$5*N15</f>
        <v>0</v>
      </c>
      <c r="P15" s="427">
        <f>'Aux Adm'!$H$45</f>
        <v>0</v>
      </c>
      <c r="Q15" s="428">
        <f>'Ocorrências Mensais - FAT'!M14</f>
        <v>0</v>
      </c>
      <c r="R15" s="426">
        <f>ROUND((P15/Dados!$G$37*Q15),2)</f>
        <v>0</v>
      </c>
      <c r="S15" s="429">
        <f>I15+L15+O15+R15</f>
        <v>0</v>
      </c>
      <c r="T15" s="430"/>
      <c r="U15" s="431"/>
      <c r="V15" s="432"/>
      <c r="W15" s="433">
        <f>ROUND((F15-S15+V15),2)</f>
        <v>6530.86</v>
      </c>
    </row>
    <row r="16" spans="1:25" s="64" customFormat="1" ht="21.75" customHeight="1" thickBot="1">
      <c r="A16" s="732" t="s">
        <v>497</v>
      </c>
      <c r="B16" s="732"/>
      <c r="C16" s="732"/>
      <c r="D16" s="434">
        <f>SUM(D12:D15)</f>
        <v>5</v>
      </c>
      <c r="E16" s="435"/>
      <c r="F16" s="436">
        <f>SUM(F12:F15)</f>
        <v>24809.56</v>
      </c>
      <c r="G16" s="437"/>
      <c r="H16" s="435">
        <f t="shared" ref="H16:O16" si="0">SUM(H12:H15)</f>
        <v>0</v>
      </c>
      <c r="I16" s="438">
        <f t="shared" si="0"/>
        <v>0</v>
      </c>
      <c r="J16" s="439">
        <f t="shared" si="0"/>
        <v>19534.810000000001</v>
      </c>
      <c r="K16" s="435">
        <f t="shared" si="0"/>
        <v>0</v>
      </c>
      <c r="L16" s="438">
        <f t="shared" si="0"/>
        <v>0</v>
      </c>
      <c r="M16" s="440">
        <f t="shared" si="0"/>
        <v>16854.87</v>
      </c>
      <c r="N16" s="435">
        <f t="shared" si="0"/>
        <v>0</v>
      </c>
      <c r="O16" s="436">
        <f t="shared" si="0"/>
        <v>0</v>
      </c>
      <c r="P16" s="437"/>
      <c r="Q16" s="435">
        <f>SUM(Q12:Q15)</f>
        <v>0</v>
      </c>
      <c r="R16" s="436">
        <f>SUM(R12:R15)</f>
        <v>0</v>
      </c>
      <c r="S16" s="441">
        <f>SUM(S12:S15)</f>
        <v>0</v>
      </c>
      <c r="T16" s="442"/>
      <c r="U16" s="435">
        <f>SUM(U12:U15)</f>
        <v>0</v>
      </c>
      <c r="V16" s="438">
        <f>SUM(V12:V15)</f>
        <v>0</v>
      </c>
      <c r="W16" s="443">
        <f>SUM(W12:W15)</f>
        <v>24809.56</v>
      </c>
      <c r="X16" s="444" t="s">
        <v>498</v>
      </c>
      <c r="Y16" s="106"/>
    </row>
    <row r="17" spans="1:23" s="58" customFormat="1" ht="18" customHeight="1">
      <c r="A17" s="733" t="s">
        <v>499</v>
      </c>
      <c r="B17" s="733"/>
      <c r="C17" s="733"/>
      <c r="D17" s="733"/>
      <c r="E17" s="733"/>
      <c r="F17" s="733"/>
      <c r="G17" s="733"/>
      <c r="H17" s="733"/>
      <c r="I17" s="733"/>
      <c r="J17" s="733"/>
      <c r="K17" s="733"/>
      <c r="L17" s="733"/>
      <c r="M17" s="733"/>
      <c r="N17" s="733"/>
      <c r="O17" s="733"/>
      <c r="P17" s="733"/>
      <c r="Q17" s="733"/>
      <c r="R17" s="733"/>
      <c r="S17" s="733"/>
      <c r="T17" s="733"/>
      <c r="U17" s="733"/>
      <c r="V17" s="733"/>
      <c r="W17" s="445">
        <f>Mat!K45+Mat!K75</f>
        <v>1846.6458333333335</v>
      </c>
    </row>
    <row r="18" spans="1:23" s="58" customFormat="1" ht="20.25" customHeight="1">
      <c r="A18" s="733" t="s">
        <v>500</v>
      </c>
      <c r="B18" s="733"/>
      <c r="C18" s="733"/>
      <c r="D18" s="733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446">
        <f>W16*12</f>
        <v>297714.72000000003</v>
      </c>
    </row>
    <row r="19" spans="1:23" s="69" customFormat="1" ht="24" customHeight="1">
      <c r="A19" s="734" t="s">
        <v>50</v>
      </c>
      <c r="B19" s="734"/>
      <c r="C19" s="734"/>
      <c r="D19" s="734"/>
      <c r="E19" s="734"/>
      <c r="F19" s="734"/>
      <c r="G19" s="734"/>
      <c r="H19" s="734"/>
      <c r="I19" s="734"/>
      <c r="J19" s="734"/>
      <c r="K19" s="734"/>
      <c r="L19" s="734"/>
      <c r="M19" s="734"/>
      <c r="N19" s="734"/>
      <c r="O19" s="734"/>
      <c r="P19" s="734"/>
      <c r="Q19" s="734"/>
      <c r="R19" s="734"/>
      <c r="S19" s="734"/>
      <c r="T19" s="734"/>
      <c r="U19" s="734"/>
      <c r="V19" s="734"/>
      <c r="W19" s="734"/>
    </row>
    <row r="20" spans="1:23" s="58" customFormat="1" ht="13.8">
      <c r="A20" s="729" t="str">
        <f>CONCATENATE("1. Nas FÉRIAS SEM SUBSTITUIÇÃO DA SERVENTE INSALUBRE, quando o trabalho de limpeza de banheiros públicos ou de grande circulação for efetuado por outra servente do quadro, deverá ser acrescentado o valor de R$",T13," por dia em que este fato ocorrer.")</f>
        <v>1. Nas FÉRIAS SEM SUBSTITUIÇÃO DA SERVENTE INSALUBRE, quando o trabalho de limpeza de banheiros públicos ou de grande circulação for efetuado por outra servente do quadro, deverá ser acrescentado o valor de R$42.6 por dia em que este fato ocorrer.</v>
      </c>
      <c r="B20" s="729"/>
      <c r="C20" s="729"/>
      <c r="D20" s="729"/>
      <c r="E20" s="729"/>
      <c r="F20" s="729"/>
      <c r="G20" s="729"/>
      <c r="H20" s="729"/>
      <c r="I20" s="729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</row>
    <row r="21" spans="1:23" s="447" customFormat="1" ht="18.75" customHeight="1">
      <c r="A21" s="730" t="s">
        <v>501</v>
      </c>
      <c r="B21" s="730"/>
      <c r="C21" s="730"/>
      <c r="D21" s="730"/>
      <c r="E21" s="730"/>
      <c r="F21" s="730"/>
      <c r="G21" s="730"/>
      <c r="H21" s="730"/>
      <c r="I21" s="730"/>
      <c r="J21" s="730"/>
      <c r="K21" s="730"/>
      <c r="L21" s="730"/>
      <c r="M21" s="730"/>
      <c r="N21" s="730"/>
      <c r="O21" s="730"/>
      <c r="P21" s="730"/>
      <c r="Q21" s="730"/>
      <c r="R21" s="730"/>
      <c r="S21" s="730"/>
      <c r="T21" s="730"/>
      <c r="U21" s="730"/>
      <c r="V21" s="730"/>
      <c r="W21" s="730"/>
    </row>
    <row r="22" spans="1:23">
      <c r="A22" s="731"/>
      <c r="B22" s="731"/>
      <c r="C22" s="731"/>
      <c r="D22" s="731"/>
      <c r="E22" s="731"/>
      <c r="F22" s="731"/>
      <c r="G22" s="731"/>
      <c r="H22" s="731"/>
      <c r="I22" s="731"/>
      <c r="J22" s="731"/>
      <c r="K22" s="731"/>
      <c r="L22" s="731"/>
      <c r="M22" s="731"/>
      <c r="N22" s="731"/>
      <c r="O22" s="731"/>
      <c r="P22" s="731"/>
      <c r="Q22" s="731"/>
      <c r="R22" s="731"/>
      <c r="S22" s="731"/>
      <c r="T22" s="731"/>
      <c r="U22" s="731"/>
      <c r="V22" s="731"/>
      <c r="W22" s="731"/>
    </row>
    <row r="23" spans="1:23">
      <c r="A23" s="731"/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  <c r="M23" s="731"/>
      <c r="N23" s="731"/>
      <c r="O23" s="731"/>
      <c r="P23" s="731"/>
      <c r="Q23" s="731"/>
      <c r="R23" s="731"/>
      <c r="S23" s="731"/>
      <c r="T23" s="731"/>
      <c r="U23" s="731"/>
      <c r="V23" s="731"/>
      <c r="W23" s="731"/>
    </row>
  </sheetData>
  <sheetProtection algorithmName="SHA-512" hashValue="GcVDCH61nDOZdAya88wgc/9HUCQGnJP4h2gXY78m81/uvqlR/ecbYJ4QWi7Yt5wGRiUo3nBdLsLXIVTVCw6+Pg==" saltValue="SmeWv2jtKwEaLLV2nG+e0w==" spinCount="100000" sheet="1" objects="1" scenarios="1"/>
  <mergeCells count="30">
    <mergeCell ref="A4:W4"/>
    <mergeCell ref="A5:W5"/>
    <mergeCell ref="A6:W6"/>
    <mergeCell ref="S7:W7"/>
    <mergeCell ref="A8:A11"/>
    <mergeCell ref="B8:C10"/>
    <mergeCell ref="D8:V8"/>
    <mergeCell ref="W8:W11"/>
    <mergeCell ref="D9:F9"/>
    <mergeCell ref="G9:I9"/>
    <mergeCell ref="J9:O9"/>
    <mergeCell ref="P9:R9"/>
    <mergeCell ref="T9:V9"/>
    <mergeCell ref="D10:F10"/>
    <mergeCell ref="G10:G11"/>
    <mergeCell ref="T10:V10"/>
    <mergeCell ref="S10:S11"/>
    <mergeCell ref="A20:W20"/>
    <mergeCell ref="A21:W21"/>
    <mergeCell ref="A22:W22"/>
    <mergeCell ref="A23:W23"/>
    <mergeCell ref="A16:C16"/>
    <mergeCell ref="A17:V17"/>
    <mergeCell ref="A18:V18"/>
    <mergeCell ref="A19:W19"/>
    <mergeCell ref="A12:A14"/>
    <mergeCell ref="H10:I10"/>
    <mergeCell ref="J10:L10"/>
    <mergeCell ref="M10:O10"/>
    <mergeCell ref="P10:R10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27" fitToHeight="2" orientation="portrait" horizontalDpi="300" verticalDpi="300" r:id="rId1"/>
  <colBreaks count="1" manualBreakCount="1">
    <brk id="23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3"/>
  <sheetViews>
    <sheetView showGridLines="0" view="pageBreakPreview" zoomScale="140" zoomScaleNormal="130" zoomScalePageLayoutView="140" workbookViewId="0">
      <selection activeCell="G10" sqref="G10"/>
    </sheetView>
  </sheetViews>
  <sheetFormatPr defaultColWidth="8.6640625" defaultRowHeight="14.4"/>
  <cols>
    <col min="1" max="1" width="7.33203125" style="69" customWidth="1"/>
    <col min="2" max="3" width="9.109375" style="69" customWidth="1"/>
    <col min="4" max="4" width="33" style="69" customWidth="1"/>
    <col min="5" max="5" width="9.44140625" style="69" customWidth="1"/>
    <col min="6" max="6" width="12.44140625" style="69" customWidth="1"/>
    <col min="7" max="7" width="8.88671875" style="69" customWidth="1"/>
    <col min="8" max="8" width="8.109375" style="69" bestFit="1" customWidth="1"/>
    <col min="9" max="9" width="11.5546875" style="69" bestFit="1" customWidth="1"/>
    <col min="10" max="1024" width="9.109375" style="69" customWidth="1"/>
  </cols>
  <sheetData>
    <row r="1" spans="1:13">
      <c r="A1" s="98"/>
      <c r="B1" s="99" t="str">
        <f>INSTRUÇÕES!B1</f>
        <v>Tribunal Regional Federal da 6ª Região</v>
      </c>
      <c r="C1" s="99"/>
      <c r="D1" s="99"/>
      <c r="E1" s="99"/>
      <c r="F1" s="99"/>
      <c r="G1" s="99"/>
      <c r="H1" s="99"/>
      <c r="I1" s="166"/>
    </row>
    <row r="2" spans="1:13">
      <c r="A2" s="100"/>
      <c r="B2" s="101" t="str">
        <f>INSTRUÇÕES!B2</f>
        <v>Seção Judiciária de Minas Gerais</v>
      </c>
      <c r="C2" s="101"/>
      <c r="D2" s="101"/>
      <c r="E2" s="101"/>
      <c r="F2" s="101"/>
      <c r="G2" s="101"/>
      <c r="H2" s="101"/>
      <c r="I2" s="168"/>
    </row>
    <row r="3" spans="1:13">
      <c r="A3" s="100"/>
      <c r="B3" s="69" t="str">
        <f>INSTRUÇÕES!B3</f>
        <v>Subseção Judiciária de Poços de Caldas</v>
      </c>
      <c r="C3" s="338"/>
      <c r="D3" s="338"/>
      <c r="E3" s="338"/>
      <c r="F3" s="338"/>
      <c r="G3" s="338"/>
      <c r="H3" s="338"/>
      <c r="I3" s="448"/>
    </row>
    <row r="4" spans="1:13" s="247" customFormat="1" ht="31.5" customHeight="1">
      <c r="A4" s="767" t="s">
        <v>698</v>
      </c>
      <c r="B4" s="767"/>
      <c r="C4" s="767"/>
      <c r="D4" s="767"/>
      <c r="E4" s="767"/>
      <c r="F4" s="767"/>
      <c r="G4" s="767"/>
      <c r="H4" s="767"/>
      <c r="I4" s="767"/>
      <c r="J4" s="449"/>
      <c r="K4" s="449"/>
      <c r="L4" s="449"/>
      <c r="M4" s="449"/>
    </row>
    <row r="5" spans="1:13" s="450" customFormat="1" ht="41.25" customHeight="1">
      <c r="A5" s="768" t="s">
        <v>502</v>
      </c>
      <c r="B5" s="768"/>
      <c r="C5" s="768"/>
      <c r="D5" s="768"/>
      <c r="E5" s="769" t="s">
        <v>454</v>
      </c>
      <c r="F5" s="533" t="str">
        <f>Dados!C7</f>
        <v>Servente de Limpeza 40% Insalubridade</v>
      </c>
      <c r="G5" s="534" t="str">
        <f>Dados!C8</f>
        <v>Servente de Limpeza  ac. Copeira</v>
      </c>
      <c r="H5" s="534" t="str">
        <f>Dados!C9</f>
        <v>Zelador</v>
      </c>
      <c r="I5" s="535" t="str">
        <f>Dados!C10</f>
        <v>Auxiliar Administrativo</v>
      </c>
    </row>
    <row r="6" spans="1:13" s="109" customFormat="1" ht="22.5" customHeight="1">
      <c r="A6" s="536" t="s">
        <v>503</v>
      </c>
      <c r="B6" s="770" t="s">
        <v>333</v>
      </c>
      <c r="C6" s="770"/>
      <c r="D6" s="770"/>
      <c r="E6" s="769"/>
      <c r="F6" s="771" t="s">
        <v>504</v>
      </c>
      <c r="G6" s="771"/>
      <c r="H6" s="771"/>
      <c r="I6" s="771"/>
    </row>
    <row r="7" spans="1:13" ht="14.25" customHeight="1">
      <c r="A7" s="537">
        <v>1</v>
      </c>
      <c r="B7" s="764" t="s">
        <v>505</v>
      </c>
      <c r="C7" s="764"/>
      <c r="D7" s="764"/>
      <c r="E7" s="764"/>
      <c r="F7" s="538">
        <f>Dados!M7</f>
        <v>2091.6</v>
      </c>
      <c r="G7" s="538">
        <f>Dados!M8</f>
        <v>1572.6</v>
      </c>
      <c r="H7" s="538">
        <f>Dados!M9</f>
        <v>2281.4</v>
      </c>
      <c r="I7" s="539">
        <f>Dados!M10</f>
        <v>1305</v>
      </c>
    </row>
    <row r="8" spans="1:13">
      <c r="A8" s="540" t="s">
        <v>506</v>
      </c>
      <c r="B8" s="765" t="s">
        <v>334</v>
      </c>
      <c r="C8" s="765"/>
      <c r="D8" s="765"/>
      <c r="E8" s="515">
        <f>Encargos!C39</f>
        <v>9.0899999999999995E-2</v>
      </c>
      <c r="F8" s="451">
        <f>ROUND(F7*$E$8,2)</f>
        <v>190.13</v>
      </c>
      <c r="G8" s="451">
        <f>ROUND(G7*$E$8,2)</f>
        <v>142.94999999999999</v>
      </c>
      <c r="H8" s="451">
        <f>ROUND(H7*$E$8,2)</f>
        <v>207.38</v>
      </c>
      <c r="I8" s="452">
        <f>ROUND(I7*$E$8,2)</f>
        <v>118.62</v>
      </c>
    </row>
    <row r="9" spans="1:13">
      <c r="A9" s="541" t="s">
        <v>507</v>
      </c>
      <c r="B9" s="762" t="s">
        <v>340</v>
      </c>
      <c r="C9" s="762"/>
      <c r="D9" s="762"/>
      <c r="E9" s="542">
        <f>E8*Encargos!C18</f>
        <v>3.6178200000000008E-2</v>
      </c>
      <c r="F9" s="453">
        <f>ROUND(F7*$E$9,2)</f>
        <v>75.67</v>
      </c>
      <c r="G9" s="453">
        <f>ROUND(G7*$E$9,2)</f>
        <v>56.89</v>
      </c>
      <c r="H9" s="453">
        <f>ROUND(H7*$E$9,2)</f>
        <v>82.54</v>
      </c>
      <c r="I9" s="454">
        <f>ROUND(I7*$E$9,2)</f>
        <v>47.21</v>
      </c>
    </row>
    <row r="10" spans="1:13" ht="12.75" customHeight="1">
      <c r="A10" s="766" t="s">
        <v>508</v>
      </c>
      <c r="B10" s="766"/>
      <c r="C10" s="766"/>
      <c r="D10" s="766"/>
      <c r="E10" s="543">
        <f t="shared" ref="E10:I10" si="0">SUM(E8:E9)</f>
        <v>0.1270782</v>
      </c>
      <c r="F10" s="455">
        <f t="shared" si="0"/>
        <v>265.8</v>
      </c>
      <c r="G10" s="455">
        <f t="shared" si="0"/>
        <v>199.83999999999997</v>
      </c>
      <c r="H10" s="455">
        <f t="shared" si="0"/>
        <v>289.92</v>
      </c>
      <c r="I10" s="456">
        <f t="shared" si="0"/>
        <v>165.83</v>
      </c>
    </row>
    <row r="11" spans="1:13" ht="12.75" customHeight="1">
      <c r="A11" s="766" t="s">
        <v>509</v>
      </c>
      <c r="B11" s="766"/>
      <c r="C11" s="766"/>
      <c r="D11" s="766"/>
      <c r="E11" s="766"/>
      <c r="F11" s="455">
        <f>F10*12</f>
        <v>3189.6000000000004</v>
      </c>
      <c r="G11" s="455">
        <f>G10*12</f>
        <v>2398.08</v>
      </c>
      <c r="H11" s="455">
        <f>H10*12</f>
        <v>3479.04</v>
      </c>
      <c r="I11" s="456">
        <f>I10*12</f>
        <v>1989.96</v>
      </c>
    </row>
    <row r="12" spans="1:13">
      <c r="A12" s="544">
        <v>2</v>
      </c>
      <c r="B12" s="545" t="s">
        <v>510</v>
      </c>
      <c r="C12" s="545"/>
      <c r="D12" s="545"/>
      <c r="E12" s="545"/>
      <c r="F12" s="761" t="s">
        <v>395</v>
      </c>
      <c r="G12" s="761"/>
      <c r="H12" s="761"/>
      <c r="I12" s="761"/>
    </row>
    <row r="13" spans="1:13">
      <c r="A13" s="541" t="s">
        <v>506</v>
      </c>
      <c r="B13" s="762" t="s">
        <v>511</v>
      </c>
      <c r="C13" s="762"/>
      <c r="D13" s="762"/>
      <c r="E13" s="546"/>
      <c r="F13" s="547">
        <f>'Serv Ins'!$F$23</f>
        <v>475.2</v>
      </c>
      <c r="G13" s="547">
        <f>'Serv Copeira'!$F$23</f>
        <v>475.2</v>
      </c>
      <c r="H13" s="547">
        <f>Zel!$F$23</f>
        <v>475.2</v>
      </c>
      <c r="I13" s="488">
        <f>'Aux Adm'!$F$23</f>
        <v>0</v>
      </c>
    </row>
    <row r="14" spans="1:13">
      <c r="A14" s="541" t="s">
        <v>512</v>
      </c>
      <c r="B14" s="762" t="s">
        <v>513</v>
      </c>
      <c r="C14" s="762"/>
      <c r="D14" s="762"/>
      <c r="E14" s="546"/>
      <c r="F14" s="547">
        <f>'Serv Ins'!$F$22</f>
        <v>172.39</v>
      </c>
      <c r="G14" s="547">
        <f>'Serv Copeira'!$F$22</f>
        <v>172.39</v>
      </c>
      <c r="H14" s="547">
        <f>Zel!$F$22</f>
        <v>127.12</v>
      </c>
      <c r="I14" s="488">
        <f>'Aux Adm'!$F$22</f>
        <v>185.7</v>
      </c>
    </row>
    <row r="15" spans="1:13">
      <c r="A15" s="541" t="s">
        <v>514</v>
      </c>
      <c r="B15" s="546" t="s">
        <v>515</v>
      </c>
      <c r="C15" s="546"/>
      <c r="D15" s="546"/>
      <c r="E15" s="546"/>
      <c r="F15" s="547">
        <v>0</v>
      </c>
      <c r="G15" s="547">
        <v>0</v>
      </c>
      <c r="H15" s="547">
        <v>0</v>
      </c>
      <c r="I15" s="488">
        <v>0</v>
      </c>
    </row>
    <row r="16" spans="1:13">
      <c r="A16" s="756" t="s">
        <v>516</v>
      </c>
      <c r="B16" s="756"/>
      <c r="C16" s="756"/>
      <c r="D16" s="756"/>
      <c r="E16" s="756"/>
      <c r="F16" s="548">
        <f>SUM(F13:F15)</f>
        <v>647.58999999999992</v>
      </c>
      <c r="G16" s="548">
        <f>SUM(G13:G15)</f>
        <v>647.58999999999992</v>
      </c>
      <c r="H16" s="548">
        <f>SUM(H13:H15)</f>
        <v>602.31999999999994</v>
      </c>
      <c r="I16" s="549">
        <f>SUM(I13:I15)</f>
        <v>185.7</v>
      </c>
    </row>
    <row r="17" spans="1:9" ht="12.75" customHeight="1">
      <c r="A17" s="544">
        <v>5</v>
      </c>
      <c r="B17" s="763" t="s">
        <v>517</v>
      </c>
      <c r="C17" s="763"/>
      <c r="D17" s="763"/>
      <c r="E17" s="550" t="s">
        <v>454</v>
      </c>
      <c r="F17" s="761" t="s">
        <v>395</v>
      </c>
      <c r="G17" s="761"/>
      <c r="H17" s="761"/>
      <c r="I17" s="761"/>
    </row>
    <row r="18" spans="1:9" ht="12.75" customHeight="1">
      <c r="A18" s="541" t="s">
        <v>506</v>
      </c>
      <c r="B18" s="719" t="s">
        <v>518</v>
      </c>
      <c r="C18" s="719"/>
      <c r="D18" s="719"/>
      <c r="E18" s="551">
        <f>Dados!$G$43</f>
        <v>0.03</v>
      </c>
      <c r="F18" s="552">
        <f>ROUND(($E$18*F31),2)</f>
        <v>115.12</v>
      </c>
      <c r="G18" s="552">
        <f>ROUND(($E$18*G31),2)</f>
        <v>91.37</v>
      </c>
      <c r="H18" s="552">
        <f>ROUND(($E$18*H31),2)</f>
        <v>122.44</v>
      </c>
      <c r="I18" s="553">
        <f>ROUND(($E$18*I31),2)</f>
        <v>65.27</v>
      </c>
    </row>
    <row r="19" spans="1:9" ht="12.75" customHeight="1">
      <c r="A19" s="541" t="s">
        <v>512</v>
      </c>
      <c r="B19" s="719" t="s">
        <v>243</v>
      </c>
      <c r="C19" s="719"/>
      <c r="D19" s="719"/>
      <c r="E19" s="551">
        <f>Dados!$G$44</f>
        <v>6.7900000000000002E-2</v>
      </c>
      <c r="F19" s="552">
        <f>ROUND(($E$19*(F18+F31)),2)</f>
        <v>268.36</v>
      </c>
      <c r="G19" s="552">
        <f>ROUND(($E$19*(G18+G31)),2)</f>
        <v>213.01</v>
      </c>
      <c r="H19" s="552">
        <f>ROUND(($E$19*(H18+H31)),2)</f>
        <v>285.44</v>
      </c>
      <c r="I19" s="553">
        <f>ROUND(($E$19*(I18+I31)),2)</f>
        <v>152.16</v>
      </c>
    </row>
    <row r="20" spans="1:9" ht="12.75" customHeight="1">
      <c r="A20" s="554" t="s">
        <v>514</v>
      </c>
      <c r="B20" s="760" t="s">
        <v>519</v>
      </c>
      <c r="C20" s="760"/>
      <c r="D20" s="760"/>
      <c r="E20" s="555">
        <f>SUM(E21:E24)</f>
        <v>0.14250000000000002</v>
      </c>
      <c r="F20" s="556">
        <f>ROUND((((F31+F18+F19)/(1-$E$20))-(F31+F18+F19)),2)</f>
        <v>701.39</v>
      </c>
      <c r="G20" s="556">
        <f>ROUND((((G31+G18+G19)/(1-$E$20))-(G31+G18+G19)),2)</f>
        <v>556.71</v>
      </c>
      <c r="H20" s="556">
        <f>ROUND((((H31+H18+H19)/(1-$E$20))-(H31+H18+H19)),2)</f>
        <v>746.03</v>
      </c>
      <c r="I20" s="557">
        <f>ROUND((((I31+I18+I19)/(1-$E$20))-(I31+I18+I19)),2)</f>
        <v>397.69</v>
      </c>
    </row>
    <row r="21" spans="1:9" ht="12.75" customHeight="1">
      <c r="A21" s="558" t="s">
        <v>520</v>
      </c>
      <c r="B21" s="719" t="s">
        <v>521</v>
      </c>
      <c r="C21" s="719"/>
      <c r="D21" s="719"/>
      <c r="E21" s="551">
        <f>Dados!G51+Dados!G52</f>
        <v>9.2499999999999999E-2</v>
      </c>
      <c r="F21" s="552">
        <f>ROUND($E$21*F33,2)</f>
        <v>455.29</v>
      </c>
      <c r="G21" s="552">
        <f>ROUND($E$21*G33,2)</f>
        <v>361.38</v>
      </c>
      <c r="H21" s="552">
        <f>ROUND($E$21*H33,2)</f>
        <v>484.26</v>
      </c>
      <c r="I21" s="553">
        <f>ROUND($E$21*I33,2)</f>
        <v>258.14999999999998</v>
      </c>
    </row>
    <row r="22" spans="1:9" ht="12.75" customHeight="1">
      <c r="A22" s="541" t="s">
        <v>522</v>
      </c>
      <c r="B22" s="719" t="s">
        <v>523</v>
      </c>
      <c r="C22" s="719"/>
      <c r="D22" s="719"/>
      <c r="E22" s="551">
        <v>0</v>
      </c>
      <c r="F22" s="552">
        <f>ROUND($E$22*F33,2)</f>
        <v>0</v>
      </c>
      <c r="G22" s="552">
        <f>ROUND($E$22*G33,2)</f>
        <v>0</v>
      </c>
      <c r="H22" s="552">
        <f>ROUND($E$22*H33,2)</f>
        <v>0</v>
      </c>
      <c r="I22" s="553">
        <f>ROUND($E$22*I33,2)</f>
        <v>0</v>
      </c>
    </row>
    <row r="23" spans="1:9" ht="12.75" customHeight="1">
      <c r="A23" s="541" t="s">
        <v>524</v>
      </c>
      <c r="B23" s="719" t="s">
        <v>525</v>
      </c>
      <c r="C23" s="719"/>
      <c r="D23" s="719"/>
      <c r="E23" s="551">
        <f>Dados!G53</f>
        <v>0.05</v>
      </c>
      <c r="F23" s="552">
        <f>ROUND($E$23*F33,2)</f>
        <v>246.1</v>
      </c>
      <c r="G23" s="552">
        <f>ROUND($E$23*G33,2)</f>
        <v>195.34</v>
      </c>
      <c r="H23" s="552">
        <f>ROUND($E$23*H33,2)</f>
        <v>261.76</v>
      </c>
      <c r="I23" s="553">
        <f>ROUND($E$23*I33,2)</f>
        <v>139.54</v>
      </c>
    </row>
    <row r="24" spans="1:9">
      <c r="A24" s="541" t="s">
        <v>526</v>
      </c>
      <c r="B24" s="719" t="str">
        <f>Dados!B54</f>
        <v>Outros (inserir somente com a justificativa legal)</v>
      </c>
      <c r="C24" s="719"/>
      <c r="D24" s="719"/>
      <c r="E24" s="551">
        <f>Dados!G54</f>
        <v>0</v>
      </c>
      <c r="F24" s="552">
        <f>ROUND($E$24*F33,2)</f>
        <v>0</v>
      </c>
      <c r="G24" s="552">
        <f>ROUND($E$24*G33,2)</f>
        <v>0</v>
      </c>
      <c r="H24" s="552">
        <f>ROUND($E$24*H33,2)</f>
        <v>0</v>
      </c>
      <c r="I24" s="553">
        <f>ROUND($E$24*I33,2)</f>
        <v>0</v>
      </c>
    </row>
    <row r="25" spans="1:9">
      <c r="A25" s="559" t="s">
        <v>527</v>
      </c>
      <c r="B25" s="513"/>
      <c r="C25" s="513"/>
      <c r="D25" s="513"/>
      <c r="E25" s="513"/>
      <c r="F25" s="560">
        <f>SUM(F18:F20)</f>
        <v>1084.8699999999999</v>
      </c>
      <c r="G25" s="560">
        <f>SUM(G18:G20)</f>
        <v>861.09</v>
      </c>
      <c r="H25" s="560">
        <f>SUM(H18:H20)</f>
        <v>1153.9099999999999</v>
      </c>
      <c r="I25" s="561">
        <f>SUM(I18:I20)</f>
        <v>615.12</v>
      </c>
    </row>
    <row r="26" spans="1:9" ht="19.5" customHeight="1">
      <c r="A26" s="757" t="s">
        <v>528</v>
      </c>
      <c r="B26" s="757"/>
      <c r="C26" s="757"/>
      <c r="D26" s="757"/>
      <c r="E26" s="757"/>
      <c r="F26" s="757"/>
      <c r="G26" s="757"/>
      <c r="H26" s="757"/>
      <c r="I26" s="757"/>
    </row>
    <row r="27" spans="1:9" ht="18" customHeight="1">
      <c r="A27" s="758" t="s">
        <v>529</v>
      </c>
      <c r="B27" s="758"/>
      <c r="C27" s="758"/>
      <c r="D27" s="758"/>
      <c r="E27" s="758"/>
      <c r="F27" s="758"/>
      <c r="G27" s="758"/>
      <c r="H27" s="758"/>
      <c r="I27" s="758"/>
    </row>
    <row r="28" spans="1:9" ht="14.25" customHeight="1">
      <c r="A28" s="562" t="s">
        <v>530</v>
      </c>
      <c r="B28" s="563"/>
      <c r="C28" s="563"/>
      <c r="D28" s="563"/>
      <c r="E28" s="563"/>
      <c r="F28" s="759" t="s">
        <v>395</v>
      </c>
      <c r="G28" s="759"/>
      <c r="H28" s="759"/>
      <c r="I28" s="759"/>
    </row>
    <row r="29" spans="1:9">
      <c r="A29" s="541" t="s">
        <v>506</v>
      </c>
      <c r="B29" s="546" t="s">
        <v>531</v>
      </c>
      <c r="C29" s="546"/>
      <c r="D29" s="546"/>
      <c r="E29" s="546"/>
      <c r="F29" s="564">
        <f>F11</f>
        <v>3189.6000000000004</v>
      </c>
      <c r="G29" s="564">
        <f>G11</f>
        <v>2398.08</v>
      </c>
      <c r="H29" s="564">
        <f>H11</f>
        <v>3479.04</v>
      </c>
      <c r="I29" s="565">
        <f>I11</f>
        <v>1989.96</v>
      </c>
    </row>
    <row r="30" spans="1:9">
      <c r="A30" s="541" t="s">
        <v>512</v>
      </c>
      <c r="B30" s="546" t="s">
        <v>510</v>
      </c>
      <c r="C30" s="546"/>
      <c r="D30" s="546"/>
      <c r="E30" s="546"/>
      <c r="F30" s="564">
        <f>F16</f>
        <v>647.58999999999992</v>
      </c>
      <c r="G30" s="564">
        <f>G16</f>
        <v>647.58999999999992</v>
      </c>
      <c r="H30" s="564">
        <f>H16</f>
        <v>602.31999999999994</v>
      </c>
      <c r="I30" s="565">
        <f>I16</f>
        <v>185.7</v>
      </c>
    </row>
    <row r="31" spans="1:9">
      <c r="A31" s="756" t="s">
        <v>532</v>
      </c>
      <c r="B31" s="756"/>
      <c r="C31" s="756"/>
      <c r="D31" s="756"/>
      <c r="E31" s="566"/>
      <c r="F31" s="567">
        <f>SUM(F29:F30)</f>
        <v>3837.1900000000005</v>
      </c>
      <c r="G31" s="567">
        <f>SUM(G29:G30)</f>
        <v>3045.67</v>
      </c>
      <c r="H31" s="567">
        <f>SUM(H29:H30)</f>
        <v>4081.3599999999997</v>
      </c>
      <c r="I31" s="568">
        <f>SUM(I29:I30)</f>
        <v>2175.66</v>
      </c>
    </row>
    <row r="32" spans="1:9">
      <c r="A32" s="569" t="s">
        <v>533</v>
      </c>
      <c r="B32" s="570" t="s">
        <v>534</v>
      </c>
      <c r="C32" s="570"/>
      <c r="D32" s="570"/>
      <c r="E32" s="570"/>
      <c r="F32" s="571">
        <f>F25</f>
        <v>1084.8699999999999</v>
      </c>
      <c r="G32" s="571">
        <f>G25</f>
        <v>861.09</v>
      </c>
      <c r="H32" s="571">
        <f>H25</f>
        <v>1153.9099999999999</v>
      </c>
      <c r="I32" s="572">
        <f>I25</f>
        <v>615.12</v>
      </c>
    </row>
    <row r="33" spans="1:9" ht="19.5" customHeight="1">
      <c r="A33" s="573" t="s">
        <v>535</v>
      </c>
      <c r="B33" s="574"/>
      <c r="C33" s="574"/>
      <c r="D33" s="574"/>
      <c r="E33" s="574"/>
      <c r="F33" s="575">
        <f>SUM(F31:F32)</f>
        <v>4922.0600000000004</v>
      </c>
      <c r="G33" s="575">
        <f>SUM(G31:G32)</f>
        <v>3906.76</v>
      </c>
      <c r="H33" s="575">
        <f>SUM(H31:H32)</f>
        <v>5235.2699999999995</v>
      </c>
      <c r="I33" s="576">
        <f>SUM(I31:I32)</f>
        <v>2790.7799999999997</v>
      </c>
    </row>
  </sheetData>
  <sheetProtection algorithmName="SHA-512" hashValue="pF+NnrkpVmb6a6Pj0mMRUYhm9pD03g45d47AVnMAt/EBS8tvox5htP/lGEBYwqctNof6zxPusgdGD1f9+Gafhw==" saltValue="s4DUjOSBc30l902PXM4pbQ==" spinCount="100000" sheet="1" objects="1" scenarios="1"/>
  <mergeCells count="27">
    <mergeCell ref="A4:I4"/>
    <mergeCell ref="A5:D5"/>
    <mergeCell ref="E5:E6"/>
    <mergeCell ref="B6:D6"/>
    <mergeCell ref="F6:I6"/>
    <mergeCell ref="B7:E7"/>
    <mergeCell ref="B8:D8"/>
    <mergeCell ref="B9:D9"/>
    <mergeCell ref="A10:D10"/>
    <mergeCell ref="A11:E11"/>
    <mergeCell ref="F12:I12"/>
    <mergeCell ref="B13:D13"/>
    <mergeCell ref="B14:D14"/>
    <mergeCell ref="A16:E16"/>
    <mergeCell ref="B17:D17"/>
    <mergeCell ref="F17:I17"/>
    <mergeCell ref="B18:D18"/>
    <mergeCell ref="B19:D19"/>
    <mergeCell ref="B20:D20"/>
    <mergeCell ref="B21:D21"/>
    <mergeCell ref="B22:D22"/>
    <mergeCell ref="A31:D31"/>
    <mergeCell ref="B23:D23"/>
    <mergeCell ref="B24:D24"/>
    <mergeCell ref="A26:I26"/>
    <mergeCell ref="A27:I27"/>
    <mergeCell ref="F28:I28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84" fitToHeight="2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showGridLines="0" view="pageBreakPreview" zoomScale="140" zoomScaleNormal="100" zoomScalePageLayoutView="140" workbookViewId="0"/>
  </sheetViews>
  <sheetFormatPr defaultColWidth="8.6640625" defaultRowHeight="14.4"/>
  <cols>
    <col min="1" max="1" width="7.88671875" customWidth="1"/>
    <col min="2" max="2" width="7.33203125" customWidth="1"/>
    <col min="3" max="3" width="4.44140625" customWidth="1"/>
    <col min="4" max="4" width="7.5546875" customWidth="1"/>
    <col min="5" max="5" width="5.44140625" customWidth="1"/>
    <col min="6" max="6" width="8.33203125" customWidth="1"/>
    <col min="7" max="7" width="7.44140625" customWidth="1"/>
    <col min="8" max="8" width="3.33203125" customWidth="1"/>
    <col min="9" max="9" width="7.33203125" customWidth="1"/>
    <col min="10" max="10" width="4.44140625" customWidth="1"/>
    <col min="11" max="11" width="7.5546875" customWidth="1"/>
    <col min="12" max="12" width="5.44140625" customWidth="1"/>
    <col min="13" max="13" width="8.33203125" customWidth="1"/>
    <col min="14" max="14" width="7.44140625" customWidth="1"/>
    <col min="15" max="15" width="3" customWidth="1"/>
    <col min="16" max="16" width="7.33203125" customWidth="1"/>
    <col min="17" max="17" width="4.44140625" customWidth="1"/>
    <col min="18" max="18" width="7.5546875" customWidth="1"/>
    <col min="19" max="19" width="5.44140625" customWidth="1"/>
    <col min="20" max="20" width="8.33203125" customWidth="1"/>
    <col min="21" max="21" width="7.44140625" customWidth="1"/>
    <col min="22" max="22" width="3" customWidth="1"/>
    <col min="23" max="23" width="7.33203125" customWidth="1"/>
    <col min="24" max="24" width="4.44140625" customWidth="1"/>
    <col min="25" max="25" width="7.5546875" customWidth="1"/>
    <col min="26" max="26" width="5.44140625" customWidth="1"/>
    <col min="27" max="27" width="8.33203125" customWidth="1"/>
    <col min="28" max="28" width="7.44140625" customWidth="1"/>
    <col min="29" max="29" width="3" customWidth="1"/>
    <col min="30" max="30" width="7.33203125" customWidth="1"/>
    <col min="31" max="31" width="4.44140625" customWidth="1"/>
    <col min="257" max="257" width="1.44140625" customWidth="1"/>
    <col min="258" max="258" width="7.33203125" customWidth="1"/>
    <col min="259" max="259" width="4.44140625" customWidth="1"/>
    <col min="260" max="260" width="7.5546875" customWidth="1"/>
    <col min="261" max="261" width="5.44140625" customWidth="1"/>
    <col min="262" max="262" width="8.33203125" customWidth="1"/>
    <col min="263" max="263" width="7.44140625" customWidth="1"/>
    <col min="264" max="264" width="3.33203125" customWidth="1"/>
    <col min="265" max="265" width="7.33203125" customWidth="1"/>
    <col min="266" max="266" width="4.44140625" customWidth="1"/>
    <col min="267" max="267" width="7.5546875" customWidth="1"/>
    <col min="268" max="268" width="5.44140625" customWidth="1"/>
    <col min="269" max="269" width="8.33203125" customWidth="1"/>
    <col min="270" max="270" width="7.44140625" customWidth="1"/>
    <col min="271" max="271" width="3" customWidth="1"/>
    <col min="272" max="272" width="7.33203125" customWidth="1"/>
    <col min="273" max="273" width="4.44140625" customWidth="1"/>
    <col min="274" max="274" width="7.5546875" customWidth="1"/>
    <col min="275" max="275" width="5.44140625" customWidth="1"/>
    <col min="276" max="276" width="8.33203125" customWidth="1"/>
    <col min="277" max="277" width="7.44140625" customWidth="1"/>
    <col min="278" max="278" width="3" customWidth="1"/>
    <col min="279" max="279" width="7.33203125" customWidth="1"/>
    <col min="280" max="280" width="4.44140625" customWidth="1"/>
    <col min="281" max="281" width="7.5546875" customWidth="1"/>
    <col min="282" max="282" width="5.44140625" customWidth="1"/>
    <col min="283" max="283" width="8.33203125" customWidth="1"/>
    <col min="284" max="284" width="7.44140625" customWidth="1"/>
    <col min="285" max="285" width="3" customWidth="1"/>
    <col min="286" max="286" width="7.33203125" customWidth="1"/>
    <col min="287" max="287" width="4.44140625" customWidth="1"/>
    <col min="513" max="513" width="1.44140625" customWidth="1"/>
    <col min="514" max="514" width="7.33203125" customWidth="1"/>
    <col min="515" max="515" width="4.44140625" customWidth="1"/>
    <col min="516" max="516" width="7.5546875" customWidth="1"/>
    <col min="517" max="517" width="5.44140625" customWidth="1"/>
    <col min="518" max="518" width="8.33203125" customWidth="1"/>
    <col min="519" max="519" width="7.44140625" customWidth="1"/>
    <col min="520" max="520" width="3.33203125" customWidth="1"/>
    <col min="521" max="521" width="7.33203125" customWidth="1"/>
    <col min="522" max="522" width="4.44140625" customWidth="1"/>
    <col min="523" max="523" width="7.5546875" customWidth="1"/>
    <col min="524" max="524" width="5.44140625" customWidth="1"/>
    <col min="525" max="525" width="8.33203125" customWidth="1"/>
    <col min="526" max="526" width="7.44140625" customWidth="1"/>
    <col min="527" max="527" width="3" customWidth="1"/>
    <col min="528" max="528" width="7.33203125" customWidth="1"/>
    <col min="529" max="529" width="4.44140625" customWidth="1"/>
    <col min="530" max="530" width="7.5546875" customWidth="1"/>
    <col min="531" max="531" width="5.44140625" customWidth="1"/>
    <col min="532" max="532" width="8.33203125" customWidth="1"/>
    <col min="533" max="533" width="7.44140625" customWidth="1"/>
    <col min="534" max="534" width="3" customWidth="1"/>
    <col min="535" max="535" width="7.33203125" customWidth="1"/>
    <col min="536" max="536" width="4.44140625" customWidth="1"/>
    <col min="537" max="537" width="7.5546875" customWidth="1"/>
    <col min="538" max="538" width="5.44140625" customWidth="1"/>
    <col min="539" max="539" width="8.33203125" customWidth="1"/>
    <col min="540" max="540" width="7.44140625" customWidth="1"/>
    <col min="541" max="541" width="3" customWidth="1"/>
    <col min="542" max="542" width="7.33203125" customWidth="1"/>
    <col min="543" max="543" width="4.44140625" customWidth="1"/>
    <col min="769" max="769" width="1.44140625" customWidth="1"/>
    <col min="770" max="770" width="7.33203125" customWidth="1"/>
    <col min="771" max="771" width="4.44140625" customWidth="1"/>
    <col min="772" max="772" width="7.5546875" customWidth="1"/>
    <col min="773" max="773" width="5.44140625" customWidth="1"/>
    <col min="774" max="774" width="8.33203125" customWidth="1"/>
    <col min="775" max="775" width="7.44140625" customWidth="1"/>
    <col min="776" max="776" width="3.33203125" customWidth="1"/>
    <col min="777" max="777" width="7.33203125" customWidth="1"/>
    <col min="778" max="778" width="4.44140625" customWidth="1"/>
    <col min="779" max="779" width="7.5546875" customWidth="1"/>
    <col min="780" max="780" width="5.44140625" customWidth="1"/>
    <col min="781" max="781" width="8.33203125" customWidth="1"/>
    <col min="782" max="782" width="7.44140625" customWidth="1"/>
    <col min="783" max="783" width="3" customWidth="1"/>
    <col min="784" max="784" width="7.33203125" customWidth="1"/>
    <col min="785" max="785" width="4.44140625" customWidth="1"/>
    <col min="786" max="786" width="7.5546875" customWidth="1"/>
    <col min="787" max="787" width="5.44140625" customWidth="1"/>
    <col min="788" max="788" width="8.33203125" customWidth="1"/>
    <col min="789" max="789" width="7.44140625" customWidth="1"/>
    <col min="790" max="790" width="3" customWidth="1"/>
    <col min="791" max="791" width="7.33203125" customWidth="1"/>
    <col min="792" max="792" width="4.44140625" customWidth="1"/>
    <col min="793" max="793" width="7.5546875" customWidth="1"/>
    <col min="794" max="794" width="5.44140625" customWidth="1"/>
    <col min="795" max="795" width="8.33203125" customWidth="1"/>
    <col min="796" max="796" width="7.44140625" customWidth="1"/>
    <col min="797" max="797" width="3" customWidth="1"/>
    <col min="798" max="798" width="7.33203125" customWidth="1"/>
    <col min="799" max="799" width="4.44140625" customWidth="1"/>
  </cols>
  <sheetData>
    <row r="1" spans="1:35">
      <c r="A1" s="101"/>
      <c r="B1" s="101" t="s">
        <v>98</v>
      </c>
    </row>
    <row r="2" spans="1:35">
      <c r="A2" s="101"/>
      <c r="B2" s="101" t="s">
        <v>99</v>
      </c>
    </row>
    <row r="3" spans="1:35">
      <c r="A3" s="338"/>
      <c r="B3" s="69" t="s">
        <v>100</v>
      </c>
    </row>
    <row r="4" spans="1:35" ht="6" customHeight="1"/>
    <row r="5" spans="1:35" ht="6" customHeight="1"/>
    <row r="6" spans="1:35" ht="15.75" customHeight="1">
      <c r="B6" s="774" t="s">
        <v>264</v>
      </c>
      <c r="C6" s="774"/>
      <c r="D6" s="774"/>
      <c r="E6" s="774"/>
      <c r="F6" s="774"/>
      <c r="G6" s="774"/>
      <c r="I6" s="774" t="s">
        <v>268</v>
      </c>
      <c r="J6" s="774"/>
      <c r="K6" s="774"/>
      <c r="L6" s="774"/>
      <c r="M6" s="774"/>
      <c r="N6" s="774"/>
      <c r="P6" s="774" t="s">
        <v>269</v>
      </c>
      <c r="Q6" s="774"/>
      <c r="R6" s="774"/>
      <c r="S6" s="774"/>
      <c r="T6" s="774"/>
      <c r="U6" s="774"/>
      <c r="W6" s="774" t="s">
        <v>270</v>
      </c>
      <c r="X6" s="774"/>
      <c r="Y6" s="774"/>
      <c r="Z6" s="774"/>
      <c r="AA6" s="774"/>
      <c r="AB6" s="774"/>
      <c r="AD6" s="774" t="s">
        <v>271</v>
      </c>
      <c r="AE6" s="774"/>
      <c r="AF6" s="774"/>
      <c r="AG6" s="774"/>
      <c r="AH6" s="774"/>
      <c r="AI6" s="774"/>
    </row>
    <row r="7" spans="1:35">
      <c r="B7" s="457" t="s">
        <v>536</v>
      </c>
      <c r="C7" s="773"/>
      <c r="D7" s="773"/>
      <c r="E7" s="773"/>
      <c r="F7" s="773"/>
      <c r="G7" s="773"/>
      <c r="I7" s="457" t="s">
        <v>536</v>
      </c>
      <c r="J7" s="773"/>
      <c r="K7" s="773"/>
      <c r="L7" s="773"/>
      <c r="M7" s="773"/>
      <c r="N7" s="773"/>
      <c r="P7" s="457" t="s">
        <v>536</v>
      </c>
      <c r="Q7" s="773"/>
      <c r="R7" s="773"/>
      <c r="S7" s="773"/>
      <c r="T7" s="773"/>
      <c r="U7" s="773"/>
      <c r="W7" s="457" t="s">
        <v>536</v>
      </c>
      <c r="X7" s="773"/>
      <c r="Y7" s="773"/>
      <c r="Z7" s="773"/>
      <c r="AA7" s="773"/>
      <c r="AB7" s="773"/>
      <c r="AD7" s="457" t="s">
        <v>536</v>
      </c>
      <c r="AE7" s="773"/>
      <c r="AF7" s="773"/>
      <c r="AG7" s="773"/>
      <c r="AH7" s="773"/>
      <c r="AI7" s="773"/>
    </row>
    <row r="8" spans="1:35" ht="25.5" customHeight="1">
      <c r="B8" s="670" t="s">
        <v>537</v>
      </c>
      <c r="C8" s="670"/>
      <c r="D8" s="218" t="s">
        <v>538</v>
      </c>
      <c r="E8" s="218" t="s">
        <v>539</v>
      </c>
      <c r="F8" s="218" t="s">
        <v>540</v>
      </c>
      <c r="G8" s="218" t="s">
        <v>541</v>
      </c>
      <c r="I8" s="670" t="s">
        <v>537</v>
      </c>
      <c r="J8" s="670"/>
      <c r="K8" s="218" t="s">
        <v>538</v>
      </c>
      <c r="L8" s="218" t="s">
        <v>539</v>
      </c>
      <c r="M8" s="218" t="s">
        <v>540</v>
      </c>
      <c r="N8" s="218" t="s">
        <v>541</v>
      </c>
      <c r="P8" s="670" t="s">
        <v>537</v>
      </c>
      <c r="Q8" s="670"/>
      <c r="R8" s="218" t="s">
        <v>538</v>
      </c>
      <c r="S8" s="218" t="s">
        <v>539</v>
      </c>
      <c r="T8" s="218" t="s">
        <v>540</v>
      </c>
      <c r="U8" s="218" t="s">
        <v>541</v>
      </c>
      <c r="W8" s="670" t="s">
        <v>537</v>
      </c>
      <c r="X8" s="670"/>
      <c r="Y8" s="218" t="s">
        <v>538</v>
      </c>
      <c r="Z8" s="218" t="s">
        <v>539</v>
      </c>
      <c r="AA8" s="218" t="s">
        <v>540</v>
      </c>
      <c r="AB8" s="218" t="s">
        <v>541</v>
      </c>
      <c r="AD8" s="670" t="s">
        <v>537</v>
      </c>
      <c r="AE8" s="670"/>
      <c r="AF8" s="218" t="s">
        <v>538</v>
      </c>
      <c r="AG8" s="218" t="s">
        <v>539</v>
      </c>
      <c r="AH8" s="218" t="s">
        <v>540</v>
      </c>
      <c r="AI8" s="218" t="s">
        <v>541</v>
      </c>
    </row>
    <row r="9" spans="1:35">
      <c r="B9" s="458" t="s">
        <v>542</v>
      </c>
      <c r="C9" s="458" t="s">
        <v>543</v>
      </c>
      <c r="D9" s="458" t="s">
        <v>544</v>
      </c>
      <c r="E9" s="458"/>
      <c r="F9" s="458" t="s">
        <v>545</v>
      </c>
      <c r="G9" s="459">
        <v>100</v>
      </c>
      <c r="I9" s="458" t="s">
        <v>542</v>
      </c>
      <c r="J9" s="458" t="s">
        <v>543</v>
      </c>
      <c r="K9" s="458" t="s">
        <v>544</v>
      </c>
      <c r="L9" s="458"/>
      <c r="M9" s="458" t="s">
        <v>545</v>
      </c>
      <c r="N9" s="459">
        <v>100</v>
      </c>
      <c r="P9" s="458" t="s">
        <v>542</v>
      </c>
      <c r="Q9" s="458" t="s">
        <v>543</v>
      </c>
      <c r="R9" s="458" t="s">
        <v>544</v>
      </c>
      <c r="S9" s="458"/>
      <c r="T9" s="458" t="s">
        <v>545</v>
      </c>
      <c r="U9" s="459">
        <v>100</v>
      </c>
      <c r="W9" s="458" t="s">
        <v>542</v>
      </c>
      <c r="X9" s="458" t="s">
        <v>543</v>
      </c>
      <c r="Y9" s="458" t="s">
        <v>544</v>
      </c>
      <c r="Z9" s="458"/>
      <c r="AA9" s="458" t="s">
        <v>545</v>
      </c>
      <c r="AB9" s="459">
        <v>100</v>
      </c>
      <c r="AD9" s="458" t="s">
        <v>542</v>
      </c>
      <c r="AE9" s="458" t="s">
        <v>543</v>
      </c>
      <c r="AF9" s="458" t="s">
        <v>544</v>
      </c>
      <c r="AG9" s="458"/>
      <c r="AH9" s="458" t="s">
        <v>545</v>
      </c>
      <c r="AI9" s="459">
        <v>100</v>
      </c>
    </row>
    <row r="10" spans="1:35">
      <c r="B10" s="458">
        <v>2023</v>
      </c>
      <c r="C10" s="460" t="s">
        <v>546</v>
      </c>
      <c r="D10" s="461"/>
      <c r="E10" s="462">
        <v>25</v>
      </c>
      <c r="F10" s="461">
        <f t="shared" ref="F10:F22" si="0">D10/30*E10</f>
        <v>0</v>
      </c>
      <c r="G10" s="463">
        <f t="shared" ref="G10:G22" si="1">(G9*F10)+G9</f>
        <v>100</v>
      </c>
      <c r="I10" s="458">
        <f t="shared" ref="I10:I22" si="2">B10+1</f>
        <v>2024</v>
      </c>
      <c r="J10" s="460" t="str">
        <f>$C$10</f>
        <v>AGO</v>
      </c>
      <c r="K10" s="461"/>
      <c r="L10" s="462">
        <f>$E$10</f>
        <v>25</v>
      </c>
      <c r="M10" s="461">
        <f t="shared" ref="M10:M22" si="3">K10/30*L10</f>
        <v>0</v>
      </c>
      <c r="N10" s="463">
        <f t="shared" ref="N10:N22" si="4">(N9*M10)+N9</f>
        <v>100</v>
      </c>
      <c r="P10" s="458">
        <f t="shared" ref="P10:P22" si="5">I10+1</f>
        <v>2025</v>
      </c>
      <c r="Q10" s="460" t="str">
        <f>$C$10</f>
        <v>AGO</v>
      </c>
      <c r="R10" s="461"/>
      <c r="S10" s="462">
        <f>$E$10</f>
        <v>25</v>
      </c>
      <c r="T10" s="461">
        <f t="shared" ref="T10:T22" si="6">R10/30*S10</f>
        <v>0</v>
      </c>
      <c r="U10" s="463">
        <f t="shared" ref="U10:U22" si="7">(U9*T10)+U9</f>
        <v>100</v>
      </c>
      <c r="W10" s="458">
        <f t="shared" ref="W10:W22" si="8">P10+1</f>
        <v>2026</v>
      </c>
      <c r="X10" s="460" t="str">
        <f>$C$10</f>
        <v>AGO</v>
      </c>
      <c r="Y10" s="461"/>
      <c r="Z10" s="462">
        <f>$E$10</f>
        <v>25</v>
      </c>
      <c r="AA10" s="461">
        <f t="shared" ref="AA10:AA22" si="9">Y10/30*Z10</f>
        <v>0</v>
      </c>
      <c r="AB10" s="463">
        <f t="shared" ref="AB10:AB22" si="10">(AB9*AA10)+AB9</f>
        <v>100</v>
      </c>
      <c r="AD10" s="458">
        <f t="shared" ref="AD10:AD22" si="11">W10+1</f>
        <v>2027</v>
      </c>
      <c r="AE10" s="460" t="str">
        <f>$C$10</f>
        <v>AGO</v>
      </c>
      <c r="AF10" s="461"/>
      <c r="AG10" s="462">
        <f>$E$10</f>
        <v>25</v>
      </c>
      <c r="AH10" s="461">
        <f t="shared" ref="AH10:AH22" si="12">AF10/30*AG10</f>
        <v>0</v>
      </c>
      <c r="AI10" s="463">
        <f t="shared" ref="AI10:AI22" si="13">(AI9*AH10)+AI9</f>
        <v>100</v>
      </c>
    </row>
    <row r="11" spans="1:35">
      <c r="B11" s="458">
        <v>2023</v>
      </c>
      <c r="C11" s="460" t="s">
        <v>547</v>
      </c>
      <c r="D11" s="461"/>
      <c r="E11" s="462"/>
      <c r="F11" s="461">
        <f t="shared" si="0"/>
        <v>0</v>
      </c>
      <c r="G11" s="463">
        <f t="shared" si="1"/>
        <v>100</v>
      </c>
      <c r="I11" s="458">
        <f t="shared" si="2"/>
        <v>2024</v>
      </c>
      <c r="J11" s="460" t="str">
        <f>$C$11</f>
        <v>SET</v>
      </c>
      <c r="K11" s="461"/>
      <c r="L11" s="462"/>
      <c r="M11" s="461">
        <f t="shared" si="3"/>
        <v>0</v>
      </c>
      <c r="N11" s="463">
        <f t="shared" si="4"/>
        <v>100</v>
      </c>
      <c r="P11" s="458">
        <f t="shared" si="5"/>
        <v>2025</v>
      </c>
      <c r="Q11" s="460" t="str">
        <f>$C$11</f>
        <v>SET</v>
      </c>
      <c r="R11" s="461"/>
      <c r="S11" s="462"/>
      <c r="T11" s="461">
        <f t="shared" si="6"/>
        <v>0</v>
      </c>
      <c r="U11" s="463">
        <f t="shared" si="7"/>
        <v>100</v>
      </c>
      <c r="W11" s="458">
        <f t="shared" si="8"/>
        <v>2026</v>
      </c>
      <c r="X11" s="460" t="str">
        <f>$C$11</f>
        <v>SET</v>
      </c>
      <c r="Y11" s="461"/>
      <c r="Z11" s="462"/>
      <c r="AA11" s="461">
        <f t="shared" si="9"/>
        <v>0</v>
      </c>
      <c r="AB11" s="463">
        <f t="shared" si="10"/>
        <v>100</v>
      </c>
      <c r="AD11" s="458">
        <f t="shared" si="11"/>
        <v>2027</v>
      </c>
      <c r="AE11" s="460" t="str">
        <f>$C$11</f>
        <v>SET</v>
      </c>
      <c r="AF11" s="461"/>
      <c r="AG11" s="462"/>
      <c r="AH11" s="461">
        <f t="shared" si="12"/>
        <v>0</v>
      </c>
      <c r="AI11" s="463">
        <f t="shared" si="13"/>
        <v>100</v>
      </c>
    </row>
    <row r="12" spans="1:35">
      <c r="B12" s="458">
        <v>2023</v>
      </c>
      <c r="C12" s="460" t="s">
        <v>548</v>
      </c>
      <c r="D12" s="461"/>
      <c r="E12" s="462"/>
      <c r="F12" s="461">
        <f t="shared" si="0"/>
        <v>0</v>
      </c>
      <c r="G12" s="463">
        <f t="shared" si="1"/>
        <v>100</v>
      </c>
      <c r="I12" s="458">
        <f t="shared" si="2"/>
        <v>2024</v>
      </c>
      <c r="J12" s="460" t="str">
        <f>$C$12</f>
        <v>OUT</v>
      </c>
      <c r="K12" s="461"/>
      <c r="L12" s="462"/>
      <c r="M12" s="461">
        <f t="shared" si="3"/>
        <v>0</v>
      </c>
      <c r="N12" s="463">
        <f t="shared" si="4"/>
        <v>100</v>
      </c>
      <c r="P12" s="458">
        <f t="shared" si="5"/>
        <v>2025</v>
      </c>
      <c r="Q12" s="460" t="str">
        <f>$C$12</f>
        <v>OUT</v>
      </c>
      <c r="R12" s="461"/>
      <c r="S12" s="462"/>
      <c r="T12" s="461">
        <f t="shared" si="6"/>
        <v>0</v>
      </c>
      <c r="U12" s="463">
        <f t="shared" si="7"/>
        <v>100</v>
      </c>
      <c r="W12" s="458">
        <f t="shared" si="8"/>
        <v>2026</v>
      </c>
      <c r="X12" s="460" t="str">
        <f>$C$12</f>
        <v>OUT</v>
      </c>
      <c r="Y12" s="461"/>
      <c r="Z12" s="462"/>
      <c r="AA12" s="461">
        <f t="shared" si="9"/>
        <v>0</v>
      </c>
      <c r="AB12" s="463">
        <f t="shared" si="10"/>
        <v>100</v>
      </c>
      <c r="AD12" s="458">
        <f t="shared" si="11"/>
        <v>2027</v>
      </c>
      <c r="AE12" s="460" t="str">
        <f>$C$12</f>
        <v>OUT</v>
      </c>
      <c r="AF12" s="461"/>
      <c r="AG12" s="462"/>
      <c r="AH12" s="461">
        <f t="shared" si="12"/>
        <v>0</v>
      </c>
      <c r="AI12" s="463">
        <f t="shared" si="13"/>
        <v>100</v>
      </c>
    </row>
    <row r="13" spans="1:35">
      <c r="B13" s="458">
        <v>2023</v>
      </c>
      <c r="C13" s="460" t="s">
        <v>549</v>
      </c>
      <c r="D13" s="461"/>
      <c r="E13" s="462"/>
      <c r="F13" s="461">
        <f t="shared" si="0"/>
        <v>0</v>
      </c>
      <c r="G13" s="463">
        <f t="shared" si="1"/>
        <v>100</v>
      </c>
      <c r="I13" s="458">
        <f t="shared" si="2"/>
        <v>2024</v>
      </c>
      <c r="J13" s="460" t="str">
        <f>$C$13</f>
        <v>NOV</v>
      </c>
      <c r="K13" s="461"/>
      <c r="L13" s="462"/>
      <c r="M13" s="461">
        <f t="shared" si="3"/>
        <v>0</v>
      </c>
      <c r="N13" s="463">
        <f t="shared" si="4"/>
        <v>100</v>
      </c>
      <c r="P13" s="458">
        <f t="shared" si="5"/>
        <v>2025</v>
      </c>
      <c r="Q13" s="460" t="str">
        <f>$C$13</f>
        <v>NOV</v>
      </c>
      <c r="R13" s="461"/>
      <c r="S13" s="462"/>
      <c r="T13" s="461">
        <f t="shared" si="6"/>
        <v>0</v>
      </c>
      <c r="U13" s="463">
        <f t="shared" si="7"/>
        <v>100</v>
      </c>
      <c r="W13" s="458">
        <f t="shared" si="8"/>
        <v>2026</v>
      </c>
      <c r="X13" s="460" t="str">
        <f>$C$13</f>
        <v>NOV</v>
      </c>
      <c r="Y13" s="461"/>
      <c r="Z13" s="462"/>
      <c r="AA13" s="461">
        <f t="shared" si="9"/>
        <v>0</v>
      </c>
      <c r="AB13" s="463">
        <f t="shared" si="10"/>
        <v>100</v>
      </c>
      <c r="AD13" s="458">
        <f t="shared" si="11"/>
        <v>2027</v>
      </c>
      <c r="AE13" s="460" t="str">
        <f>$C$13</f>
        <v>NOV</v>
      </c>
      <c r="AF13" s="461"/>
      <c r="AG13" s="462"/>
      <c r="AH13" s="461">
        <f t="shared" si="12"/>
        <v>0</v>
      </c>
      <c r="AI13" s="463">
        <f t="shared" si="13"/>
        <v>100</v>
      </c>
    </row>
    <row r="14" spans="1:35">
      <c r="B14" s="458">
        <v>2023</v>
      </c>
      <c r="C14" s="460" t="s">
        <v>550</v>
      </c>
      <c r="D14" s="461"/>
      <c r="E14" s="462"/>
      <c r="F14" s="461">
        <f t="shared" si="0"/>
        <v>0</v>
      </c>
      <c r="G14" s="463">
        <f t="shared" si="1"/>
        <v>100</v>
      </c>
      <c r="I14" s="458">
        <f t="shared" si="2"/>
        <v>2024</v>
      </c>
      <c r="J14" s="460" t="str">
        <f>$C$14</f>
        <v>DEZ</v>
      </c>
      <c r="K14" s="461"/>
      <c r="L14" s="462"/>
      <c r="M14" s="461">
        <f t="shared" si="3"/>
        <v>0</v>
      </c>
      <c r="N14" s="463">
        <f t="shared" si="4"/>
        <v>100</v>
      </c>
      <c r="P14" s="458">
        <f t="shared" si="5"/>
        <v>2025</v>
      </c>
      <c r="Q14" s="460" t="str">
        <f>$C$14</f>
        <v>DEZ</v>
      </c>
      <c r="R14" s="461"/>
      <c r="S14" s="462"/>
      <c r="T14" s="461">
        <f t="shared" si="6"/>
        <v>0</v>
      </c>
      <c r="U14" s="463">
        <f t="shared" si="7"/>
        <v>100</v>
      </c>
      <c r="W14" s="458">
        <f t="shared" si="8"/>
        <v>2026</v>
      </c>
      <c r="X14" s="460" t="str">
        <f>$C$14</f>
        <v>DEZ</v>
      </c>
      <c r="Y14" s="461"/>
      <c r="Z14" s="462"/>
      <c r="AA14" s="461">
        <f t="shared" si="9"/>
        <v>0</v>
      </c>
      <c r="AB14" s="463">
        <f t="shared" si="10"/>
        <v>100</v>
      </c>
      <c r="AD14" s="458">
        <f t="shared" si="11"/>
        <v>2027</v>
      </c>
      <c r="AE14" s="460" t="str">
        <f>$C$14</f>
        <v>DEZ</v>
      </c>
      <c r="AF14" s="461"/>
      <c r="AG14" s="462"/>
      <c r="AH14" s="461">
        <f t="shared" si="12"/>
        <v>0</v>
      </c>
      <c r="AI14" s="463">
        <f t="shared" si="13"/>
        <v>100</v>
      </c>
    </row>
    <row r="15" spans="1:35">
      <c r="B15" s="458">
        <v>2023</v>
      </c>
      <c r="C15" s="460" t="s">
        <v>550</v>
      </c>
      <c r="D15" s="461"/>
      <c r="E15" s="462"/>
      <c r="F15" s="461">
        <f t="shared" si="0"/>
        <v>0</v>
      </c>
      <c r="G15" s="463">
        <f t="shared" si="1"/>
        <v>100</v>
      </c>
      <c r="I15" s="458">
        <f t="shared" si="2"/>
        <v>2024</v>
      </c>
      <c r="J15" s="460" t="str">
        <f>$C$15</f>
        <v>DEZ</v>
      </c>
      <c r="K15" s="461"/>
      <c r="L15" s="462"/>
      <c r="M15" s="461">
        <f t="shared" si="3"/>
        <v>0</v>
      </c>
      <c r="N15" s="463">
        <f t="shared" si="4"/>
        <v>100</v>
      </c>
      <c r="P15" s="458">
        <f t="shared" si="5"/>
        <v>2025</v>
      </c>
      <c r="Q15" s="460" t="str">
        <f>$C$15</f>
        <v>DEZ</v>
      </c>
      <c r="R15" s="461"/>
      <c r="S15" s="462"/>
      <c r="T15" s="461">
        <f t="shared" si="6"/>
        <v>0</v>
      </c>
      <c r="U15" s="463">
        <f t="shared" si="7"/>
        <v>100</v>
      </c>
      <c r="W15" s="458">
        <f t="shared" si="8"/>
        <v>2026</v>
      </c>
      <c r="X15" s="460" t="str">
        <f>$C$15</f>
        <v>DEZ</v>
      </c>
      <c r="Y15" s="461"/>
      <c r="Z15" s="462"/>
      <c r="AA15" s="461">
        <f t="shared" si="9"/>
        <v>0</v>
      </c>
      <c r="AB15" s="463">
        <f t="shared" si="10"/>
        <v>100</v>
      </c>
      <c r="AD15" s="458">
        <f t="shared" si="11"/>
        <v>2027</v>
      </c>
      <c r="AE15" s="460" t="str">
        <f>$C$15</f>
        <v>DEZ</v>
      </c>
      <c r="AF15" s="461"/>
      <c r="AG15" s="462"/>
      <c r="AH15" s="461">
        <f t="shared" si="12"/>
        <v>0</v>
      </c>
      <c r="AI15" s="463">
        <f t="shared" si="13"/>
        <v>100</v>
      </c>
    </row>
    <row r="16" spans="1:35">
      <c r="B16" s="458">
        <v>2024</v>
      </c>
      <c r="C16" s="464" t="s">
        <v>551</v>
      </c>
      <c r="D16" s="465"/>
      <c r="E16" s="466"/>
      <c r="F16" s="461">
        <f t="shared" si="0"/>
        <v>0</v>
      </c>
      <c r="G16" s="463">
        <f t="shared" si="1"/>
        <v>100</v>
      </c>
      <c r="I16" s="458">
        <f t="shared" si="2"/>
        <v>2025</v>
      </c>
      <c r="J16" s="460" t="str">
        <f>$C$16</f>
        <v>JAN</v>
      </c>
      <c r="K16" s="465"/>
      <c r="L16" s="462"/>
      <c r="M16" s="461">
        <f t="shared" si="3"/>
        <v>0</v>
      </c>
      <c r="N16" s="463">
        <f t="shared" si="4"/>
        <v>100</v>
      </c>
      <c r="P16" s="458">
        <f t="shared" si="5"/>
        <v>2026</v>
      </c>
      <c r="Q16" s="460" t="str">
        <f>$C$16</f>
        <v>JAN</v>
      </c>
      <c r="R16" s="465"/>
      <c r="S16" s="462"/>
      <c r="T16" s="461">
        <f t="shared" si="6"/>
        <v>0</v>
      </c>
      <c r="U16" s="463">
        <f t="shared" si="7"/>
        <v>100</v>
      </c>
      <c r="W16" s="458">
        <f t="shared" si="8"/>
        <v>2027</v>
      </c>
      <c r="X16" s="460" t="str">
        <f>$C$16</f>
        <v>JAN</v>
      </c>
      <c r="Y16" s="465"/>
      <c r="Z16" s="462"/>
      <c r="AA16" s="461">
        <f t="shared" si="9"/>
        <v>0</v>
      </c>
      <c r="AB16" s="463">
        <f t="shared" si="10"/>
        <v>100</v>
      </c>
      <c r="AD16" s="458">
        <f t="shared" si="11"/>
        <v>2028</v>
      </c>
      <c r="AE16" s="460" t="str">
        <f>$C$16</f>
        <v>JAN</v>
      </c>
      <c r="AF16" s="465"/>
      <c r="AG16" s="462"/>
      <c r="AH16" s="461">
        <f t="shared" si="12"/>
        <v>0</v>
      </c>
      <c r="AI16" s="463">
        <f t="shared" si="13"/>
        <v>100</v>
      </c>
    </row>
    <row r="17" spans="2:35">
      <c r="B17" s="458">
        <v>2024</v>
      </c>
      <c r="C17" s="460" t="s">
        <v>552</v>
      </c>
      <c r="D17" s="461"/>
      <c r="E17" s="462"/>
      <c r="F17" s="461">
        <f t="shared" si="0"/>
        <v>0</v>
      </c>
      <c r="G17" s="463">
        <f t="shared" si="1"/>
        <v>100</v>
      </c>
      <c r="I17" s="458">
        <f t="shared" si="2"/>
        <v>2025</v>
      </c>
      <c r="J17" s="460" t="str">
        <f>$C$17</f>
        <v>FEV</v>
      </c>
      <c r="K17" s="461"/>
      <c r="L17" s="462"/>
      <c r="M17" s="461">
        <f t="shared" si="3"/>
        <v>0</v>
      </c>
      <c r="N17" s="463">
        <f t="shared" si="4"/>
        <v>100</v>
      </c>
      <c r="P17" s="458">
        <f t="shared" si="5"/>
        <v>2026</v>
      </c>
      <c r="Q17" s="460" t="str">
        <f>$C$17</f>
        <v>FEV</v>
      </c>
      <c r="R17" s="461"/>
      <c r="S17" s="462"/>
      <c r="T17" s="461">
        <f t="shared" si="6"/>
        <v>0</v>
      </c>
      <c r="U17" s="463">
        <f t="shared" si="7"/>
        <v>100</v>
      </c>
      <c r="W17" s="458">
        <f t="shared" si="8"/>
        <v>2027</v>
      </c>
      <c r="X17" s="460" t="str">
        <f>$C$17</f>
        <v>FEV</v>
      </c>
      <c r="Y17" s="461"/>
      <c r="Z17" s="462"/>
      <c r="AA17" s="461">
        <f t="shared" si="9"/>
        <v>0</v>
      </c>
      <c r="AB17" s="463">
        <f t="shared" si="10"/>
        <v>100</v>
      </c>
      <c r="AD17" s="458">
        <f t="shared" si="11"/>
        <v>2028</v>
      </c>
      <c r="AE17" s="460" t="str">
        <f>$C$17</f>
        <v>FEV</v>
      </c>
      <c r="AF17" s="461"/>
      <c r="AG17" s="462"/>
      <c r="AH17" s="461">
        <f t="shared" si="12"/>
        <v>0</v>
      </c>
      <c r="AI17" s="463">
        <f t="shared" si="13"/>
        <v>100</v>
      </c>
    </row>
    <row r="18" spans="2:35">
      <c r="B18" s="458">
        <v>2024</v>
      </c>
      <c r="C18" s="464" t="s">
        <v>553</v>
      </c>
      <c r="D18" s="461"/>
      <c r="E18" s="462"/>
      <c r="F18" s="461">
        <f t="shared" si="0"/>
        <v>0</v>
      </c>
      <c r="G18" s="463">
        <f t="shared" si="1"/>
        <v>100</v>
      </c>
      <c r="I18" s="458">
        <f t="shared" si="2"/>
        <v>2025</v>
      </c>
      <c r="J18" s="460" t="str">
        <f>$C$18</f>
        <v>MAR</v>
      </c>
      <c r="K18" s="461"/>
      <c r="L18" s="462"/>
      <c r="M18" s="461">
        <f t="shared" si="3"/>
        <v>0</v>
      </c>
      <c r="N18" s="463">
        <f t="shared" si="4"/>
        <v>100</v>
      </c>
      <c r="P18" s="458">
        <f t="shared" si="5"/>
        <v>2026</v>
      </c>
      <c r="Q18" s="460" t="str">
        <f>$C$18</f>
        <v>MAR</v>
      </c>
      <c r="R18" s="461"/>
      <c r="S18" s="462"/>
      <c r="T18" s="461">
        <f t="shared" si="6"/>
        <v>0</v>
      </c>
      <c r="U18" s="463">
        <f t="shared" si="7"/>
        <v>100</v>
      </c>
      <c r="W18" s="458">
        <f t="shared" si="8"/>
        <v>2027</v>
      </c>
      <c r="X18" s="460" t="str">
        <f>$C$18</f>
        <v>MAR</v>
      </c>
      <c r="Y18" s="461"/>
      <c r="Z18" s="462"/>
      <c r="AA18" s="461">
        <f t="shared" si="9"/>
        <v>0</v>
      </c>
      <c r="AB18" s="463">
        <f t="shared" si="10"/>
        <v>100</v>
      </c>
      <c r="AD18" s="458">
        <f t="shared" si="11"/>
        <v>2028</v>
      </c>
      <c r="AE18" s="460" t="str">
        <f>$C$18</f>
        <v>MAR</v>
      </c>
      <c r="AF18" s="461"/>
      <c r="AG18" s="462"/>
      <c r="AH18" s="461">
        <f t="shared" si="12"/>
        <v>0</v>
      </c>
      <c r="AI18" s="463">
        <f t="shared" si="13"/>
        <v>100</v>
      </c>
    </row>
    <row r="19" spans="2:35">
      <c r="B19" s="458">
        <v>2024</v>
      </c>
      <c r="C19" s="460" t="s">
        <v>554</v>
      </c>
      <c r="D19" s="461"/>
      <c r="E19" s="462"/>
      <c r="F19" s="461">
        <f t="shared" si="0"/>
        <v>0</v>
      </c>
      <c r="G19" s="463">
        <f t="shared" si="1"/>
        <v>100</v>
      </c>
      <c r="I19" s="458">
        <f t="shared" si="2"/>
        <v>2025</v>
      </c>
      <c r="J19" s="460" t="str">
        <f>$C$19</f>
        <v>ABR</v>
      </c>
      <c r="K19" s="461"/>
      <c r="L19" s="462"/>
      <c r="M19" s="461">
        <f t="shared" si="3"/>
        <v>0</v>
      </c>
      <c r="N19" s="463">
        <f t="shared" si="4"/>
        <v>100</v>
      </c>
      <c r="P19" s="458">
        <f t="shared" si="5"/>
        <v>2026</v>
      </c>
      <c r="Q19" s="460" t="str">
        <f>$C$19</f>
        <v>ABR</v>
      </c>
      <c r="R19" s="461"/>
      <c r="S19" s="462"/>
      <c r="T19" s="461">
        <f t="shared" si="6"/>
        <v>0</v>
      </c>
      <c r="U19" s="463">
        <f t="shared" si="7"/>
        <v>100</v>
      </c>
      <c r="W19" s="458">
        <f t="shared" si="8"/>
        <v>2027</v>
      </c>
      <c r="X19" s="460" t="str">
        <f>$C$19</f>
        <v>ABR</v>
      </c>
      <c r="Y19" s="461"/>
      <c r="Z19" s="462"/>
      <c r="AA19" s="461">
        <f t="shared" si="9"/>
        <v>0</v>
      </c>
      <c r="AB19" s="463">
        <f t="shared" si="10"/>
        <v>100</v>
      </c>
      <c r="AD19" s="458">
        <f t="shared" si="11"/>
        <v>2028</v>
      </c>
      <c r="AE19" s="460" t="str">
        <f>$C$19</f>
        <v>ABR</v>
      </c>
      <c r="AF19" s="461"/>
      <c r="AG19" s="462"/>
      <c r="AH19" s="461">
        <f t="shared" si="12"/>
        <v>0</v>
      </c>
      <c r="AI19" s="463">
        <f t="shared" si="13"/>
        <v>100</v>
      </c>
    </row>
    <row r="20" spans="2:35">
      <c r="B20" s="458">
        <v>2024</v>
      </c>
      <c r="C20" s="464" t="s">
        <v>555</v>
      </c>
      <c r="D20" s="461"/>
      <c r="E20" s="462"/>
      <c r="F20" s="461">
        <f t="shared" si="0"/>
        <v>0</v>
      </c>
      <c r="G20" s="463">
        <f t="shared" si="1"/>
        <v>100</v>
      </c>
      <c r="I20" s="458">
        <f t="shared" si="2"/>
        <v>2025</v>
      </c>
      <c r="J20" s="460" t="str">
        <f>$C$20</f>
        <v>MAI</v>
      </c>
      <c r="K20" s="461"/>
      <c r="L20" s="462"/>
      <c r="M20" s="461">
        <f t="shared" si="3"/>
        <v>0</v>
      </c>
      <c r="N20" s="463">
        <f t="shared" si="4"/>
        <v>100</v>
      </c>
      <c r="P20" s="458">
        <f t="shared" si="5"/>
        <v>2026</v>
      </c>
      <c r="Q20" s="460" t="str">
        <f>$C$20</f>
        <v>MAI</v>
      </c>
      <c r="R20" s="461"/>
      <c r="S20" s="462"/>
      <c r="T20" s="461">
        <f t="shared" si="6"/>
        <v>0</v>
      </c>
      <c r="U20" s="463">
        <f t="shared" si="7"/>
        <v>100</v>
      </c>
      <c r="W20" s="458">
        <f t="shared" si="8"/>
        <v>2027</v>
      </c>
      <c r="X20" s="460" t="str">
        <f>$C$20</f>
        <v>MAI</v>
      </c>
      <c r="Y20" s="461"/>
      <c r="Z20" s="462"/>
      <c r="AA20" s="461">
        <f t="shared" si="9"/>
        <v>0</v>
      </c>
      <c r="AB20" s="463">
        <f t="shared" si="10"/>
        <v>100</v>
      </c>
      <c r="AD20" s="458">
        <f t="shared" si="11"/>
        <v>2028</v>
      </c>
      <c r="AE20" s="460" t="str">
        <f>$C$20</f>
        <v>MAI</v>
      </c>
      <c r="AF20" s="461"/>
      <c r="AG20" s="462"/>
      <c r="AH20" s="461">
        <f t="shared" si="12"/>
        <v>0</v>
      </c>
      <c r="AI20" s="463">
        <f t="shared" si="13"/>
        <v>100</v>
      </c>
    </row>
    <row r="21" spans="2:35">
      <c r="B21" s="458">
        <v>2024</v>
      </c>
      <c r="C21" s="460" t="s">
        <v>556</v>
      </c>
      <c r="D21" s="461"/>
      <c r="E21" s="462"/>
      <c r="F21" s="461">
        <f t="shared" si="0"/>
        <v>0</v>
      </c>
      <c r="G21" s="463">
        <f t="shared" si="1"/>
        <v>100</v>
      </c>
      <c r="I21" s="458">
        <f t="shared" si="2"/>
        <v>2025</v>
      </c>
      <c r="J21" s="460" t="str">
        <f>$C$21</f>
        <v>JUN</v>
      </c>
      <c r="K21" s="461"/>
      <c r="L21" s="462"/>
      <c r="M21" s="461">
        <f t="shared" si="3"/>
        <v>0</v>
      </c>
      <c r="N21" s="463">
        <f t="shared" si="4"/>
        <v>100</v>
      </c>
      <c r="P21" s="458">
        <f t="shared" si="5"/>
        <v>2026</v>
      </c>
      <c r="Q21" s="460" t="str">
        <f>$C$21</f>
        <v>JUN</v>
      </c>
      <c r="R21" s="461"/>
      <c r="S21" s="462"/>
      <c r="T21" s="461">
        <f t="shared" si="6"/>
        <v>0</v>
      </c>
      <c r="U21" s="463">
        <f t="shared" si="7"/>
        <v>100</v>
      </c>
      <c r="W21" s="458">
        <f t="shared" si="8"/>
        <v>2027</v>
      </c>
      <c r="X21" s="460" t="str">
        <f>$C$21</f>
        <v>JUN</v>
      </c>
      <c r="Y21" s="461"/>
      <c r="Z21" s="462"/>
      <c r="AA21" s="461">
        <f t="shared" si="9"/>
        <v>0</v>
      </c>
      <c r="AB21" s="463">
        <f t="shared" si="10"/>
        <v>100</v>
      </c>
      <c r="AD21" s="458">
        <f t="shared" si="11"/>
        <v>2028</v>
      </c>
      <c r="AE21" s="460" t="str">
        <f>$C$21</f>
        <v>JUN</v>
      </c>
      <c r="AF21" s="461"/>
      <c r="AG21" s="462"/>
      <c r="AH21" s="461">
        <f t="shared" si="12"/>
        <v>0</v>
      </c>
      <c r="AI21" s="463">
        <f t="shared" si="13"/>
        <v>100</v>
      </c>
    </row>
    <row r="22" spans="2:35">
      <c r="B22" s="458">
        <v>2024</v>
      </c>
      <c r="C22" s="464" t="s">
        <v>557</v>
      </c>
      <c r="D22" s="461"/>
      <c r="E22" s="462">
        <v>5</v>
      </c>
      <c r="F22" s="461">
        <f t="shared" si="0"/>
        <v>0</v>
      </c>
      <c r="G22" s="463">
        <f t="shared" si="1"/>
        <v>100</v>
      </c>
      <c r="I22" s="458">
        <f t="shared" si="2"/>
        <v>2025</v>
      </c>
      <c r="J22" s="460" t="str">
        <f>$C$22</f>
        <v>JUL</v>
      </c>
      <c r="K22" s="461"/>
      <c r="L22" s="462">
        <f>$E$22</f>
        <v>5</v>
      </c>
      <c r="M22" s="461">
        <f t="shared" si="3"/>
        <v>0</v>
      </c>
      <c r="N22" s="463">
        <f t="shared" si="4"/>
        <v>100</v>
      </c>
      <c r="P22" s="458">
        <f t="shared" si="5"/>
        <v>2026</v>
      </c>
      <c r="Q22" s="460" t="str">
        <f>$C$22</f>
        <v>JUL</v>
      </c>
      <c r="R22" s="461"/>
      <c r="S22" s="462">
        <f>$E$22</f>
        <v>5</v>
      </c>
      <c r="T22" s="461">
        <f t="shared" si="6"/>
        <v>0</v>
      </c>
      <c r="U22" s="463">
        <f t="shared" si="7"/>
        <v>100</v>
      </c>
      <c r="W22" s="458">
        <f t="shared" si="8"/>
        <v>2027</v>
      </c>
      <c r="X22" s="460" t="str">
        <f>$C$22</f>
        <v>JUL</v>
      </c>
      <c r="Y22" s="461"/>
      <c r="Z22" s="462">
        <f>$E$22</f>
        <v>5</v>
      </c>
      <c r="AA22" s="461">
        <f t="shared" si="9"/>
        <v>0</v>
      </c>
      <c r="AB22" s="463">
        <f t="shared" si="10"/>
        <v>100</v>
      </c>
      <c r="AD22" s="458">
        <f t="shared" si="11"/>
        <v>2028</v>
      </c>
      <c r="AE22" s="460" t="str">
        <f>$C$22</f>
        <v>JUL</v>
      </c>
      <c r="AF22" s="461"/>
      <c r="AG22" s="462">
        <f>$E$22</f>
        <v>5</v>
      </c>
      <c r="AH22" s="461">
        <f t="shared" si="12"/>
        <v>0</v>
      </c>
      <c r="AI22" s="463">
        <f t="shared" si="13"/>
        <v>100</v>
      </c>
    </row>
    <row r="23" spans="2:35">
      <c r="B23" s="772" t="s">
        <v>558</v>
      </c>
      <c r="C23" s="772"/>
      <c r="D23" s="772"/>
      <c r="E23" s="772"/>
      <c r="F23" s="772"/>
      <c r="G23" s="467">
        <f>ROUND(((G22-G9)/G9),4)</f>
        <v>0</v>
      </c>
      <c r="I23" s="772" t="s">
        <v>558</v>
      </c>
      <c r="J23" s="772"/>
      <c r="K23" s="772"/>
      <c r="L23" s="772"/>
      <c r="M23" s="772"/>
      <c r="N23" s="467">
        <f>ROUND(((N22-N9)/N9),4)</f>
        <v>0</v>
      </c>
      <c r="P23" s="772" t="s">
        <v>558</v>
      </c>
      <c r="Q23" s="772"/>
      <c r="R23" s="772"/>
      <c r="S23" s="772"/>
      <c r="T23" s="772"/>
      <c r="U23" s="467">
        <f>ROUND(((U22-U9)/U9),4)</f>
        <v>0</v>
      </c>
      <c r="W23" s="772" t="s">
        <v>558</v>
      </c>
      <c r="X23" s="772"/>
      <c r="Y23" s="772"/>
      <c r="Z23" s="772"/>
      <c r="AA23" s="772"/>
      <c r="AB23" s="467">
        <f>ROUND(((AB22-AB9)/AB9),4)</f>
        <v>0</v>
      </c>
      <c r="AD23" s="772" t="s">
        <v>558</v>
      </c>
      <c r="AE23" s="772"/>
      <c r="AF23" s="772"/>
      <c r="AG23" s="772"/>
      <c r="AH23" s="772"/>
      <c r="AI23" s="467">
        <f>ROUND(((AI22-AI9)/AI9),4)</f>
        <v>0</v>
      </c>
    </row>
  </sheetData>
  <sheetProtection sheet="1" objects="1" scenarios="1"/>
  <mergeCells count="20">
    <mergeCell ref="B6:G6"/>
    <mergeCell ref="I6:N6"/>
    <mergeCell ref="P6:U6"/>
    <mergeCell ref="W6:AB6"/>
    <mergeCell ref="AD6:AI6"/>
    <mergeCell ref="C7:G7"/>
    <mergeCell ref="J7:N7"/>
    <mergeCell ref="Q7:U7"/>
    <mergeCell ref="X7:AB7"/>
    <mergeCell ref="AE7:AI7"/>
    <mergeCell ref="B8:C8"/>
    <mergeCell ref="I8:J8"/>
    <mergeCell ref="P8:Q8"/>
    <mergeCell ref="W8:X8"/>
    <mergeCell ref="AD8:AE8"/>
    <mergeCell ref="B23:F23"/>
    <mergeCell ref="I23:M23"/>
    <mergeCell ref="P23:T23"/>
    <mergeCell ref="W23:AA23"/>
    <mergeCell ref="AD23:AH23"/>
  </mergeCells>
  <pageMargins left="0.51180555555555596" right="0.51180555555555596" top="0.78749999999999998" bottom="0.78749999999999998" header="0.511811023622047" footer="0.511811023622047"/>
  <pageSetup paperSize="9" scale="5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85"/>
  <sheetViews>
    <sheetView showGridLines="0" tabSelected="1" view="pageBreakPreview" topLeftCell="A5" zoomScale="70" zoomScaleNormal="130" zoomScaleSheetLayoutView="70" zoomScalePageLayoutView="140" workbookViewId="0">
      <selection activeCell="V31" sqref="V31"/>
    </sheetView>
  </sheetViews>
  <sheetFormatPr defaultColWidth="8.6640625" defaultRowHeight="14.4"/>
  <cols>
    <col min="1" max="1" width="6.33203125" style="64" customWidth="1"/>
    <col min="2" max="2" width="8.6640625" style="97"/>
    <col min="3" max="3" width="4" style="69" customWidth="1"/>
    <col min="4" max="23" width="9.109375" style="69" customWidth="1"/>
    <col min="24" max="24" width="10.6640625" style="69" customWidth="1"/>
    <col min="25" max="256" width="9.109375" style="69" customWidth="1"/>
    <col min="257" max="257" width="4.5546875" style="69" customWidth="1"/>
    <col min="258" max="258" width="11.109375" style="69" customWidth="1"/>
    <col min="259" max="259" width="4" style="69" customWidth="1"/>
    <col min="260" max="512" width="9.109375" style="69" customWidth="1"/>
    <col min="513" max="513" width="4.5546875" style="69" customWidth="1"/>
    <col min="514" max="514" width="11.109375" style="69" customWidth="1"/>
    <col min="515" max="515" width="4" style="69" customWidth="1"/>
    <col min="516" max="768" width="9.109375" style="69" customWidth="1"/>
    <col min="769" max="769" width="4.5546875" style="69" customWidth="1"/>
    <col min="770" max="770" width="11.109375" style="69" customWidth="1"/>
    <col min="771" max="771" width="4" style="69" customWidth="1"/>
    <col min="772" max="1025" width="9.109375" style="69" customWidth="1"/>
  </cols>
  <sheetData>
    <row r="1" spans="1:24">
      <c r="A1" s="98"/>
      <c r="B1" s="99" t="s">
        <v>98</v>
      </c>
    </row>
    <row r="2" spans="1:24">
      <c r="A2" s="100"/>
      <c r="B2" s="101" t="s">
        <v>99</v>
      </c>
    </row>
    <row r="3" spans="1:24">
      <c r="A3" s="100"/>
      <c r="B3" s="69" t="s">
        <v>559</v>
      </c>
    </row>
    <row r="4" spans="1:24" s="17" customFormat="1" ht="15.6">
      <c r="A4" s="629" t="s">
        <v>700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</row>
    <row r="5" spans="1:24" ht="12" customHeight="1"/>
    <row r="6" spans="1:24">
      <c r="A6" s="102" t="s">
        <v>101</v>
      </c>
      <c r="B6" s="103" t="s">
        <v>102</v>
      </c>
    </row>
    <row r="7" spans="1:24" ht="7.5" customHeight="1"/>
    <row r="8" spans="1:24">
      <c r="B8" s="104"/>
      <c r="C8" s="97" t="s">
        <v>103</v>
      </c>
    </row>
    <row r="10" spans="1:24">
      <c r="A10" s="102" t="s">
        <v>104</v>
      </c>
      <c r="B10" s="97" t="s">
        <v>105</v>
      </c>
    </row>
    <row r="12" spans="1:24">
      <c r="A12" s="102" t="s">
        <v>106</v>
      </c>
      <c r="B12" s="97" t="s">
        <v>107</v>
      </c>
    </row>
    <row r="13" spans="1:24">
      <c r="A13" s="102"/>
      <c r="B13" s="97" t="s">
        <v>108</v>
      </c>
    </row>
    <row r="14" spans="1:24" s="106" customFormat="1" ht="17.25" customHeight="1">
      <c r="A14" s="102"/>
      <c r="B14" s="105" t="s">
        <v>109</v>
      </c>
    </row>
    <row r="15" spans="1:24" ht="7.5" customHeight="1"/>
    <row r="16" spans="1:24">
      <c r="B16" s="107" t="s">
        <v>110</v>
      </c>
      <c r="C16" s="108" t="s">
        <v>111</v>
      </c>
      <c r="D16" s="108"/>
      <c r="E16" s="108"/>
      <c r="F16" s="108"/>
      <c r="G16" s="108"/>
    </row>
    <row r="18" spans="3:4">
      <c r="C18" s="109" t="s">
        <v>112</v>
      </c>
      <c r="D18" s="109" t="s">
        <v>113</v>
      </c>
    </row>
    <row r="19" spans="3:4">
      <c r="D19" s="69" t="s">
        <v>114</v>
      </c>
    </row>
    <row r="20" spans="3:4">
      <c r="D20" s="69" t="s">
        <v>115</v>
      </c>
    </row>
    <row r="21" spans="3:4">
      <c r="C21" s="109"/>
      <c r="D21" s="69" t="s">
        <v>116</v>
      </c>
    </row>
    <row r="22" spans="3:4">
      <c r="D22" s="69" t="s">
        <v>117</v>
      </c>
    </row>
    <row r="23" spans="3:4">
      <c r="D23" s="69" t="s">
        <v>118</v>
      </c>
    </row>
    <row r="24" spans="3:4">
      <c r="D24" s="69" t="s">
        <v>119</v>
      </c>
    </row>
    <row r="25" spans="3:4">
      <c r="D25" s="69" t="s">
        <v>120</v>
      </c>
    </row>
    <row r="26" spans="3:4">
      <c r="D26" s="69" t="s">
        <v>121</v>
      </c>
    </row>
    <row r="27" spans="3:4">
      <c r="D27" s="69" t="s">
        <v>122</v>
      </c>
    </row>
    <row r="28" spans="3:4">
      <c r="D28" s="69" t="s">
        <v>123</v>
      </c>
    </row>
    <row r="29" spans="3:4">
      <c r="D29" s="69" t="s">
        <v>124</v>
      </c>
    </row>
    <row r="30" spans="3:4">
      <c r="D30" s="69" t="s">
        <v>125</v>
      </c>
    </row>
    <row r="31" spans="3:4">
      <c r="D31" s="69" t="s">
        <v>126</v>
      </c>
    </row>
    <row r="32" spans="3:4">
      <c r="D32" s="69" t="s">
        <v>127</v>
      </c>
    </row>
    <row r="33" spans="3:8">
      <c r="D33" s="69" t="s">
        <v>128</v>
      </c>
    </row>
    <row r="34" spans="3:8">
      <c r="D34" s="69" t="s">
        <v>129</v>
      </c>
    </row>
    <row r="35" spans="3:8">
      <c r="D35" s="69" t="s">
        <v>130</v>
      </c>
    </row>
    <row r="36" spans="3:8">
      <c r="D36" s="69" t="s">
        <v>131</v>
      </c>
    </row>
    <row r="37" spans="3:8">
      <c r="D37" s="69" t="s">
        <v>132</v>
      </c>
    </row>
    <row r="38" spans="3:8">
      <c r="D38" s="69" t="s">
        <v>133</v>
      </c>
    </row>
    <row r="39" spans="3:8">
      <c r="D39" s="69" t="s">
        <v>134</v>
      </c>
    </row>
    <row r="40" spans="3:8">
      <c r="D40" s="69" t="s">
        <v>135</v>
      </c>
    </row>
    <row r="41" spans="3:8">
      <c r="D41" s="69" t="s">
        <v>136</v>
      </c>
    </row>
    <row r="42" spans="3:8">
      <c r="D42" s="108" t="s">
        <v>137</v>
      </c>
      <c r="E42" s="108"/>
      <c r="F42" s="108"/>
      <c r="G42" s="108"/>
      <c r="H42" s="108"/>
    </row>
    <row r="44" spans="3:8">
      <c r="C44" s="109" t="s">
        <v>138</v>
      </c>
      <c r="D44" s="109" t="s">
        <v>139</v>
      </c>
    </row>
    <row r="45" spans="3:8">
      <c r="D45" s="69" t="s">
        <v>140</v>
      </c>
    </row>
    <row r="46" spans="3:8">
      <c r="D46" s="69" t="s">
        <v>141</v>
      </c>
    </row>
    <row r="47" spans="3:8">
      <c r="D47" s="108" t="s">
        <v>137</v>
      </c>
      <c r="E47" s="108"/>
      <c r="F47" s="108"/>
      <c r="G47" s="108"/>
      <c r="H47" s="108"/>
    </row>
    <row r="49" spans="3:8">
      <c r="C49" s="109" t="s">
        <v>142</v>
      </c>
      <c r="D49" s="109" t="s">
        <v>143</v>
      </c>
    </row>
    <row r="50" spans="3:8">
      <c r="D50" s="69" t="s">
        <v>703</v>
      </c>
    </row>
    <row r="51" spans="3:8">
      <c r="D51" s="69" t="s">
        <v>144</v>
      </c>
    </row>
    <row r="52" spans="3:8">
      <c r="E52" s="69" t="s">
        <v>701</v>
      </c>
    </row>
    <row r="53" spans="3:8">
      <c r="E53" s="69" t="s">
        <v>702</v>
      </c>
    </row>
    <row r="54" spans="3:8">
      <c r="D54" s="69" t="s">
        <v>145</v>
      </c>
    </row>
    <row r="55" spans="3:8">
      <c r="D55" s="108" t="s">
        <v>137</v>
      </c>
      <c r="E55" s="108"/>
      <c r="F55" s="108"/>
      <c r="G55" s="108"/>
      <c r="H55" s="108"/>
    </row>
    <row r="57" spans="3:8">
      <c r="C57" s="109" t="s">
        <v>146</v>
      </c>
      <c r="D57" s="109" t="s">
        <v>689</v>
      </c>
    </row>
    <row r="58" spans="3:8">
      <c r="D58" s="69" t="s">
        <v>148</v>
      </c>
    </row>
    <row r="59" spans="3:8">
      <c r="D59" s="108" t="s">
        <v>137</v>
      </c>
      <c r="E59" s="108"/>
      <c r="F59" s="108"/>
      <c r="G59" s="108"/>
      <c r="H59" s="108"/>
    </row>
    <row r="60" spans="3:8">
      <c r="D60" s="489"/>
      <c r="E60" s="489"/>
      <c r="F60" s="489"/>
      <c r="G60" s="489"/>
      <c r="H60" s="489"/>
    </row>
    <row r="61" spans="3:8">
      <c r="C61" s="109" t="s">
        <v>149</v>
      </c>
      <c r="D61" s="109" t="s">
        <v>147</v>
      </c>
    </row>
    <row r="62" spans="3:8">
      <c r="D62" s="69" t="s">
        <v>148</v>
      </c>
    </row>
    <row r="63" spans="3:8">
      <c r="D63" s="108" t="s">
        <v>137</v>
      </c>
      <c r="E63" s="108"/>
      <c r="F63" s="108"/>
      <c r="G63" s="108"/>
      <c r="H63" s="108"/>
    </row>
    <row r="65" spans="1:8">
      <c r="C65" s="109" t="s">
        <v>688</v>
      </c>
      <c r="D65" s="109" t="s">
        <v>150</v>
      </c>
    </row>
    <row r="66" spans="1:8">
      <c r="D66" s="69" t="s">
        <v>151</v>
      </c>
    </row>
    <row r="67" spans="1:8">
      <c r="D67" s="69" t="s">
        <v>690</v>
      </c>
    </row>
    <row r="68" spans="1:8">
      <c r="D68" s="108" t="s">
        <v>137</v>
      </c>
      <c r="E68" s="108"/>
      <c r="F68" s="108"/>
      <c r="G68" s="108"/>
      <c r="H68" s="108"/>
    </row>
    <row r="69" spans="1:8" ht="19.5" customHeight="1"/>
    <row r="70" spans="1:8" s="58" customFormat="1" ht="20.25" customHeight="1">
      <c r="A70" s="102" t="s">
        <v>152</v>
      </c>
      <c r="B70" s="61" t="s">
        <v>153</v>
      </c>
    </row>
    <row r="71" spans="1:8" s="58" customFormat="1" ht="13.5" customHeight="1">
      <c r="A71" s="64"/>
      <c r="B71" s="102" t="s">
        <v>154</v>
      </c>
      <c r="C71" s="110" t="s">
        <v>155</v>
      </c>
      <c r="D71" s="110"/>
      <c r="E71" s="110"/>
      <c r="F71" s="110"/>
    </row>
    <row r="72" spans="1:8" ht="24.75" customHeight="1"/>
    <row r="73" spans="1:8">
      <c r="A73" s="102" t="s">
        <v>156</v>
      </c>
      <c r="B73" s="97" t="s">
        <v>157</v>
      </c>
    </row>
    <row r="74" spans="1:8">
      <c r="A74" s="102"/>
      <c r="B74" s="97" t="s">
        <v>108</v>
      </c>
    </row>
    <row r="75" spans="1:8" s="106" customFormat="1" ht="18" customHeight="1">
      <c r="A75" s="64"/>
      <c r="B75" s="102" t="s">
        <v>158</v>
      </c>
      <c r="C75" s="106" t="s">
        <v>159</v>
      </c>
    </row>
    <row r="76" spans="1:8">
      <c r="B76" s="107" t="s">
        <v>160</v>
      </c>
      <c r="C76" s="111" t="s">
        <v>161</v>
      </c>
      <c r="D76" s="111"/>
      <c r="E76" s="111"/>
      <c r="F76" s="111"/>
      <c r="G76" s="111"/>
    </row>
    <row r="77" spans="1:8" ht="24.75" customHeight="1"/>
    <row r="78" spans="1:8" s="106" customFormat="1" ht="15" customHeight="1">
      <c r="A78" s="102" t="s">
        <v>162</v>
      </c>
      <c r="B78" s="61" t="s">
        <v>163</v>
      </c>
    </row>
    <row r="79" spans="1:8" s="106" customFormat="1" ht="15.75" customHeight="1">
      <c r="A79" s="64"/>
      <c r="B79" s="102" t="s">
        <v>164</v>
      </c>
      <c r="C79" s="58" t="s">
        <v>165</v>
      </c>
    </row>
    <row r="80" spans="1:8">
      <c r="B80" s="107" t="s">
        <v>166</v>
      </c>
      <c r="C80" s="112" t="s">
        <v>167</v>
      </c>
      <c r="D80" s="112"/>
      <c r="E80" s="112"/>
      <c r="F80" s="112"/>
    </row>
    <row r="81" spans="1:7" ht="24.75" customHeight="1"/>
    <row r="82" spans="1:7">
      <c r="A82" s="102" t="s">
        <v>168</v>
      </c>
      <c r="B82" s="97" t="s">
        <v>169</v>
      </c>
    </row>
    <row r="83" spans="1:7" s="106" customFormat="1" ht="16.5" customHeight="1">
      <c r="A83" s="64"/>
      <c r="B83" s="102" t="s">
        <v>170</v>
      </c>
      <c r="C83" s="58" t="s">
        <v>171</v>
      </c>
    </row>
    <row r="84" spans="1:7" s="106" customFormat="1" ht="14.25" customHeight="1">
      <c r="A84" s="64"/>
      <c r="B84" s="102" t="s">
        <v>172</v>
      </c>
      <c r="C84" s="113" t="s">
        <v>161</v>
      </c>
      <c r="D84" s="113"/>
      <c r="E84" s="113"/>
      <c r="F84" s="113"/>
      <c r="G84" s="113"/>
    </row>
    <row r="85" spans="1:7" s="106" customFormat="1" ht="23.25" customHeight="1">
      <c r="A85" s="64"/>
      <c r="B85" s="102"/>
      <c r="C85" s="114"/>
      <c r="D85" s="114"/>
      <c r="E85" s="114"/>
      <c r="F85" s="114"/>
      <c r="G85" s="114"/>
    </row>
  </sheetData>
  <mergeCells count="1">
    <mergeCell ref="A4:X4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38" fitToHeight="2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206"/>
  <sheetViews>
    <sheetView showGridLines="0" view="pageBreakPreview" zoomScaleNormal="100" zoomScaleSheetLayoutView="100" zoomScalePageLayoutView="140" workbookViewId="0">
      <selection activeCell="J8" sqref="J8"/>
    </sheetView>
  </sheetViews>
  <sheetFormatPr defaultColWidth="8.6640625" defaultRowHeight="14.4"/>
  <cols>
    <col min="1" max="1" width="9.88671875" style="1" customWidth="1"/>
    <col min="2" max="2" width="10.44140625" style="1" customWidth="1"/>
    <col min="3" max="3" width="39.33203125" style="1" customWidth="1"/>
    <col min="4" max="4" width="12" style="1" customWidth="1"/>
    <col min="5" max="5" width="15.6640625" style="1" customWidth="1"/>
    <col min="6" max="6" width="14.88671875" style="1" customWidth="1"/>
    <col min="7" max="7" width="14" style="1" customWidth="1"/>
    <col min="8" max="8" width="13.5546875" style="1" customWidth="1"/>
    <col min="9" max="9" width="13.44140625" style="1" customWidth="1"/>
    <col min="10" max="10" width="13.5546875" style="2" customWidth="1"/>
    <col min="11" max="11" width="18.33203125" style="2" customWidth="1"/>
    <col min="12" max="12" width="13.33203125" style="1" customWidth="1"/>
    <col min="13" max="13" width="15.109375" style="1" customWidth="1"/>
    <col min="14" max="14" width="9.6640625" style="1" customWidth="1"/>
    <col min="15" max="15" width="12.6640625" style="1" customWidth="1"/>
    <col min="16" max="18" width="13.5546875" style="1" customWidth="1"/>
    <col min="19" max="19" width="15" style="1" customWidth="1"/>
    <col min="20" max="255" width="9.109375" style="1" customWidth="1"/>
    <col min="256" max="256" width="9.88671875" style="1" customWidth="1"/>
    <col min="257" max="257" width="10.44140625" style="1" customWidth="1"/>
    <col min="258" max="258" width="39.33203125" style="1" customWidth="1"/>
    <col min="259" max="259" width="15" style="1" customWidth="1"/>
    <col min="260" max="260" width="11" style="1" customWidth="1"/>
    <col min="261" max="261" width="11.109375" style="1" customWidth="1"/>
    <col min="262" max="262" width="12.88671875" style="1" customWidth="1"/>
    <col min="263" max="263" width="13.109375" style="1" customWidth="1"/>
    <col min="264" max="267" width="14.109375" style="1" customWidth="1"/>
    <col min="268" max="268" width="14.44140625" style="1" customWidth="1"/>
    <col min="269" max="269" width="9.6640625" style="1" customWidth="1"/>
    <col min="270" max="270" width="12.6640625" style="1" customWidth="1"/>
    <col min="271" max="273" width="13.5546875" style="1" customWidth="1"/>
    <col min="274" max="274" width="12.109375" style="1" customWidth="1"/>
    <col min="275" max="275" width="15" style="1" customWidth="1"/>
    <col min="276" max="511" width="9.109375" style="1" customWidth="1"/>
    <col min="512" max="512" width="9.88671875" style="1" customWidth="1"/>
    <col min="513" max="513" width="10.44140625" style="1" customWidth="1"/>
    <col min="514" max="514" width="39.33203125" style="1" customWidth="1"/>
    <col min="515" max="515" width="15" style="1" customWidth="1"/>
    <col min="516" max="516" width="11" style="1" customWidth="1"/>
    <col min="517" max="517" width="11.109375" style="1" customWidth="1"/>
    <col min="518" max="518" width="12.88671875" style="1" customWidth="1"/>
    <col min="519" max="519" width="13.109375" style="1" customWidth="1"/>
    <col min="520" max="523" width="14.109375" style="1" customWidth="1"/>
    <col min="524" max="524" width="14.44140625" style="1" customWidth="1"/>
    <col min="525" max="525" width="9.6640625" style="1" customWidth="1"/>
    <col min="526" max="526" width="12.6640625" style="1" customWidth="1"/>
    <col min="527" max="529" width="13.5546875" style="1" customWidth="1"/>
    <col min="530" max="530" width="12.109375" style="1" customWidth="1"/>
    <col min="531" max="531" width="15" style="1" customWidth="1"/>
    <col min="532" max="767" width="9.109375" style="1" customWidth="1"/>
    <col min="768" max="768" width="9.88671875" style="1" customWidth="1"/>
    <col min="769" max="769" width="10.44140625" style="1" customWidth="1"/>
    <col min="770" max="770" width="39.33203125" style="1" customWidth="1"/>
    <col min="771" max="771" width="15" style="1" customWidth="1"/>
    <col min="772" max="772" width="11" style="1" customWidth="1"/>
    <col min="773" max="773" width="11.109375" style="1" customWidth="1"/>
    <col min="774" max="774" width="12.88671875" style="1" customWidth="1"/>
    <col min="775" max="775" width="13.109375" style="1" customWidth="1"/>
    <col min="776" max="779" width="14.109375" style="1" customWidth="1"/>
    <col min="780" max="780" width="14.44140625" style="1" customWidth="1"/>
    <col min="781" max="781" width="9.6640625" style="1" customWidth="1"/>
    <col min="782" max="782" width="12.6640625" style="1" customWidth="1"/>
    <col min="783" max="785" width="13.5546875" style="1" customWidth="1"/>
    <col min="786" max="786" width="12.109375" style="1" customWidth="1"/>
    <col min="787" max="787" width="15" style="1" customWidth="1"/>
    <col min="788" max="1023" width="9.109375" style="1" customWidth="1"/>
    <col min="1024" max="1025" width="9.88671875" style="1" customWidth="1"/>
  </cols>
  <sheetData>
    <row r="1" spans="1:21">
      <c r="A1" s="115"/>
      <c r="B1" s="101" t="str">
        <f>INSTRUÇÕES!B1</f>
        <v>Tribunal Regional Federal da 6ª Região</v>
      </c>
      <c r="D1" s="69"/>
      <c r="E1" s="69"/>
      <c r="F1" s="69"/>
      <c r="G1" s="69"/>
      <c r="H1" s="69"/>
      <c r="I1" s="69"/>
      <c r="J1" s="116"/>
      <c r="K1" s="116"/>
      <c r="L1" s="69"/>
      <c r="M1" s="69"/>
      <c r="N1" s="69"/>
    </row>
    <row r="2" spans="1:21">
      <c r="A2" s="115"/>
      <c r="B2" s="101" t="str">
        <f>INSTRUÇÕES!B2</f>
        <v>Seção Judiciária de Minas Gerais</v>
      </c>
      <c r="D2" s="69"/>
      <c r="E2" s="69"/>
      <c r="F2" s="69"/>
      <c r="G2" s="69"/>
      <c r="H2" s="69"/>
      <c r="I2" s="69"/>
      <c r="J2" s="116"/>
      <c r="K2" s="116"/>
      <c r="L2" s="69"/>
      <c r="M2" s="69"/>
      <c r="N2" s="69"/>
    </row>
    <row r="3" spans="1:21" ht="18">
      <c r="A3" s="115"/>
      <c r="B3" s="101" t="str">
        <f>INSTRUÇÕES!B3</f>
        <v>Subseção Judiciária de Poços de Caldas</v>
      </c>
      <c r="D3" s="69"/>
      <c r="E3" s="117" t="s">
        <v>699</v>
      </c>
      <c r="F3" s="69"/>
      <c r="G3" s="69"/>
      <c r="H3" s="69"/>
      <c r="I3" s="69"/>
      <c r="J3" s="116"/>
      <c r="K3" s="116"/>
      <c r="L3" s="69"/>
      <c r="M3" s="69"/>
      <c r="N3" s="69"/>
      <c r="R3" s="118"/>
    </row>
    <row r="4" spans="1:21" s="17" customFormat="1" ht="24.75" customHeight="1">
      <c r="A4" s="119" t="str">
        <f>CONCATENATE("Sindicato utilizado - ",E14,". Vigência: ",E16,". Sendo a data base da categoria ",E17,". Com número de registro no MTE ",E15,".")</f>
        <v>Sindicato utilizado - SINTAPPI/MG. Vigência: 01/04/2024 à 31/03/2025. Sendo a data base da categoria 01º de Abril. Com número de registro no MTE MG002103/2024.</v>
      </c>
      <c r="B4" s="119"/>
      <c r="C4" s="120"/>
      <c r="D4" s="1"/>
      <c r="E4" s="119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21" s="17" customFormat="1" ht="66.75" customHeight="1">
      <c r="A5" s="645" t="s">
        <v>173</v>
      </c>
      <c r="B5" s="645" t="s">
        <v>174</v>
      </c>
      <c r="C5" s="645" t="s">
        <v>25</v>
      </c>
      <c r="D5" s="645" t="s">
        <v>175</v>
      </c>
      <c r="E5" s="645" t="s">
        <v>176</v>
      </c>
      <c r="F5" s="645" t="s">
        <v>177</v>
      </c>
      <c r="G5" s="645" t="s">
        <v>178</v>
      </c>
      <c r="H5" s="645" t="s">
        <v>179</v>
      </c>
      <c r="I5" s="645" t="s">
        <v>180</v>
      </c>
      <c r="J5" s="645" t="s">
        <v>181</v>
      </c>
      <c r="K5" s="645" t="s">
        <v>182</v>
      </c>
      <c r="L5" s="645" t="s">
        <v>183</v>
      </c>
      <c r="M5" s="635" t="s">
        <v>184</v>
      </c>
      <c r="N5" s="122" t="s">
        <v>185</v>
      </c>
      <c r="O5" s="122" t="s">
        <v>186</v>
      </c>
      <c r="P5" s="122" t="s">
        <v>187</v>
      </c>
      <c r="Q5" s="471" t="s">
        <v>687</v>
      </c>
      <c r="R5" s="122" t="s">
        <v>188</v>
      </c>
      <c r="S5" s="645" t="s">
        <v>189</v>
      </c>
      <c r="U5" s="124"/>
    </row>
    <row r="6" spans="1:21" s="17" customFormat="1" ht="28.8">
      <c r="A6" s="645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35"/>
      <c r="N6" s="125" t="s">
        <v>190</v>
      </c>
      <c r="O6" s="126">
        <f>B7+B8</f>
        <v>2</v>
      </c>
      <c r="P6" s="126">
        <f>B8</f>
        <v>1</v>
      </c>
      <c r="Q6" s="126"/>
      <c r="R6" s="126"/>
      <c r="S6" s="645"/>
      <c r="U6" s="124"/>
    </row>
    <row r="7" spans="1:21" s="17" customFormat="1" ht="24.75" customHeight="1">
      <c r="A7" s="646">
        <v>333903702</v>
      </c>
      <c r="B7" s="126">
        <v>1</v>
      </c>
      <c r="C7" s="127" t="s">
        <v>191</v>
      </c>
      <c r="D7" s="126">
        <v>220</v>
      </c>
      <c r="E7" s="128">
        <v>1526.8</v>
      </c>
      <c r="F7" s="129">
        <f>ROUND(((E7/220)*D7),2)</f>
        <v>1526.8</v>
      </c>
      <c r="G7" s="130">
        <v>0.4</v>
      </c>
      <c r="H7" s="129">
        <f>G7*G27</f>
        <v>564.80000000000007</v>
      </c>
      <c r="I7" s="36">
        <v>0</v>
      </c>
      <c r="J7" s="36">
        <v>0</v>
      </c>
      <c r="K7" s="36"/>
      <c r="L7" s="36">
        <v>0</v>
      </c>
      <c r="M7" s="131">
        <f>F7+H7+L7</f>
        <v>2091.6</v>
      </c>
      <c r="N7" s="129">
        <f>Unif!H15</f>
        <v>64</v>
      </c>
      <c r="O7" s="129">
        <f>ROUND((Mat!K45/$O$6),2)</f>
        <v>783.22</v>
      </c>
      <c r="P7" s="129"/>
      <c r="Q7" s="129">
        <f>EPI!F13/2</f>
        <v>8.4550000000000001</v>
      </c>
      <c r="R7" s="129"/>
      <c r="S7" s="132">
        <v>2</v>
      </c>
      <c r="U7" s="124"/>
    </row>
    <row r="8" spans="1:21" s="17" customFormat="1" ht="21" customHeight="1">
      <c r="A8" s="647"/>
      <c r="B8" s="126">
        <v>1</v>
      </c>
      <c r="C8" s="127" t="s">
        <v>560</v>
      </c>
      <c r="D8" s="126">
        <v>220</v>
      </c>
      <c r="E8" s="128">
        <v>1526.8</v>
      </c>
      <c r="F8" s="129">
        <f>ROUND(((E8/220)*D8),2)</f>
        <v>1526.8</v>
      </c>
      <c r="G8" s="133">
        <v>0</v>
      </c>
      <c r="H8" s="36">
        <v>0</v>
      </c>
      <c r="I8" s="134">
        <v>0.12</v>
      </c>
      <c r="J8" s="577">
        <v>0.25</v>
      </c>
      <c r="K8" s="128">
        <f>F8</f>
        <v>1526.8</v>
      </c>
      <c r="L8" s="135">
        <f>ROUND((K8*I8*J8),2)</f>
        <v>45.8</v>
      </c>
      <c r="M8" s="131">
        <f>F8+H8+L8</f>
        <v>1572.6</v>
      </c>
      <c r="N8" s="129">
        <f>Unif!H15+Unif!H21</f>
        <v>71.260000000000005</v>
      </c>
      <c r="O8" s="129">
        <f>ROUND((Mat!K45/$O$6),2)</f>
        <v>783.22</v>
      </c>
      <c r="P8" s="129">
        <f>Mat!K75/P6</f>
        <v>280.19833333333338</v>
      </c>
      <c r="Q8" s="129">
        <f>EPI!F13/2</f>
        <v>8.4550000000000001</v>
      </c>
      <c r="R8" s="129"/>
      <c r="S8" s="132">
        <v>2</v>
      </c>
      <c r="U8" s="124"/>
    </row>
    <row r="9" spans="1:21" ht="21" customHeight="1">
      <c r="A9" s="648"/>
      <c r="B9" s="126">
        <v>1</v>
      </c>
      <c r="C9" s="127" t="s">
        <v>421</v>
      </c>
      <c r="D9" s="126">
        <v>220</v>
      </c>
      <c r="E9" s="128">
        <v>2281.4</v>
      </c>
      <c r="F9" s="129">
        <f>ROUND(((E9/220)*D9),2)</f>
        <v>2281.4</v>
      </c>
      <c r="G9" s="133">
        <v>0</v>
      </c>
      <c r="H9" s="36">
        <v>0</v>
      </c>
      <c r="I9" s="475"/>
      <c r="J9" s="475"/>
      <c r="K9" s="476"/>
      <c r="L9" s="477"/>
      <c r="M9" s="131">
        <f>F9+H9+L9</f>
        <v>2281.4</v>
      </c>
      <c r="N9" s="129">
        <f>Unif!H30</f>
        <v>64</v>
      </c>
      <c r="O9" s="136"/>
      <c r="P9" s="129"/>
      <c r="Q9" s="129">
        <f>EPI!F11</f>
        <v>39.430000000000007</v>
      </c>
      <c r="R9" s="129">
        <f>Equip!G16</f>
        <v>20.71</v>
      </c>
      <c r="S9" s="132">
        <v>2</v>
      </c>
    </row>
    <row r="10" spans="1:21" ht="24.75" customHeight="1">
      <c r="A10" s="478">
        <v>333903701</v>
      </c>
      <c r="B10" s="126">
        <v>2</v>
      </c>
      <c r="C10" s="127" t="s">
        <v>192</v>
      </c>
      <c r="D10" s="126">
        <v>150</v>
      </c>
      <c r="E10" s="128">
        <v>1914</v>
      </c>
      <c r="F10" s="129">
        <f>ROUND(((E10/220)*D10),2)</f>
        <v>1305</v>
      </c>
      <c r="G10" s="133">
        <v>0</v>
      </c>
      <c r="H10" s="36">
        <v>0</v>
      </c>
      <c r="I10" s="36">
        <v>0</v>
      </c>
      <c r="J10" s="36">
        <v>0</v>
      </c>
      <c r="K10" s="36"/>
      <c r="L10" s="36">
        <v>0</v>
      </c>
      <c r="M10" s="131">
        <f>F10+H10+L10</f>
        <v>1305</v>
      </c>
      <c r="N10" s="129">
        <f>Unif!H38</f>
        <v>50.78</v>
      </c>
      <c r="O10" s="129"/>
      <c r="P10" s="129"/>
      <c r="Q10" s="129"/>
      <c r="R10" s="129"/>
      <c r="S10" s="132">
        <v>1</v>
      </c>
    </row>
    <row r="11" spans="1:21" ht="34.5" customHeight="1">
      <c r="A11" s="137" t="s">
        <v>193</v>
      </c>
      <c r="B11" s="2"/>
      <c r="C11" s="2"/>
      <c r="D11" s="137"/>
      <c r="F11" s="137"/>
      <c r="G11" s="137" t="s">
        <v>194</v>
      </c>
      <c r="H11" s="137"/>
      <c r="I11" s="137"/>
      <c r="J11" s="137"/>
      <c r="K11" s="119"/>
      <c r="L11" s="138" t="s">
        <v>195</v>
      </c>
      <c r="M11" s="139">
        <f>SUM(M7:M10)</f>
        <v>7250.6</v>
      </c>
      <c r="N11" s="119"/>
      <c r="O11" s="119"/>
      <c r="P11" s="119"/>
      <c r="Q11" s="119"/>
      <c r="R11" s="119"/>
      <c r="S11" s="119"/>
    </row>
    <row r="12" spans="1:21" ht="24.75" customHeight="1">
      <c r="A12" s="641" t="s">
        <v>196</v>
      </c>
      <c r="B12" s="641"/>
      <c r="C12" s="641"/>
      <c r="D12" s="641"/>
      <c r="E12" s="641"/>
      <c r="F12" s="641"/>
      <c r="G12" s="641"/>
      <c r="N12" s="119"/>
      <c r="O12" s="119"/>
      <c r="P12" s="119"/>
      <c r="Q12" s="119"/>
      <c r="R12" s="119"/>
      <c r="S12" s="119"/>
    </row>
    <row r="13" spans="1:21" ht="24" customHeight="1">
      <c r="A13" s="141">
        <v>1</v>
      </c>
      <c r="B13" s="638" t="s">
        <v>197</v>
      </c>
      <c r="C13" s="638"/>
      <c r="D13" s="638"/>
      <c r="E13" s="642" t="s">
        <v>198</v>
      </c>
      <c r="F13" s="642"/>
      <c r="G13" s="642"/>
      <c r="H13" s="14" t="s">
        <v>199</v>
      </c>
      <c r="N13" s="119"/>
      <c r="O13" s="119"/>
      <c r="P13" s="119"/>
      <c r="Q13" s="119"/>
      <c r="R13" s="119"/>
      <c r="S13" s="58"/>
    </row>
    <row r="14" spans="1:21" ht="24" customHeight="1">
      <c r="A14" s="141">
        <v>2</v>
      </c>
      <c r="B14" s="638" t="s">
        <v>200</v>
      </c>
      <c r="C14" s="638"/>
      <c r="D14" s="638"/>
      <c r="E14" s="642" t="s">
        <v>201</v>
      </c>
      <c r="F14" s="642"/>
      <c r="G14" s="642"/>
      <c r="H14" s="14" t="s">
        <v>202</v>
      </c>
      <c r="N14" s="119"/>
      <c r="O14" s="119"/>
      <c r="P14" s="119"/>
      <c r="Q14" s="119"/>
      <c r="R14" s="119"/>
      <c r="S14" s="58"/>
    </row>
    <row r="15" spans="1:21" ht="24" customHeight="1">
      <c r="A15" s="141">
        <v>3</v>
      </c>
      <c r="B15" s="638" t="s">
        <v>203</v>
      </c>
      <c r="C15" s="638"/>
      <c r="D15" s="638"/>
      <c r="E15" s="642" t="s">
        <v>204</v>
      </c>
      <c r="F15" s="642"/>
      <c r="G15" s="642"/>
      <c r="H15" s="14" t="s">
        <v>205</v>
      </c>
      <c r="N15" s="119"/>
      <c r="O15" s="119"/>
      <c r="P15" s="119"/>
      <c r="Q15" s="119"/>
      <c r="R15" s="119"/>
      <c r="S15" s="58"/>
    </row>
    <row r="16" spans="1:21" ht="24" customHeight="1">
      <c r="A16" s="141">
        <v>4</v>
      </c>
      <c r="B16" s="638" t="s">
        <v>206</v>
      </c>
      <c r="C16" s="638"/>
      <c r="D16" s="638"/>
      <c r="E16" s="642" t="s">
        <v>207</v>
      </c>
      <c r="F16" s="642"/>
      <c r="G16" s="642"/>
      <c r="H16" s="14" t="s">
        <v>208</v>
      </c>
      <c r="N16" s="119"/>
      <c r="O16" s="119"/>
      <c r="P16" s="119"/>
      <c r="Q16" s="119"/>
      <c r="R16" s="119"/>
      <c r="S16" s="58"/>
    </row>
    <row r="17" spans="1:19" ht="24" customHeight="1">
      <c r="A17" s="141">
        <v>5</v>
      </c>
      <c r="B17" s="638" t="s">
        <v>209</v>
      </c>
      <c r="C17" s="638"/>
      <c r="D17" s="638"/>
      <c r="E17" s="642" t="s">
        <v>210</v>
      </c>
      <c r="F17" s="642"/>
      <c r="G17" s="642"/>
      <c r="H17" s="14" t="s">
        <v>211</v>
      </c>
      <c r="N17" s="119"/>
      <c r="O17" s="119"/>
      <c r="P17" s="119"/>
      <c r="Q17" s="119"/>
      <c r="R17" s="119"/>
      <c r="S17" s="58"/>
    </row>
    <row r="18" spans="1:19" s="1" customFormat="1" ht="12.75" customHeight="1">
      <c r="A18" s="142"/>
      <c r="H18" s="14"/>
    </row>
    <row r="19" spans="1:19" s="58" customFormat="1" ht="24.75" customHeight="1">
      <c r="A19" s="641" t="s">
        <v>212</v>
      </c>
      <c r="B19" s="641"/>
      <c r="C19" s="641"/>
      <c r="D19" s="641"/>
      <c r="E19" s="641"/>
      <c r="F19" s="641"/>
      <c r="G19" s="641"/>
      <c r="H19" s="14"/>
      <c r="I19" s="119"/>
      <c r="J19" s="119"/>
      <c r="K19" s="119"/>
      <c r="L19" s="119"/>
      <c r="M19" s="119"/>
      <c r="N19" s="119"/>
      <c r="O19" s="119"/>
      <c r="P19" s="119"/>
      <c r="Q19" s="119"/>
      <c r="R19" s="119"/>
    </row>
    <row r="20" spans="1:19" s="1" customFormat="1" ht="24" customHeight="1">
      <c r="A20" s="141" t="s">
        <v>213</v>
      </c>
      <c r="B20" s="638" t="s">
        <v>214</v>
      </c>
      <c r="C20" s="638"/>
      <c r="D20" s="638"/>
      <c r="E20" s="638"/>
      <c r="F20" s="638"/>
      <c r="G20" s="130">
        <f>Encargos!C57</f>
        <v>0.76400000000000001</v>
      </c>
      <c r="H20" s="14"/>
    </row>
    <row r="21" spans="1:19" s="1" customFormat="1" ht="12.75" customHeight="1">
      <c r="A21" s="142"/>
      <c r="G21" s="2"/>
      <c r="H21" s="14"/>
    </row>
    <row r="22" spans="1:19" s="1" customFormat="1" ht="24.75" customHeight="1">
      <c r="A22" s="95">
        <v>1</v>
      </c>
      <c r="B22" s="638" t="s">
        <v>215</v>
      </c>
      <c r="C22" s="638"/>
      <c r="D22" s="638"/>
      <c r="E22" s="638"/>
      <c r="F22" s="638"/>
      <c r="G22" s="143">
        <f>G23*G24</f>
        <v>0.06</v>
      </c>
      <c r="H22" s="14"/>
    </row>
    <row r="23" spans="1:19" s="1" customFormat="1" ht="24.75" customHeight="1">
      <c r="A23" s="95">
        <v>2</v>
      </c>
      <c r="B23" s="638" t="s">
        <v>216</v>
      </c>
      <c r="C23" s="638"/>
      <c r="D23" s="638"/>
      <c r="E23" s="638"/>
      <c r="F23" s="638"/>
      <c r="G23" s="134">
        <v>0.03</v>
      </c>
      <c r="H23" s="14" t="s">
        <v>217</v>
      </c>
    </row>
    <row r="24" spans="1:19" s="1" customFormat="1" ht="24.75" customHeight="1">
      <c r="A24" s="95">
        <v>3</v>
      </c>
      <c r="B24" s="638" t="s">
        <v>218</v>
      </c>
      <c r="C24" s="638"/>
      <c r="D24" s="638"/>
      <c r="E24" s="638"/>
      <c r="F24" s="638"/>
      <c r="G24" s="144">
        <v>2</v>
      </c>
      <c r="H24" s="14" t="s">
        <v>219</v>
      </c>
    </row>
    <row r="25" spans="1:19" s="1" customFormat="1" ht="12.75" customHeight="1">
      <c r="A25" s="142"/>
      <c r="B25" s="119"/>
      <c r="C25" s="119"/>
      <c r="D25" s="119"/>
      <c r="E25" s="119"/>
      <c r="F25" s="119"/>
      <c r="H25" s="14"/>
    </row>
    <row r="26" spans="1:19" s="1" customFormat="1" ht="24.75" customHeight="1">
      <c r="A26" s="641" t="s">
        <v>220</v>
      </c>
      <c r="B26" s="641"/>
      <c r="C26" s="641"/>
      <c r="D26" s="641"/>
      <c r="E26" s="641"/>
      <c r="F26" s="641"/>
      <c r="G26" s="641"/>
      <c r="H26" s="14"/>
    </row>
    <row r="27" spans="1:19" s="1" customFormat="1" ht="24.75" customHeight="1">
      <c r="A27" s="95">
        <v>1</v>
      </c>
      <c r="B27" s="638" t="s">
        <v>562</v>
      </c>
      <c r="C27" s="638"/>
      <c r="D27" s="638"/>
      <c r="E27" s="638"/>
      <c r="F27" s="638"/>
      <c r="G27" s="128">
        <v>1412</v>
      </c>
      <c r="H27" s="14" t="s">
        <v>221</v>
      </c>
    </row>
    <row r="28" spans="1:19" s="1" customFormat="1" ht="12.75" customHeight="1">
      <c r="A28" s="145"/>
      <c r="B28" s="146"/>
      <c r="C28" s="146"/>
      <c r="D28" s="146"/>
      <c r="E28" s="146"/>
      <c r="F28" s="146"/>
      <c r="G28" s="147"/>
      <c r="H28" s="14"/>
    </row>
    <row r="29" spans="1:19" s="58" customFormat="1" ht="24.75" customHeight="1">
      <c r="A29" s="641" t="s">
        <v>222</v>
      </c>
      <c r="B29" s="641"/>
      <c r="C29" s="641"/>
      <c r="D29" s="641"/>
      <c r="E29" s="641"/>
      <c r="F29" s="641"/>
      <c r="G29" s="641"/>
      <c r="H29" s="14"/>
      <c r="I29" s="1"/>
      <c r="J29" s="1"/>
      <c r="K29" s="119"/>
      <c r="L29" s="119"/>
      <c r="M29" s="119"/>
      <c r="N29" s="119"/>
      <c r="O29" s="119"/>
      <c r="P29" s="119"/>
      <c r="Q29" s="119"/>
      <c r="R29" s="119"/>
    </row>
    <row r="30" spans="1:19" s="1" customFormat="1" ht="26.25" customHeight="1">
      <c r="A30" s="141">
        <v>1</v>
      </c>
      <c r="B30" s="638" t="s">
        <v>223</v>
      </c>
      <c r="C30" s="638"/>
      <c r="D30" s="638"/>
      <c r="E30" s="638"/>
      <c r="F30" s="638"/>
      <c r="G30" s="148">
        <v>7.2</v>
      </c>
      <c r="H30" s="14" t="s">
        <v>224</v>
      </c>
    </row>
    <row r="31" spans="1:19" s="1" customFormat="1" ht="26.25" customHeight="1">
      <c r="A31" s="149">
        <v>2</v>
      </c>
      <c r="B31" s="638" t="s">
        <v>225</v>
      </c>
      <c r="C31" s="638"/>
      <c r="D31" s="638"/>
      <c r="E31" s="638"/>
      <c r="F31" s="638"/>
      <c r="G31" s="144">
        <v>0</v>
      </c>
      <c r="H31" s="14" t="s">
        <v>224</v>
      </c>
    </row>
    <row r="32" spans="1:19" s="1" customFormat="1" ht="26.25" customHeight="1">
      <c r="A32" s="637">
        <v>3</v>
      </c>
      <c r="B32" s="643" t="s">
        <v>226</v>
      </c>
      <c r="C32" s="643"/>
      <c r="D32" s="638" t="s">
        <v>227</v>
      </c>
      <c r="E32" s="638"/>
      <c r="F32" s="638"/>
      <c r="G32" s="150">
        <v>6</v>
      </c>
      <c r="H32" s="14" t="s">
        <v>228</v>
      </c>
      <c r="I32" s="119"/>
      <c r="O32" s="60"/>
    </row>
    <row r="33" spans="1:18" s="1" customFormat="1" ht="26.25" customHeight="1">
      <c r="A33" s="637"/>
      <c r="B33" s="643"/>
      <c r="C33" s="643"/>
      <c r="D33" s="638" t="s">
        <v>229</v>
      </c>
      <c r="E33" s="638"/>
      <c r="F33" s="638"/>
      <c r="G33" s="150">
        <v>2</v>
      </c>
      <c r="H33" s="14" t="s">
        <v>230</v>
      </c>
      <c r="I33" s="119"/>
      <c r="O33" s="60"/>
    </row>
    <row r="34" spans="1:18" s="1" customFormat="1" ht="26.25" customHeight="1">
      <c r="A34" s="637"/>
      <c r="B34" s="643"/>
      <c r="C34" s="643"/>
      <c r="D34" s="638" t="s">
        <v>231</v>
      </c>
      <c r="E34" s="638"/>
      <c r="F34" s="638"/>
      <c r="G34" s="151">
        <v>22</v>
      </c>
      <c r="H34" s="14" t="s">
        <v>232</v>
      </c>
      <c r="I34" s="119"/>
      <c r="O34" s="60"/>
    </row>
    <row r="35" spans="1:18" ht="26.25" customHeight="1">
      <c r="A35" s="637"/>
      <c r="B35" s="643"/>
      <c r="C35" s="643"/>
      <c r="D35" s="644" t="s">
        <v>233</v>
      </c>
      <c r="E35" s="644"/>
      <c r="F35" s="644"/>
      <c r="G35" s="152">
        <v>0.06</v>
      </c>
      <c r="H35" s="14" t="s">
        <v>234</v>
      </c>
      <c r="O35" s="60"/>
    </row>
    <row r="36" spans="1:18" s="1" customFormat="1" ht="26.25" customHeight="1">
      <c r="A36" s="637">
        <v>4</v>
      </c>
      <c r="B36" s="643" t="s">
        <v>235</v>
      </c>
      <c r="C36" s="643"/>
      <c r="D36" s="638" t="s">
        <v>236</v>
      </c>
      <c r="E36" s="638"/>
      <c r="F36" s="638"/>
      <c r="G36" s="144">
        <v>27</v>
      </c>
      <c r="H36" s="14" t="s">
        <v>237</v>
      </c>
      <c r="I36" s="119"/>
    </row>
    <row r="37" spans="1:18" ht="26.25" customHeight="1">
      <c r="A37" s="637"/>
      <c r="B37" s="643"/>
      <c r="C37" s="643"/>
      <c r="D37" s="638" t="s">
        <v>231</v>
      </c>
      <c r="E37" s="638"/>
      <c r="F37" s="638"/>
      <c r="G37" s="151">
        <f>G34</f>
        <v>22</v>
      </c>
      <c r="H37" s="14" t="s">
        <v>232</v>
      </c>
      <c r="I37" s="153"/>
      <c r="J37" s="153"/>
      <c r="K37" s="119"/>
      <c r="O37" s="60"/>
    </row>
    <row r="38" spans="1:18" s="1" customFormat="1" ht="26.25" customHeight="1">
      <c r="A38" s="637"/>
      <c r="B38" s="643"/>
      <c r="C38" s="643"/>
      <c r="D38" s="644" t="s">
        <v>233</v>
      </c>
      <c r="E38" s="644"/>
      <c r="F38" s="644"/>
      <c r="G38" s="134">
        <v>0.2</v>
      </c>
      <c r="H38" s="14" t="s">
        <v>234</v>
      </c>
      <c r="O38" s="60"/>
    </row>
    <row r="39" spans="1:18" s="1" customFormat="1" ht="26.25" customHeight="1">
      <c r="A39" s="141">
        <v>5</v>
      </c>
      <c r="B39" s="640" t="s">
        <v>238</v>
      </c>
      <c r="C39" s="640"/>
      <c r="D39" s="640"/>
      <c r="E39" s="640"/>
      <c r="F39" s="640"/>
      <c r="G39" s="144">
        <v>0</v>
      </c>
      <c r="H39" s="14" t="s">
        <v>239</v>
      </c>
      <c r="O39" s="60"/>
    </row>
    <row r="40" spans="1:18" s="1" customFormat="1" ht="26.25" customHeight="1">
      <c r="A40" s="141">
        <v>6</v>
      </c>
      <c r="B40" s="640" t="s">
        <v>238</v>
      </c>
      <c r="C40" s="640"/>
      <c r="D40" s="640"/>
      <c r="E40" s="640"/>
      <c r="F40" s="640"/>
      <c r="G40" s="144">
        <v>0</v>
      </c>
      <c r="H40" s="14" t="s">
        <v>239</v>
      </c>
    </row>
    <row r="41" spans="1:18" s="1" customFormat="1" ht="12.75" customHeight="1">
      <c r="H41" s="14"/>
    </row>
    <row r="42" spans="1:18" s="58" customFormat="1" ht="24.75" customHeight="1">
      <c r="A42" s="641" t="s">
        <v>240</v>
      </c>
      <c r="B42" s="641"/>
      <c r="C42" s="641"/>
      <c r="D42" s="641"/>
      <c r="E42" s="641"/>
      <c r="F42" s="641"/>
      <c r="G42" s="641"/>
      <c r="H42" s="14"/>
      <c r="I42" s="119"/>
      <c r="J42" s="119"/>
      <c r="K42" s="119"/>
      <c r="L42" s="119"/>
      <c r="M42" s="119"/>
      <c r="N42" s="119"/>
      <c r="O42" s="119"/>
      <c r="P42" s="119"/>
      <c r="Q42" s="119"/>
      <c r="R42" s="119"/>
    </row>
    <row r="43" spans="1:18" s="1" customFormat="1" ht="24.75" customHeight="1">
      <c r="A43" s="141">
        <v>1</v>
      </c>
      <c r="B43" s="638" t="s">
        <v>241</v>
      </c>
      <c r="C43" s="638"/>
      <c r="D43" s="638"/>
      <c r="E43" s="638"/>
      <c r="F43" s="638"/>
      <c r="G43" s="134">
        <v>0.03</v>
      </c>
      <c r="H43" s="14" t="s">
        <v>242</v>
      </c>
    </row>
    <row r="44" spans="1:18" s="1" customFormat="1" ht="24.75" customHeight="1">
      <c r="A44" s="141">
        <v>2</v>
      </c>
      <c r="B44" s="638" t="s">
        <v>243</v>
      </c>
      <c r="C44" s="638"/>
      <c r="D44" s="638"/>
      <c r="E44" s="638"/>
      <c r="F44" s="638"/>
      <c r="G44" s="134">
        <v>6.7900000000000002E-2</v>
      </c>
      <c r="H44" s="14" t="s">
        <v>242</v>
      </c>
    </row>
    <row r="45" spans="1:18" s="1" customFormat="1" ht="12.75" customHeight="1">
      <c r="H45" s="14"/>
    </row>
    <row r="46" spans="1:18" s="58" customFormat="1" ht="24.75" customHeight="1">
      <c r="A46" s="641" t="s">
        <v>244</v>
      </c>
      <c r="B46" s="641"/>
      <c r="C46" s="641"/>
      <c r="D46" s="641"/>
      <c r="E46" s="641"/>
      <c r="F46" s="641"/>
      <c r="G46" s="641"/>
      <c r="H46" s="14"/>
      <c r="I46" s="119"/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8" s="58" customFormat="1" ht="24.75" customHeight="1">
      <c r="A47" s="635" t="s">
        <v>245</v>
      </c>
      <c r="B47" s="635" t="str">
        <f>IF(F50="LUCRO REAL","INFORMAR ALÍQUOTAS MÉDIAS DE RECOLHIMENTO DOS ÚLTIMOS 12 (DOZE) MESES.",IF(F50="LUCRO PRESUMIDO","ALÍQUOTAS FIXAS - PIS: 0,65%; COFINS: 3,00%.",IF(F50="SIMPLES NACIONAL","NECESSÁRIO COMUNICAR A EXCLUSÃO DO SIMPLES NACIONAL - REGIME DE CONTRATAÇÃO INCOMPATÍVEL COM A LEI 123/2003. DEFINIR OUTRO REGIME TRIBUTÁRIO PARA O PRESENTE PROCESSO, OU APRESENTAR AS JUSTIFICATIVAS LEGAIS.","INFORMAR ALÍQUOTA E APRESENTAR AS JUSTIFICATIVAS LEGAIS.")))</f>
        <v>INFORMAR ALÍQUOTAS MÉDIAS DE RECOLHIMENTO DOS ÚLTIMOS 12 (DOZE) MESES.</v>
      </c>
      <c r="C47" s="635"/>
      <c r="D47" s="635"/>
      <c r="E47" s="635"/>
      <c r="F47" s="635"/>
      <c r="G47" s="635"/>
      <c r="H47" s="14"/>
      <c r="I47" s="119"/>
      <c r="J47" s="119"/>
      <c r="K47" s="119"/>
      <c r="L47" s="119"/>
      <c r="M47" s="119"/>
      <c r="N47" s="119"/>
      <c r="O47" s="119"/>
      <c r="P47" s="119"/>
      <c r="Q47" s="119"/>
      <c r="R47" s="119"/>
    </row>
    <row r="48" spans="1:18" s="58" customFormat="1" ht="24.75" customHeight="1">
      <c r="A48" s="635"/>
      <c r="B48" s="635"/>
      <c r="C48" s="635"/>
      <c r="D48" s="635"/>
      <c r="E48" s="635"/>
      <c r="F48" s="635"/>
      <c r="G48" s="635"/>
      <c r="H48" s="14"/>
      <c r="I48" s="119"/>
      <c r="J48" s="119"/>
      <c r="K48" s="119"/>
      <c r="L48" s="119"/>
      <c r="M48" s="119"/>
      <c r="N48" s="119"/>
      <c r="O48" s="119"/>
      <c r="P48" s="119"/>
      <c r="Q48" s="119"/>
      <c r="R48" s="119"/>
    </row>
    <row r="49" spans="1:18" s="58" customFormat="1" ht="24.75" customHeight="1">
      <c r="A49" s="635"/>
      <c r="B49" s="635"/>
      <c r="C49" s="635"/>
      <c r="D49" s="635"/>
      <c r="E49" s="635"/>
      <c r="F49" s="635"/>
      <c r="G49" s="635"/>
      <c r="H49" s="14"/>
      <c r="I49" s="119"/>
      <c r="J49" s="119"/>
      <c r="K49" s="119"/>
      <c r="L49" s="119"/>
      <c r="M49" s="119"/>
      <c r="N49" s="119"/>
      <c r="O49" s="119"/>
      <c r="P49" s="119"/>
      <c r="Q49" s="119"/>
      <c r="R49" s="119"/>
    </row>
    <row r="50" spans="1:18" s="1" customFormat="1" ht="24" customHeight="1">
      <c r="A50" s="141">
        <v>1</v>
      </c>
      <c r="B50" s="638" t="s">
        <v>246</v>
      </c>
      <c r="C50" s="638"/>
      <c r="D50" s="638"/>
      <c r="E50" s="638"/>
      <c r="F50" s="642" t="s">
        <v>247</v>
      </c>
      <c r="G50" s="642"/>
      <c r="H50" s="14" t="s">
        <v>248</v>
      </c>
      <c r="R50" s="154"/>
    </row>
    <row r="51" spans="1:18" s="1" customFormat="1" ht="24" customHeight="1">
      <c r="A51" s="141">
        <v>2</v>
      </c>
      <c r="B51" s="638" t="s">
        <v>249</v>
      </c>
      <c r="C51" s="638"/>
      <c r="D51" s="638"/>
      <c r="E51" s="638"/>
      <c r="F51" s="638"/>
      <c r="G51" s="134">
        <v>7.5999999999999998E-2</v>
      </c>
      <c r="H51" s="14" t="s">
        <v>250</v>
      </c>
    </row>
    <row r="52" spans="1:18" s="1" customFormat="1" ht="24" customHeight="1">
      <c r="A52" s="141">
        <v>3</v>
      </c>
      <c r="B52" s="638" t="s">
        <v>251</v>
      </c>
      <c r="C52" s="638"/>
      <c r="D52" s="638"/>
      <c r="E52" s="638"/>
      <c r="F52" s="638"/>
      <c r="G52" s="134">
        <v>1.6500000000000001E-2</v>
      </c>
      <c r="H52" s="14" t="s">
        <v>250</v>
      </c>
    </row>
    <row r="53" spans="1:18" s="1" customFormat="1" ht="24" customHeight="1">
      <c r="A53" s="141">
        <v>4</v>
      </c>
      <c r="B53" s="638" t="s">
        <v>252</v>
      </c>
      <c r="C53" s="638"/>
      <c r="D53" s="638"/>
      <c r="E53" s="638"/>
      <c r="F53" s="638"/>
      <c r="G53" s="134">
        <v>0.05</v>
      </c>
      <c r="H53" s="14" t="s">
        <v>253</v>
      </c>
    </row>
    <row r="54" spans="1:18" s="1" customFormat="1" ht="24" customHeight="1">
      <c r="A54" s="141">
        <v>5</v>
      </c>
      <c r="B54" s="640" t="s">
        <v>238</v>
      </c>
      <c r="C54" s="640"/>
      <c r="D54" s="640"/>
      <c r="E54" s="640"/>
      <c r="F54" s="640"/>
      <c r="G54" s="134">
        <v>0</v>
      </c>
      <c r="H54" s="14" t="s">
        <v>254</v>
      </c>
    </row>
    <row r="55" spans="1:18" s="1" customFormat="1" ht="21.75" customHeight="1">
      <c r="A55" s="141">
        <v>6</v>
      </c>
      <c r="B55" s="638" t="s">
        <v>255</v>
      </c>
      <c r="C55" s="638"/>
      <c r="D55" s="638"/>
      <c r="E55" s="638"/>
      <c r="F55" s="638"/>
      <c r="G55" s="130">
        <f>SUM(G51:G54)</f>
        <v>0.14250000000000002</v>
      </c>
      <c r="H55" s="14"/>
    </row>
    <row r="56" spans="1:18" ht="12.75" customHeight="1"/>
    <row r="57" spans="1:18" s="1" customFormat="1"/>
    <row r="59" spans="1:18" ht="66.75" hidden="1" customHeight="1">
      <c r="A59" s="635" t="s">
        <v>256</v>
      </c>
      <c r="B59" s="635"/>
      <c r="C59" s="635"/>
      <c r="D59" s="635"/>
      <c r="E59" s="635"/>
      <c r="F59" s="635"/>
      <c r="G59" s="635"/>
      <c r="H59" s="635"/>
      <c r="I59" s="140" t="s">
        <v>257</v>
      </c>
      <c r="J59" s="123" t="s">
        <v>258</v>
      </c>
      <c r="K59" s="140" t="s">
        <v>259</v>
      </c>
      <c r="L59" s="140" t="s">
        <v>257</v>
      </c>
      <c r="M59" s="140" t="s">
        <v>260</v>
      </c>
      <c r="N59" s="635" t="s">
        <v>261</v>
      </c>
      <c r="O59" s="635"/>
      <c r="P59" s="468" t="s">
        <v>262</v>
      </c>
      <c r="Q59" s="470"/>
      <c r="R59" s="123" t="s">
        <v>263</v>
      </c>
    </row>
    <row r="60" spans="1:18" ht="15" hidden="1" customHeight="1">
      <c r="A60" s="637" t="s">
        <v>264</v>
      </c>
      <c r="B60" s="637"/>
      <c r="C60" s="141" t="s">
        <v>265</v>
      </c>
      <c r="D60" s="155">
        <f>IPCA!G23</f>
        <v>0</v>
      </c>
      <c r="E60" s="638" t="s">
        <v>266</v>
      </c>
      <c r="F60" s="638"/>
      <c r="G60" s="638"/>
      <c r="H60" s="638"/>
      <c r="I60" s="156" t="s">
        <v>267</v>
      </c>
      <c r="J60" s="156" t="s">
        <v>267</v>
      </c>
      <c r="K60" s="156" t="s">
        <v>267</v>
      </c>
      <c r="L60" s="156" t="s">
        <v>267</v>
      </c>
      <c r="M60" s="156" t="s">
        <v>267</v>
      </c>
      <c r="N60" s="639">
        <f>ROUND((100%+D60),2)</f>
        <v>1</v>
      </c>
      <c r="O60" s="639"/>
      <c r="P60" s="469"/>
      <c r="Q60" s="469"/>
      <c r="R60" s="157"/>
    </row>
    <row r="61" spans="1:18" ht="15" hidden="1" customHeight="1">
      <c r="A61" s="637" t="s">
        <v>268</v>
      </c>
      <c r="B61" s="637"/>
      <c r="C61" s="141" t="s">
        <v>265</v>
      </c>
      <c r="D61" s="155">
        <f>IPCA!N23</f>
        <v>0</v>
      </c>
      <c r="E61" s="638" t="s">
        <v>266</v>
      </c>
      <c r="F61" s="638"/>
      <c r="G61" s="638"/>
      <c r="H61" s="638"/>
      <c r="I61" s="156" t="s">
        <v>267</v>
      </c>
      <c r="J61" s="156" t="s">
        <v>267</v>
      </c>
      <c r="K61" s="156" t="s">
        <v>267</v>
      </c>
      <c r="L61" s="156" t="s">
        <v>267</v>
      </c>
      <c r="M61" s="156" t="s">
        <v>267</v>
      </c>
      <c r="N61" s="639">
        <f>ROUND((100%+D61),2)</f>
        <v>1</v>
      </c>
      <c r="O61" s="639"/>
      <c r="P61" s="469"/>
      <c r="Q61" s="469"/>
      <c r="R61" s="157"/>
    </row>
    <row r="62" spans="1:18" ht="15" hidden="1" customHeight="1">
      <c r="A62" s="637" t="s">
        <v>269</v>
      </c>
      <c r="B62" s="637"/>
      <c r="C62" s="141" t="s">
        <v>265</v>
      </c>
      <c r="D62" s="155">
        <f>IPCA!U23</f>
        <v>0</v>
      </c>
      <c r="E62" s="638" t="s">
        <v>266</v>
      </c>
      <c r="F62" s="638"/>
      <c r="G62" s="638"/>
      <c r="H62" s="638"/>
      <c r="I62" s="156" t="s">
        <v>267</v>
      </c>
      <c r="J62" s="156" t="s">
        <v>267</v>
      </c>
      <c r="K62" s="156" t="s">
        <v>267</v>
      </c>
      <c r="L62" s="156" t="s">
        <v>267</v>
      </c>
      <c r="M62" s="156" t="s">
        <v>267</v>
      </c>
      <c r="N62" s="639">
        <f>ROUND((100%+D62),2)</f>
        <v>1</v>
      </c>
      <c r="O62" s="639"/>
      <c r="P62" s="469"/>
      <c r="Q62" s="469"/>
      <c r="R62" s="157"/>
    </row>
    <row r="63" spans="1:18" ht="15" hidden="1" customHeight="1">
      <c r="A63" s="637" t="s">
        <v>270</v>
      </c>
      <c r="B63" s="637"/>
      <c r="C63" s="141" t="s">
        <v>265</v>
      </c>
      <c r="D63" s="155">
        <f>IPCA!AB23</f>
        <v>0</v>
      </c>
      <c r="E63" s="638" t="s">
        <v>266</v>
      </c>
      <c r="F63" s="638"/>
      <c r="G63" s="638"/>
      <c r="H63" s="638"/>
      <c r="I63" s="156" t="s">
        <v>267</v>
      </c>
      <c r="J63" s="156" t="s">
        <v>267</v>
      </c>
      <c r="K63" s="156" t="s">
        <v>267</v>
      </c>
      <c r="L63" s="156" t="s">
        <v>267</v>
      </c>
      <c r="M63" s="156" t="s">
        <v>267</v>
      </c>
      <c r="N63" s="639">
        <f>ROUND((100%+D63),2)</f>
        <v>1</v>
      </c>
      <c r="O63" s="639"/>
      <c r="P63" s="469"/>
      <c r="Q63" s="469"/>
      <c r="R63" s="157"/>
    </row>
    <row r="64" spans="1:18" ht="15" hidden="1" customHeight="1">
      <c r="A64" s="637" t="s">
        <v>271</v>
      </c>
      <c r="B64" s="637"/>
      <c r="C64" s="141" t="s">
        <v>265</v>
      </c>
      <c r="D64" s="155">
        <f>IPCA!AI23</f>
        <v>0</v>
      </c>
      <c r="E64" s="638" t="s">
        <v>266</v>
      </c>
      <c r="F64" s="638"/>
      <c r="G64" s="638"/>
      <c r="H64" s="638"/>
      <c r="I64" s="156" t="s">
        <v>267</v>
      </c>
      <c r="J64" s="156" t="s">
        <v>267</v>
      </c>
      <c r="K64" s="156" t="s">
        <v>267</v>
      </c>
      <c r="L64" s="156" t="s">
        <v>267</v>
      </c>
      <c r="M64" s="156" t="s">
        <v>267</v>
      </c>
      <c r="N64" s="639">
        <f>ROUND((100%+D64),2)</f>
        <v>1</v>
      </c>
      <c r="O64" s="639"/>
      <c r="P64" s="469"/>
      <c r="Q64" s="469"/>
      <c r="R64" s="157"/>
    </row>
    <row r="65" spans="1:11" hidden="1">
      <c r="B65" s="158"/>
      <c r="C65" s="158"/>
      <c r="D65" s="158"/>
      <c r="E65" s="158"/>
    </row>
    <row r="66" spans="1:11" ht="30" hidden="1" customHeight="1">
      <c r="A66" s="635" t="s">
        <v>272</v>
      </c>
      <c r="B66" s="635"/>
      <c r="C66" s="635"/>
      <c r="D66" s="159" t="s">
        <v>273</v>
      </c>
      <c r="E66" s="158"/>
    </row>
    <row r="67" spans="1:11" ht="15.75" hidden="1" customHeight="1">
      <c r="A67" s="635"/>
      <c r="B67" s="635"/>
      <c r="C67" s="635"/>
      <c r="D67" s="156" t="s">
        <v>274</v>
      </c>
      <c r="E67" s="158"/>
    </row>
    <row r="68" spans="1:11" ht="30" hidden="1" customHeight="1">
      <c r="A68" s="635" t="s">
        <v>275</v>
      </c>
      <c r="B68" s="635"/>
      <c r="C68" s="635"/>
      <c r="D68" s="159" t="s">
        <v>273</v>
      </c>
      <c r="E68" s="158"/>
    </row>
    <row r="69" spans="1:11" ht="15.75" hidden="1" customHeight="1">
      <c r="A69" s="635"/>
      <c r="B69" s="635"/>
      <c r="C69" s="635"/>
      <c r="D69" s="156" t="s">
        <v>274</v>
      </c>
      <c r="E69" s="158"/>
    </row>
    <row r="70" spans="1:11" ht="30" hidden="1" customHeight="1">
      <c r="A70" s="635" t="s">
        <v>276</v>
      </c>
      <c r="B70" s="635"/>
      <c r="C70" s="635"/>
      <c r="D70" s="159" t="s">
        <v>273</v>
      </c>
      <c r="E70" s="158"/>
    </row>
    <row r="71" spans="1:11" ht="15.75" hidden="1" customHeight="1">
      <c r="A71" s="635"/>
      <c r="B71" s="635"/>
      <c r="C71" s="635"/>
      <c r="D71" s="156" t="s">
        <v>274</v>
      </c>
      <c r="E71" s="158"/>
    </row>
    <row r="72" spans="1:11" ht="42.75" hidden="1" customHeight="1">
      <c r="A72" s="635" t="s">
        <v>277</v>
      </c>
      <c r="B72" s="635"/>
      <c r="C72" s="635"/>
      <c r="D72" s="159" t="s">
        <v>273</v>
      </c>
      <c r="E72" s="160" t="s">
        <v>278</v>
      </c>
      <c r="F72" s="159" t="s">
        <v>279</v>
      </c>
      <c r="G72" s="159" t="s">
        <v>280</v>
      </c>
      <c r="H72" s="159" t="s">
        <v>281</v>
      </c>
      <c r="I72" s="159" t="s">
        <v>282</v>
      </c>
      <c r="J72" s="159" t="s">
        <v>283</v>
      </c>
      <c r="K72" s="158"/>
    </row>
    <row r="73" spans="1:11" ht="15.75" hidden="1" customHeight="1">
      <c r="A73" s="635"/>
      <c r="B73" s="635"/>
      <c r="C73" s="635"/>
      <c r="D73" s="156" t="s">
        <v>274</v>
      </c>
      <c r="E73" s="161">
        <v>1.55</v>
      </c>
      <c r="F73" s="162">
        <f>ROUND(IF(Dados!$M$60="SIM",E73*Dados!$N$60,E73),2)</f>
        <v>1.55</v>
      </c>
      <c r="G73" s="162">
        <f>ROUND(IF(Dados!$M$61="SIM",F73*Dados!$N$61,F73),2)</f>
        <v>1.55</v>
      </c>
      <c r="H73" s="162">
        <f>ROUND(IF(Dados!$M$62="SIM",G73*Dados!$N$62,G73),2)</f>
        <v>1.55</v>
      </c>
      <c r="I73" s="162">
        <f>ROUND(IF(Dados!$M$63="SIM",H73*Dados!$N$63,H73),2)</f>
        <v>1.55</v>
      </c>
      <c r="J73" s="162">
        <f>ROUND(IF(Dados!$M$64="SIM",I73*Dados!$N$64,I73),2)</f>
        <v>1.55</v>
      </c>
    </row>
    <row r="74" spans="1:11" hidden="1">
      <c r="E74" s="158"/>
    </row>
    <row r="75" spans="1:11" ht="15.75" hidden="1" customHeight="1">
      <c r="A75" s="636" t="s">
        <v>284</v>
      </c>
      <c r="B75" s="636"/>
      <c r="C75" s="636"/>
      <c r="D75" s="636"/>
      <c r="E75" s="636"/>
      <c r="F75" s="636"/>
      <c r="G75" s="636"/>
      <c r="H75" s="636"/>
    </row>
    <row r="76" spans="1:11" hidden="1">
      <c r="A76" s="633" t="s">
        <v>285</v>
      </c>
      <c r="B76" s="633"/>
      <c r="C76" s="633"/>
      <c r="D76" s="633"/>
      <c r="E76" s="633"/>
      <c r="F76" s="631" t="s">
        <v>286</v>
      </c>
      <c r="G76" s="631"/>
      <c r="H76" s="163"/>
    </row>
    <row r="77" spans="1:11" ht="43.5" hidden="1" customHeight="1">
      <c r="A77" s="632" t="s">
        <v>287</v>
      </c>
      <c r="B77" s="632"/>
      <c r="C77" s="632"/>
      <c r="D77" s="632"/>
      <c r="E77" s="632"/>
      <c r="F77" s="632"/>
      <c r="G77" s="632"/>
      <c r="H77" s="632"/>
    </row>
    <row r="78" spans="1:11" hidden="1">
      <c r="A78" s="633" t="s">
        <v>288</v>
      </c>
      <c r="B78" s="633"/>
      <c r="C78" s="633"/>
      <c r="D78" s="633"/>
      <c r="E78" s="633"/>
      <c r="F78" s="631" t="s">
        <v>286</v>
      </c>
      <c r="G78" s="631"/>
      <c r="H78" s="163"/>
    </row>
    <row r="79" spans="1:11" ht="43.5" hidden="1" customHeight="1">
      <c r="A79" s="634" t="s">
        <v>289</v>
      </c>
      <c r="B79" s="634"/>
      <c r="C79" s="634"/>
      <c r="D79" s="634"/>
      <c r="E79" s="634"/>
      <c r="F79" s="634"/>
      <c r="G79" s="634"/>
      <c r="H79" s="634"/>
    </row>
    <row r="80" spans="1:11" hidden="1">
      <c r="A80" s="633" t="s">
        <v>290</v>
      </c>
      <c r="B80" s="633"/>
      <c r="C80" s="633"/>
      <c r="D80" s="633"/>
      <c r="E80" s="633"/>
      <c r="F80" s="631" t="s">
        <v>286</v>
      </c>
      <c r="G80" s="631"/>
      <c r="H80" s="163"/>
    </row>
    <row r="81" spans="1:8" ht="43.5" hidden="1" customHeight="1">
      <c r="A81" s="632" t="s">
        <v>291</v>
      </c>
      <c r="B81" s="632"/>
      <c r="C81" s="632"/>
      <c r="D81" s="632"/>
      <c r="E81" s="632"/>
      <c r="F81" s="632"/>
      <c r="G81" s="632"/>
      <c r="H81" s="632"/>
    </row>
    <row r="82" spans="1:8" hidden="1">
      <c r="A82" s="630" t="s">
        <v>292</v>
      </c>
      <c r="B82" s="630"/>
      <c r="C82" s="630"/>
      <c r="D82" s="630"/>
      <c r="E82" s="630"/>
      <c r="F82" s="631" t="s">
        <v>286</v>
      </c>
      <c r="G82" s="631"/>
      <c r="H82" s="164"/>
    </row>
    <row r="83" spans="1:8" ht="43.5" hidden="1" customHeight="1">
      <c r="A83" s="632" t="s">
        <v>293</v>
      </c>
      <c r="B83" s="632"/>
      <c r="C83" s="632"/>
      <c r="D83" s="632"/>
      <c r="E83" s="632"/>
      <c r="F83" s="632"/>
      <c r="G83" s="632"/>
      <c r="H83" s="632"/>
    </row>
    <row r="84" spans="1:8" hidden="1"/>
    <row r="85" spans="1:8" hidden="1"/>
    <row r="86" spans="1:8" hidden="1"/>
    <row r="87" spans="1:8" hidden="1"/>
    <row r="88" spans="1:8" hidden="1"/>
    <row r="89" spans="1:8" hidden="1"/>
    <row r="90" spans="1:8" hidden="1"/>
    <row r="91" spans="1:8" hidden="1"/>
    <row r="92" spans="1:8" hidden="1"/>
    <row r="93" spans="1:8" hidden="1"/>
    <row r="94" spans="1:8" hidden="1"/>
    <row r="95" spans="1:8" hidden="1"/>
    <row r="96" spans="1:8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</sheetData>
  <sheetProtection password="C4D4" sheet="1" objects="1" scenarios="1"/>
  <mergeCells count="96">
    <mergeCell ref="J5:J6"/>
    <mergeCell ref="K5:K6"/>
    <mergeCell ref="L5:L6"/>
    <mergeCell ref="M5:M6"/>
    <mergeCell ref="S5:S6"/>
    <mergeCell ref="H5:H6"/>
    <mergeCell ref="I5:I6"/>
    <mergeCell ref="A7:A9"/>
    <mergeCell ref="B14:D14"/>
    <mergeCell ref="E14:G14"/>
    <mergeCell ref="A12:G12"/>
    <mergeCell ref="B13:D13"/>
    <mergeCell ref="E13:G13"/>
    <mergeCell ref="A5:A6"/>
    <mergeCell ref="B5:B6"/>
    <mergeCell ref="C5:C6"/>
    <mergeCell ref="D5:D6"/>
    <mergeCell ref="E5:E6"/>
    <mergeCell ref="F5:F6"/>
    <mergeCell ref="G5:G6"/>
    <mergeCell ref="B15:D15"/>
    <mergeCell ref="E15:G15"/>
    <mergeCell ref="B16:D16"/>
    <mergeCell ref="E16:G16"/>
    <mergeCell ref="B17:D17"/>
    <mergeCell ref="E17:G17"/>
    <mergeCell ref="A19:G19"/>
    <mergeCell ref="B20:F20"/>
    <mergeCell ref="B22:F22"/>
    <mergeCell ref="B23:F23"/>
    <mergeCell ref="B24:F24"/>
    <mergeCell ref="A26:G26"/>
    <mergeCell ref="B27:F27"/>
    <mergeCell ref="A29:G29"/>
    <mergeCell ref="B30:F30"/>
    <mergeCell ref="B31:F31"/>
    <mergeCell ref="A32:A35"/>
    <mergeCell ref="B32:C35"/>
    <mergeCell ref="D32:F32"/>
    <mergeCell ref="D33:F33"/>
    <mergeCell ref="D34:F34"/>
    <mergeCell ref="D35:F35"/>
    <mergeCell ref="A36:A38"/>
    <mergeCell ref="B36:C38"/>
    <mergeCell ref="D36:F36"/>
    <mergeCell ref="D37:F37"/>
    <mergeCell ref="D38:F38"/>
    <mergeCell ref="B39:F39"/>
    <mergeCell ref="B40:F40"/>
    <mergeCell ref="A42:G42"/>
    <mergeCell ref="B43:F43"/>
    <mergeCell ref="B44:F44"/>
    <mergeCell ref="A46:G46"/>
    <mergeCell ref="A47:A49"/>
    <mergeCell ref="B47:G49"/>
    <mergeCell ref="B50:E50"/>
    <mergeCell ref="F50:G50"/>
    <mergeCell ref="B51:F51"/>
    <mergeCell ref="B52:F52"/>
    <mergeCell ref="B53:F53"/>
    <mergeCell ref="B54:F54"/>
    <mergeCell ref="B55:F55"/>
    <mergeCell ref="A59:H59"/>
    <mergeCell ref="N59:O59"/>
    <mergeCell ref="A60:B60"/>
    <mergeCell ref="E60:H60"/>
    <mergeCell ref="N60:O60"/>
    <mergeCell ref="A61:B61"/>
    <mergeCell ref="E61:H61"/>
    <mergeCell ref="N61:O61"/>
    <mergeCell ref="A62:B62"/>
    <mergeCell ref="E62:H62"/>
    <mergeCell ref="N62:O62"/>
    <mergeCell ref="A63:B63"/>
    <mergeCell ref="E63:H63"/>
    <mergeCell ref="N63:O63"/>
    <mergeCell ref="A64:B64"/>
    <mergeCell ref="E64:H64"/>
    <mergeCell ref="N64:O64"/>
    <mergeCell ref="A66:C67"/>
    <mergeCell ref="A68:C69"/>
    <mergeCell ref="A70:C71"/>
    <mergeCell ref="A72:C73"/>
    <mergeCell ref="A75:H75"/>
    <mergeCell ref="A82:E82"/>
    <mergeCell ref="F82:G82"/>
    <mergeCell ref="A83:H83"/>
    <mergeCell ref="A76:E76"/>
    <mergeCell ref="F76:G76"/>
    <mergeCell ref="A77:H77"/>
    <mergeCell ref="A78:E78"/>
    <mergeCell ref="F78:G78"/>
    <mergeCell ref="A79:H79"/>
    <mergeCell ref="A80:E80"/>
    <mergeCell ref="F80:G80"/>
    <mergeCell ref="A81:H81"/>
  </mergeCells>
  <dataValidations count="3">
    <dataValidation type="list" allowBlank="1" showInputMessage="1" showErrorMessage="1" sqref="F50">
      <formula1>"LUCRO REAL,LUCRO PRESUMIDO,SIMPLES NACIONAL,OUTRO"</formula1>
      <formula2>0</formula2>
    </dataValidation>
    <dataValidation type="list" allowBlank="1" showInputMessage="1" showErrorMessage="1" sqref="I60:M64">
      <formula1>"NÃO,SIM"</formula1>
      <formula2>0</formula2>
    </dataValidation>
    <dataValidation type="list" allowBlank="1" showInputMessage="1" showErrorMessage="1" sqref="D67 D69 D71 D73">
      <formula1>"INICIAL,1º IPCA,2º IPCA,3º IPCA,4º IPCA,5º IPCA"</formula1>
      <formula2>0</formula2>
    </dataValidation>
  </dataValidation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32" fitToHeight="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1"/>
  <sheetViews>
    <sheetView showGridLines="0" view="pageBreakPreview" zoomScale="140" zoomScaleNormal="100" zoomScalePageLayoutView="140" workbookViewId="0">
      <selection activeCell="C35" sqref="C35"/>
    </sheetView>
  </sheetViews>
  <sheetFormatPr defaultColWidth="8.6640625" defaultRowHeight="14.4"/>
  <cols>
    <col min="1" max="1" width="9" customWidth="1"/>
    <col min="2" max="2" width="55.5546875" customWidth="1"/>
    <col min="3" max="3" width="13.109375" customWidth="1"/>
    <col min="4" max="4" width="4.88671875" customWidth="1"/>
    <col min="5" max="5" width="41.6640625" customWidth="1"/>
    <col min="6" max="8" width="11" customWidth="1"/>
    <col min="9" max="257" width="9" customWidth="1"/>
    <col min="258" max="258" width="55.5546875" customWidth="1"/>
    <col min="259" max="259" width="13.109375" customWidth="1"/>
    <col min="260" max="260" width="9" customWidth="1"/>
    <col min="261" max="261" width="35.109375" customWidth="1"/>
    <col min="262" max="264" width="11" customWidth="1"/>
    <col min="265" max="513" width="9" customWidth="1"/>
    <col min="514" max="514" width="55.5546875" customWidth="1"/>
    <col min="515" max="515" width="13.109375" customWidth="1"/>
    <col min="516" max="516" width="9" customWidth="1"/>
    <col min="517" max="517" width="35.109375" customWidth="1"/>
    <col min="518" max="520" width="11" customWidth="1"/>
    <col min="521" max="769" width="9" customWidth="1"/>
    <col min="770" max="770" width="55.5546875" customWidth="1"/>
    <col min="771" max="771" width="13.109375" customWidth="1"/>
    <col min="772" max="772" width="9" customWidth="1"/>
    <col min="773" max="773" width="35.109375" customWidth="1"/>
    <col min="774" max="776" width="11" customWidth="1"/>
    <col min="777" max="1025" width="9" customWidth="1"/>
  </cols>
  <sheetData>
    <row r="1" spans="1:4">
      <c r="A1" s="165"/>
      <c r="B1" s="99" t="str">
        <f>INSTRUÇÕES!B1</f>
        <v>Tribunal Regional Federal da 6ª Região</v>
      </c>
      <c r="C1" s="166"/>
    </row>
    <row r="2" spans="1:4">
      <c r="A2" s="167"/>
      <c r="B2" s="101" t="str">
        <f>INSTRUÇÕES!B2</f>
        <v>Seção Judiciária de Minas Gerais</v>
      </c>
      <c r="C2" s="168"/>
    </row>
    <row r="3" spans="1:4">
      <c r="A3" s="169"/>
      <c r="B3" s="101" t="str">
        <f>INSTRUÇÕES!B3</f>
        <v>Subseção Judiciária de Poços de Caldas</v>
      </c>
      <c r="C3" s="168"/>
    </row>
    <row r="4" spans="1:4" ht="21.75" customHeight="1">
      <c r="A4" s="662" t="s">
        <v>294</v>
      </c>
      <c r="B4" s="662"/>
      <c r="C4" s="662"/>
    </row>
    <row r="5" spans="1:4" ht="21.75" customHeight="1">
      <c r="A5" s="662" t="s">
        <v>696</v>
      </c>
      <c r="B5" s="662"/>
      <c r="C5" s="662"/>
    </row>
    <row r="6" spans="1:4" ht="26.25" customHeight="1">
      <c r="A6" s="663" t="s">
        <v>295</v>
      </c>
      <c r="B6" s="663"/>
      <c r="C6" s="663"/>
    </row>
    <row r="7" spans="1:4">
      <c r="A7" s="664" t="s">
        <v>296</v>
      </c>
      <c r="B7" s="664"/>
      <c r="C7" s="664"/>
    </row>
    <row r="8" spans="1:4" ht="15.75" customHeight="1">
      <c r="A8" s="170" t="s">
        <v>59</v>
      </c>
      <c r="B8" s="171" t="s">
        <v>297</v>
      </c>
      <c r="C8" s="172" t="s">
        <v>298</v>
      </c>
    </row>
    <row r="9" spans="1:4" ht="15.75" customHeight="1">
      <c r="A9" s="173" t="s">
        <v>299</v>
      </c>
      <c r="B9" s="657" t="s">
        <v>300</v>
      </c>
      <c r="C9" s="657"/>
    </row>
    <row r="10" spans="1:4" ht="15.75" customHeight="1">
      <c r="A10" s="174">
        <v>1</v>
      </c>
      <c r="B10" s="175" t="s">
        <v>301</v>
      </c>
      <c r="C10" s="176">
        <v>0.2</v>
      </c>
    </row>
    <row r="11" spans="1:4" ht="15.75" customHeight="1">
      <c r="A11" s="174">
        <v>2</v>
      </c>
      <c r="B11" s="175" t="s">
        <v>302</v>
      </c>
      <c r="C11" s="176">
        <v>1.4999999999999999E-2</v>
      </c>
    </row>
    <row r="12" spans="1:4" ht="15.75" customHeight="1">
      <c r="A12" s="174">
        <v>3</v>
      </c>
      <c r="B12" s="175" t="s">
        <v>303</v>
      </c>
      <c r="C12" s="176">
        <v>0.01</v>
      </c>
    </row>
    <row r="13" spans="1:4" ht="15.75" customHeight="1">
      <c r="A13" s="174">
        <v>4</v>
      </c>
      <c r="B13" s="175" t="s">
        <v>304</v>
      </c>
      <c r="C13" s="176">
        <v>2E-3</v>
      </c>
    </row>
    <row r="14" spans="1:4" ht="15.75" customHeight="1">
      <c r="A14" s="174">
        <v>5</v>
      </c>
      <c r="B14" s="175" t="s">
        <v>305</v>
      </c>
      <c r="C14" s="176">
        <v>2.5000000000000001E-2</v>
      </c>
    </row>
    <row r="15" spans="1:4" ht="15.75" customHeight="1">
      <c r="A15" s="174">
        <v>6</v>
      </c>
      <c r="B15" s="175" t="s">
        <v>306</v>
      </c>
      <c r="C15" s="176">
        <v>0.08</v>
      </c>
    </row>
    <row r="16" spans="1:4" ht="15.75" customHeight="1">
      <c r="A16" s="174">
        <v>7</v>
      </c>
      <c r="B16" s="175" t="s">
        <v>307</v>
      </c>
      <c r="C16" s="177">
        <f>Dados!G22</f>
        <v>0.06</v>
      </c>
      <c r="D16" s="178" t="s">
        <v>308</v>
      </c>
    </row>
    <row r="17" spans="1:3" ht="15.75" customHeight="1">
      <c r="A17" s="174">
        <v>8</v>
      </c>
      <c r="B17" s="175" t="s">
        <v>309</v>
      </c>
      <c r="C17" s="176">
        <v>6.0000000000000001E-3</v>
      </c>
    </row>
    <row r="18" spans="1:3" ht="15.75" customHeight="1">
      <c r="A18" s="660" t="s">
        <v>310</v>
      </c>
      <c r="B18" s="660"/>
      <c r="C18" s="179">
        <f>SUM(C10:C17)</f>
        <v>0.39800000000000008</v>
      </c>
    </row>
    <row r="19" spans="1:3" ht="15.75" customHeight="1">
      <c r="A19" s="661" t="s">
        <v>311</v>
      </c>
      <c r="B19" s="661"/>
      <c r="C19" s="661"/>
    </row>
    <row r="20" spans="1:3" ht="15.75" customHeight="1">
      <c r="A20" s="661" t="s">
        <v>312</v>
      </c>
      <c r="B20" s="661"/>
      <c r="C20" s="661"/>
    </row>
    <row r="21" spans="1:3" ht="15.75" customHeight="1">
      <c r="A21" s="174">
        <v>9</v>
      </c>
      <c r="B21" s="180" t="s">
        <v>313</v>
      </c>
      <c r="C21" s="181">
        <f>ROUND((100%/11),4)</f>
        <v>9.0899999999999995E-2</v>
      </c>
    </row>
    <row r="22" spans="1:3" ht="15.75" customHeight="1">
      <c r="A22" s="174">
        <v>10</v>
      </c>
      <c r="B22" s="180" t="s">
        <v>314</v>
      </c>
      <c r="C22" s="181">
        <f>ROUND((C21/3),4)</f>
        <v>3.0300000000000001E-2</v>
      </c>
    </row>
    <row r="23" spans="1:3" ht="15.75" customHeight="1">
      <c r="A23" s="658" t="s">
        <v>315</v>
      </c>
      <c r="B23" s="658"/>
      <c r="C23" s="182">
        <f>SUM(C21:C22)</f>
        <v>0.1212</v>
      </c>
    </row>
    <row r="24" spans="1:3" ht="15.75" customHeight="1">
      <c r="A24" s="659" t="s">
        <v>316</v>
      </c>
      <c r="B24" s="659"/>
      <c r="C24" s="177">
        <f>(C18*C23)</f>
        <v>4.8237600000000012E-2</v>
      </c>
    </row>
    <row r="25" spans="1:3" ht="15.75" customHeight="1">
      <c r="A25" s="658" t="s">
        <v>317</v>
      </c>
      <c r="B25" s="658"/>
      <c r="C25" s="182">
        <f>SUM(C23:C24)</f>
        <v>0.16943760000000002</v>
      </c>
    </row>
    <row r="26" spans="1:3" ht="15.75" customHeight="1">
      <c r="A26" s="173" t="s">
        <v>318</v>
      </c>
      <c r="B26" s="657" t="s">
        <v>319</v>
      </c>
      <c r="C26" s="657"/>
    </row>
    <row r="27" spans="1:3" ht="15.75" customHeight="1">
      <c r="A27" s="174">
        <v>11</v>
      </c>
      <c r="B27" s="175" t="s">
        <v>320</v>
      </c>
      <c r="C27" s="176">
        <f>ROUND((0.0144*0.1*0.4509*6/12),4)</f>
        <v>2.9999999999999997E-4</v>
      </c>
    </row>
    <row r="28" spans="1:3" ht="15.75" customHeight="1">
      <c r="A28" s="659" t="s">
        <v>321</v>
      </c>
      <c r="B28" s="659"/>
      <c r="C28" s="183">
        <f>C18*C27</f>
        <v>1.1940000000000002E-4</v>
      </c>
    </row>
    <row r="29" spans="1:3" ht="15.75" customHeight="1">
      <c r="A29" s="658" t="s">
        <v>322</v>
      </c>
      <c r="B29" s="658"/>
      <c r="C29" s="184">
        <f>SUM(C27:C28)</f>
        <v>4.194E-4</v>
      </c>
    </row>
    <row r="30" spans="1:3" ht="15.75" customHeight="1">
      <c r="A30" s="173" t="s">
        <v>323</v>
      </c>
      <c r="B30" s="657" t="s">
        <v>324</v>
      </c>
      <c r="C30" s="657"/>
    </row>
    <row r="31" spans="1:3" ht="15.75" customHeight="1">
      <c r="A31" s="174">
        <v>12</v>
      </c>
      <c r="B31" s="175" t="s">
        <v>325</v>
      </c>
      <c r="C31" s="176">
        <f>ROUND((100%/12)*5%,4)</f>
        <v>4.1999999999999997E-3</v>
      </c>
    </row>
    <row r="32" spans="1:3" ht="15.75" customHeight="1">
      <c r="A32" s="649" t="s">
        <v>326</v>
      </c>
      <c r="B32" s="649"/>
      <c r="C32" s="177">
        <f>C15*C31</f>
        <v>3.3599999999999998E-4</v>
      </c>
    </row>
    <row r="33" spans="1:8" ht="15.75" customHeight="1">
      <c r="A33" s="174">
        <v>13</v>
      </c>
      <c r="B33" s="175" t="s">
        <v>327</v>
      </c>
      <c r="C33" s="181">
        <f>ROUND((C15*0.4*0.9*(1+1/11+1/11+(1/3*1/11))),5)</f>
        <v>3.4909999999999997E-2</v>
      </c>
    </row>
    <row r="34" spans="1:8" ht="15.75" customHeight="1">
      <c r="A34" s="174">
        <v>14</v>
      </c>
      <c r="B34" s="175" t="s">
        <v>328</v>
      </c>
      <c r="C34" s="176">
        <v>4.0000000000000002E-4</v>
      </c>
    </row>
    <row r="35" spans="1:8" ht="15.75" customHeight="1">
      <c r="A35" s="649" t="s">
        <v>329</v>
      </c>
      <c r="B35" s="649"/>
      <c r="C35" s="177">
        <f>ROUND((C34*C18),4)</f>
        <v>2.0000000000000001E-4</v>
      </c>
    </row>
    <row r="36" spans="1:8" ht="15.75" customHeight="1">
      <c r="A36" s="174">
        <v>15</v>
      </c>
      <c r="B36" s="175" t="s">
        <v>330</v>
      </c>
      <c r="C36" s="177">
        <f>(0.4*C15/100)</f>
        <v>3.2000000000000003E-4</v>
      </c>
    </row>
    <row r="37" spans="1:8" ht="15.75" customHeight="1">
      <c r="A37" s="652" t="s">
        <v>331</v>
      </c>
      <c r="B37" s="652"/>
      <c r="C37" s="182">
        <f>SUM(C31:C36)</f>
        <v>4.0365999999999992E-2</v>
      </c>
    </row>
    <row r="38" spans="1:8" ht="15.75" customHeight="1">
      <c r="A38" s="173" t="s">
        <v>332</v>
      </c>
      <c r="B38" s="657" t="s">
        <v>333</v>
      </c>
      <c r="C38" s="657"/>
    </row>
    <row r="39" spans="1:8" ht="15.75" customHeight="1">
      <c r="A39" s="174">
        <v>16</v>
      </c>
      <c r="B39" s="175" t="s">
        <v>334</v>
      </c>
      <c r="C39" s="181">
        <f>ROUND((100%/11),4)</f>
        <v>9.0899999999999995E-2</v>
      </c>
    </row>
    <row r="40" spans="1:8" ht="15.75" customHeight="1">
      <c r="A40" s="174">
        <v>17</v>
      </c>
      <c r="B40" s="175" t="s">
        <v>335</v>
      </c>
      <c r="C40" s="176">
        <v>1.66E-2</v>
      </c>
    </row>
    <row r="41" spans="1:8" ht="15.75" customHeight="1">
      <c r="A41" s="174">
        <v>18</v>
      </c>
      <c r="B41" s="175" t="s">
        <v>336</v>
      </c>
      <c r="C41" s="176">
        <f>ROUND((5/30/12)*0.022,4)</f>
        <v>2.9999999999999997E-4</v>
      </c>
    </row>
    <row r="42" spans="1:8" ht="15.75" customHeight="1">
      <c r="A42" s="174">
        <v>19</v>
      </c>
      <c r="B42" s="175" t="s">
        <v>337</v>
      </c>
      <c r="C42" s="176">
        <f>ROUND((1/30/12),4)</f>
        <v>2.8E-3</v>
      </c>
    </row>
    <row r="43" spans="1:8" ht="15.75" customHeight="1">
      <c r="A43" s="174">
        <v>20</v>
      </c>
      <c r="B43" s="175" t="s">
        <v>338</v>
      </c>
      <c r="C43" s="176">
        <f>ROUND((15/30/12*0.0078),4)</f>
        <v>2.9999999999999997E-4</v>
      </c>
    </row>
    <row r="44" spans="1:8" ht="15.75" customHeight="1">
      <c r="A44" s="652" t="s">
        <v>315</v>
      </c>
      <c r="B44" s="652"/>
      <c r="C44" s="182">
        <f>SUM(C39:C43)</f>
        <v>0.11089999999999998</v>
      </c>
      <c r="E44" s="654" t="s">
        <v>339</v>
      </c>
      <c r="F44" s="654"/>
      <c r="G44" s="654"/>
      <c r="H44" s="654"/>
    </row>
    <row r="45" spans="1:8" ht="15.75" customHeight="1">
      <c r="A45" s="649" t="s">
        <v>340</v>
      </c>
      <c r="B45" s="649"/>
      <c r="C45" s="177">
        <f>C18*C44</f>
        <v>4.4138200000000002E-2</v>
      </c>
      <c r="E45" s="654"/>
      <c r="F45" s="654"/>
      <c r="G45" s="654"/>
      <c r="H45" s="654"/>
    </row>
    <row r="46" spans="1:8" ht="15" customHeight="1">
      <c r="A46" s="652" t="s">
        <v>341</v>
      </c>
      <c r="B46" s="652"/>
      <c r="C46" s="182">
        <f>SUM(C44:C45)</f>
        <v>0.15503819999999999</v>
      </c>
      <c r="E46" s="655" t="s">
        <v>342</v>
      </c>
      <c r="F46" s="656" t="s">
        <v>343</v>
      </c>
      <c r="G46" s="656"/>
      <c r="H46" s="656"/>
    </row>
    <row r="47" spans="1:8" ht="15.75" customHeight="1">
      <c r="A47" s="185" t="s">
        <v>344</v>
      </c>
      <c r="B47" s="186" t="s">
        <v>345</v>
      </c>
      <c r="C47" s="187" t="s">
        <v>213</v>
      </c>
      <c r="E47" s="655"/>
      <c r="F47" s="656" t="s">
        <v>346</v>
      </c>
      <c r="G47" s="656"/>
      <c r="H47" s="656"/>
    </row>
    <row r="48" spans="1:8" ht="15.75" customHeight="1">
      <c r="A48" s="174">
        <v>21</v>
      </c>
      <c r="B48" s="175" t="s">
        <v>347</v>
      </c>
      <c r="C48" s="176">
        <f>1*1%/12</f>
        <v>8.3333333333333339E-4</v>
      </c>
      <c r="E48" s="188" t="s">
        <v>348</v>
      </c>
      <c r="F48" s="189" t="s">
        <v>349</v>
      </c>
      <c r="G48" s="189" t="s">
        <v>350</v>
      </c>
      <c r="H48" s="190" t="s">
        <v>351</v>
      </c>
    </row>
    <row r="49" spans="1:8" ht="15.75" customHeight="1">
      <c r="A49" s="652" t="s">
        <v>352</v>
      </c>
      <c r="B49" s="652"/>
      <c r="C49" s="182">
        <f>SUM(C47:C48)</f>
        <v>8.3333333333333339E-4</v>
      </c>
      <c r="E49" s="188" t="s">
        <v>353</v>
      </c>
      <c r="F49" s="191">
        <v>0.34300000000000003</v>
      </c>
      <c r="G49" s="191">
        <v>0.39800000000000002</v>
      </c>
      <c r="H49" s="192">
        <f>$C$18</f>
        <v>0.39800000000000008</v>
      </c>
    </row>
    <row r="50" spans="1:8" ht="15.75" customHeight="1">
      <c r="A50" s="653" t="s">
        <v>354</v>
      </c>
      <c r="B50" s="653"/>
      <c r="C50" s="653"/>
      <c r="E50" s="188" t="s">
        <v>355</v>
      </c>
      <c r="F50" s="191">
        <v>5.0000000000000001E-3</v>
      </c>
      <c r="G50" s="191">
        <v>0.06</v>
      </c>
      <c r="H50" s="192">
        <f>$C$16</f>
        <v>0.06</v>
      </c>
    </row>
    <row r="51" spans="1:8" ht="15.75" customHeight="1">
      <c r="A51" s="649" t="s">
        <v>300</v>
      </c>
      <c r="B51" s="649"/>
      <c r="C51" s="177">
        <f>ROUND(C18,4)</f>
        <v>0.39800000000000002</v>
      </c>
      <c r="E51" s="193" t="s">
        <v>356</v>
      </c>
      <c r="F51" s="194">
        <f>$C$21</f>
        <v>9.0899999999999995E-2</v>
      </c>
      <c r="G51" s="194">
        <f>$F$51</f>
        <v>9.0899999999999995E-2</v>
      </c>
      <c r="H51" s="195">
        <f>$F$51</f>
        <v>9.0899999999999995E-2</v>
      </c>
    </row>
    <row r="52" spans="1:8" ht="15.75" customHeight="1">
      <c r="A52" s="649" t="s">
        <v>357</v>
      </c>
      <c r="B52" s="649"/>
      <c r="C52" s="177">
        <f>ROUND(C25,4)</f>
        <v>0.1694</v>
      </c>
      <c r="E52" s="193" t="s">
        <v>358</v>
      </c>
      <c r="F52" s="194">
        <f>$C$39</f>
        <v>9.0899999999999995E-2</v>
      </c>
      <c r="G52" s="194">
        <f>$F$52</f>
        <v>9.0899999999999995E-2</v>
      </c>
      <c r="H52" s="195">
        <f>$F$52</f>
        <v>9.0899999999999995E-2</v>
      </c>
    </row>
    <row r="53" spans="1:8" ht="15.75" customHeight="1">
      <c r="A53" s="649" t="s">
        <v>319</v>
      </c>
      <c r="B53" s="649"/>
      <c r="C53" s="177">
        <f>ROUND(C29,4)</f>
        <v>4.0000000000000002E-4</v>
      </c>
      <c r="E53" s="193" t="s">
        <v>359</v>
      </c>
      <c r="F53" s="194">
        <f>$C$22</f>
        <v>3.0300000000000001E-2</v>
      </c>
      <c r="G53" s="194">
        <f>$F$53</f>
        <v>3.0300000000000001E-2</v>
      </c>
      <c r="H53" s="195">
        <f>$F$53</f>
        <v>3.0300000000000001E-2</v>
      </c>
    </row>
    <row r="54" spans="1:8" ht="15.75" customHeight="1">
      <c r="A54" s="649" t="s">
        <v>360</v>
      </c>
      <c r="B54" s="649"/>
      <c r="C54" s="177">
        <f>ROUND(C37,4)</f>
        <v>4.0399999999999998E-2</v>
      </c>
      <c r="E54" s="196" t="s">
        <v>315</v>
      </c>
      <c r="F54" s="197">
        <f>SUM(F51:F53)</f>
        <v>0.21209999999999998</v>
      </c>
      <c r="G54" s="197">
        <f>SUM(G51:G53)</f>
        <v>0.21209999999999998</v>
      </c>
      <c r="H54" s="198">
        <f>ROUND((SUM(H51:H53)),4)</f>
        <v>0.21210000000000001</v>
      </c>
    </row>
    <row r="55" spans="1:8" ht="15.75" customHeight="1">
      <c r="A55" s="649" t="s">
        <v>361</v>
      </c>
      <c r="B55" s="649"/>
      <c r="C55" s="177">
        <f>ROUND(C46,4)</f>
        <v>0.155</v>
      </c>
      <c r="E55" s="193" t="s">
        <v>362</v>
      </c>
      <c r="F55" s="194">
        <f>F54*F49</f>
        <v>7.2750300000000004E-2</v>
      </c>
      <c r="G55" s="194">
        <f>G54*G49</f>
        <v>8.4415799999999999E-2</v>
      </c>
      <c r="H55" s="195">
        <f>ROUND((H54*H49),4)</f>
        <v>8.4400000000000003E-2</v>
      </c>
    </row>
    <row r="56" spans="1:8" ht="15.75" customHeight="1">
      <c r="A56" s="649" t="s">
        <v>347</v>
      </c>
      <c r="B56" s="649"/>
      <c r="C56" s="177">
        <f>ROUND(C49,4)</f>
        <v>8.0000000000000004E-4</v>
      </c>
      <c r="E56" s="193" t="s">
        <v>363</v>
      </c>
      <c r="F56" s="194">
        <v>3.4909999999999997E-2</v>
      </c>
      <c r="G56" s="194">
        <v>3.4909999999999997E-2</v>
      </c>
      <c r="H56" s="199">
        <f>C33</f>
        <v>3.4909999999999997E-2</v>
      </c>
    </row>
    <row r="57" spans="1:8" ht="15.75" customHeight="1">
      <c r="A57" s="650" t="s">
        <v>364</v>
      </c>
      <c r="B57" s="650"/>
      <c r="C57" s="179">
        <f>SUM(C51:C56)</f>
        <v>0.76400000000000001</v>
      </c>
      <c r="E57" s="200" t="s">
        <v>365</v>
      </c>
      <c r="F57" s="201">
        <f>SUM(F54:F56)</f>
        <v>0.3197603</v>
      </c>
      <c r="G57" s="201">
        <f>SUM(G54:G56)</f>
        <v>0.33142579999999999</v>
      </c>
      <c r="H57" s="202">
        <f>ROUND((SUM(H54:H56)),4)</f>
        <v>0.33139999999999997</v>
      </c>
    </row>
    <row r="58" spans="1:8" ht="24">
      <c r="A58" s="203" t="s">
        <v>50</v>
      </c>
      <c r="B58" s="204"/>
      <c r="C58" s="205"/>
      <c r="E58" s="193" t="s">
        <v>366</v>
      </c>
      <c r="F58" s="194" t="s">
        <v>213</v>
      </c>
      <c r="G58" s="194" t="s">
        <v>213</v>
      </c>
      <c r="H58" s="195" t="s">
        <v>213</v>
      </c>
    </row>
    <row r="59" spans="1:8" ht="54.75" customHeight="1">
      <c r="A59" s="651" t="s">
        <v>367</v>
      </c>
      <c r="B59" s="651"/>
      <c r="C59" s="651"/>
      <c r="E59" s="206" t="s">
        <v>368</v>
      </c>
      <c r="F59" s="207">
        <f>F57</f>
        <v>0.3197603</v>
      </c>
      <c r="G59" s="207">
        <f>G57</f>
        <v>0.33142579999999999</v>
      </c>
      <c r="H59" s="208">
        <f>ROUND((H57),4)</f>
        <v>0.33139999999999997</v>
      </c>
    </row>
    <row r="61" spans="1:8" ht="12.75" customHeight="1"/>
  </sheetData>
  <sheetProtection algorithmName="SHA-512" hashValue="xsKswc9sAmQMRvD5ZNxGYEeQexumfeLby27CPKj3MegxbMGcoEDGz/kZJhBH/jRfuZNn9JnsO0yWcgz7yQaPzQ==" saltValue="3UW/J0S3R7m3c9UKpvk6lw==" spinCount="100000" sheet="1" objects="1" scenarios="1"/>
  <mergeCells count="36">
    <mergeCell ref="A4:C4"/>
    <mergeCell ref="A5:C5"/>
    <mergeCell ref="A6:C6"/>
    <mergeCell ref="A7:C7"/>
    <mergeCell ref="B9:C9"/>
    <mergeCell ref="A18:B18"/>
    <mergeCell ref="A19:C19"/>
    <mergeCell ref="A20:C20"/>
    <mergeCell ref="A23:B23"/>
    <mergeCell ref="A24:B24"/>
    <mergeCell ref="A25:B25"/>
    <mergeCell ref="B26:C26"/>
    <mergeCell ref="A28:B28"/>
    <mergeCell ref="A29:B29"/>
    <mergeCell ref="B30:C30"/>
    <mergeCell ref="A32:B32"/>
    <mergeCell ref="A35:B35"/>
    <mergeCell ref="A37:B37"/>
    <mergeCell ref="B38:C38"/>
    <mergeCell ref="A44:B44"/>
    <mergeCell ref="E44:H45"/>
    <mergeCell ref="A45:B45"/>
    <mergeCell ref="A46:B46"/>
    <mergeCell ref="E46:E47"/>
    <mergeCell ref="F46:H46"/>
    <mergeCell ref="F47:H47"/>
    <mergeCell ref="A49:B49"/>
    <mergeCell ref="A50:C50"/>
    <mergeCell ref="A51:B51"/>
    <mergeCell ref="A52:B52"/>
    <mergeCell ref="A53:B53"/>
    <mergeCell ref="A54:B54"/>
    <mergeCell ref="A55:B55"/>
    <mergeCell ref="A56:B56"/>
    <mergeCell ref="A57:B57"/>
    <mergeCell ref="A59:C59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58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77"/>
  <sheetViews>
    <sheetView showGridLines="0" zoomScaleNormal="100" zoomScaleSheetLayoutView="115" zoomScalePageLayoutView="140" workbookViewId="0">
      <selection activeCell="G51" sqref="G51"/>
    </sheetView>
  </sheetViews>
  <sheetFormatPr defaultColWidth="8.6640625" defaultRowHeight="14.4"/>
  <cols>
    <col min="1" max="1" width="5" style="64" customWidth="1"/>
    <col min="2" max="2" width="59.109375" style="69" customWidth="1"/>
    <col min="3" max="3" width="10.44140625" style="69" customWidth="1"/>
    <col min="4" max="7" width="18.44140625" style="69" customWidth="1"/>
    <col min="8" max="8" width="23.6640625" style="209" customWidth="1"/>
    <col min="9" max="9" width="4.33203125" style="209" customWidth="1"/>
    <col min="10" max="10" width="11.44140625" style="209" customWidth="1"/>
    <col min="11" max="11" width="12.44140625" style="69" customWidth="1"/>
    <col min="12" max="12" width="8.5546875" style="209" hidden="1" customWidth="1"/>
    <col min="13" max="13" width="9" style="209" customWidth="1"/>
    <col min="14" max="14" width="26.109375" style="209" hidden="1" customWidth="1"/>
    <col min="15" max="19" width="11.5546875" style="209" hidden="1" customWidth="1"/>
    <col min="20" max="256" width="9" style="209" customWidth="1"/>
    <col min="257" max="257" width="8.33203125" style="209" customWidth="1"/>
    <col min="258" max="258" width="44.5546875" style="209" customWidth="1"/>
    <col min="259" max="259" width="7.44140625" style="209" customWidth="1"/>
    <col min="260" max="260" width="13" style="209" customWidth="1"/>
    <col min="261" max="261" width="11.6640625" style="209" customWidth="1"/>
    <col min="262" max="262" width="10.5546875" style="209" customWidth="1"/>
    <col min="263" max="263" width="14.44140625" style="209" customWidth="1"/>
    <col min="264" max="264" width="35.44140625" style="209" customWidth="1"/>
    <col min="265" max="265" width="14" style="209" customWidth="1"/>
    <col min="266" max="266" width="11.6640625" style="209" customWidth="1"/>
    <col min="267" max="267" width="13.5546875" style="209" customWidth="1"/>
    <col min="268" max="512" width="9" style="209" customWidth="1"/>
    <col min="513" max="513" width="8.33203125" style="209" customWidth="1"/>
    <col min="514" max="514" width="44.5546875" style="209" customWidth="1"/>
    <col min="515" max="515" width="7.44140625" style="209" customWidth="1"/>
    <col min="516" max="516" width="13" style="209" customWidth="1"/>
    <col min="517" max="517" width="11.6640625" style="209" customWidth="1"/>
    <col min="518" max="518" width="10.5546875" style="209" customWidth="1"/>
    <col min="519" max="519" width="14.44140625" style="209" customWidth="1"/>
    <col min="520" max="520" width="35.44140625" style="209" customWidth="1"/>
    <col min="521" max="521" width="14" style="209" customWidth="1"/>
    <col min="522" max="522" width="11.6640625" style="209" customWidth="1"/>
    <col min="523" max="523" width="13.5546875" style="209" customWidth="1"/>
    <col min="524" max="768" width="9" style="209" customWidth="1"/>
    <col min="769" max="769" width="8.33203125" style="209" customWidth="1"/>
    <col min="770" max="770" width="44.5546875" style="209" customWidth="1"/>
    <col min="771" max="771" width="7.44140625" style="209" customWidth="1"/>
    <col min="772" max="772" width="13" style="209" customWidth="1"/>
    <col min="773" max="773" width="11.6640625" style="209" customWidth="1"/>
    <col min="774" max="774" width="10.5546875" style="209" customWidth="1"/>
    <col min="775" max="775" width="14.44140625" style="209" customWidth="1"/>
    <col min="776" max="776" width="35.44140625" style="209" customWidth="1"/>
    <col min="777" max="777" width="14" style="209" customWidth="1"/>
    <col min="778" max="778" width="11.6640625" style="209" customWidth="1"/>
    <col min="779" max="779" width="13.5546875" style="209" customWidth="1"/>
    <col min="780" max="1025" width="9" style="209" customWidth="1"/>
  </cols>
  <sheetData>
    <row r="1" spans="1:22" s="69" customFormat="1" ht="15" customHeight="1">
      <c r="A1" s="210"/>
      <c r="B1" s="99" t="str">
        <f>INSTRUÇÕES!B1</f>
        <v>Tribunal Regional Federal da 6ª Região</v>
      </c>
      <c r="C1" s="211"/>
      <c r="D1" s="211"/>
      <c r="E1" s="211"/>
      <c r="F1" s="211"/>
      <c r="G1" s="211"/>
      <c r="H1" s="212"/>
    </row>
    <row r="2" spans="1:22" s="69" customFormat="1" ht="17.25" customHeight="1">
      <c r="A2" s="213"/>
      <c r="B2" s="101" t="str">
        <f>INSTRUÇÕES!B2</f>
        <v>Seção Judiciária de Minas Gerais</v>
      </c>
      <c r="H2" s="214"/>
    </row>
    <row r="3" spans="1:22" s="69" customFormat="1" ht="16.5" customHeight="1">
      <c r="A3" s="213"/>
      <c r="B3" s="101" t="str">
        <f>INSTRUÇÕES!B3</f>
        <v>Subseção Judiciária de Poços de Caldas</v>
      </c>
      <c r="H3" s="214"/>
      <c r="N3" s="1"/>
      <c r="O3" s="1"/>
      <c r="P3" s="1"/>
      <c r="Q3" s="1"/>
      <c r="R3" s="1"/>
      <c r="S3" s="1"/>
      <c r="T3" s="1"/>
    </row>
    <row r="4" spans="1:22" s="69" customFormat="1" ht="27.75" customHeight="1">
      <c r="A4" s="666" t="s">
        <v>691</v>
      </c>
      <c r="B4" s="666"/>
      <c r="C4" s="666"/>
      <c r="D4" s="666"/>
      <c r="E4" s="666"/>
      <c r="F4" s="666"/>
      <c r="G4" s="666"/>
      <c r="H4" s="666"/>
      <c r="I4" s="215"/>
      <c r="J4" s="215"/>
      <c r="U4" s="1"/>
      <c r="V4" s="1"/>
    </row>
    <row r="5" spans="1:22" s="1" customFormat="1" ht="24" customHeight="1">
      <c r="A5" s="671" t="s">
        <v>369</v>
      </c>
      <c r="B5" s="671"/>
      <c r="C5" s="671"/>
      <c r="D5" s="671"/>
      <c r="E5" s="671"/>
      <c r="F5" s="671"/>
      <c r="G5" s="671"/>
      <c r="H5" s="671"/>
      <c r="K5" s="216"/>
      <c r="N5" s="597" t="s">
        <v>370</v>
      </c>
      <c r="O5" s="597"/>
      <c r="P5" s="597"/>
      <c r="Q5" s="597"/>
      <c r="R5" s="597"/>
      <c r="S5" s="597"/>
      <c r="T5" s="69"/>
      <c r="U5" s="69"/>
      <c r="V5" s="69"/>
    </row>
    <row r="6" spans="1:22" s="69" customFormat="1" ht="15" customHeight="1">
      <c r="A6" s="667" t="s">
        <v>59</v>
      </c>
      <c r="B6" s="668" t="s">
        <v>371</v>
      </c>
      <c r="C6" s="668"/>
      <c r="D6" s="668"/>
      <c r="E6" s="495"/>
      <c r="F6" s="495"/>
      <c r="G6" s="495"/>
      <c r="H6" s="669" t="s">
        <v>372</v>
      </c>
      <c r="I6" s="68"/>
      <c r="J6" s="68"/>
      <c r="N6" s="597"/>
      <c r="O6" s="597"/>
      <c r="P6" s="597"/>
      <c r="Q6" s="597"/>
      <c r="R6" s="597"/>
      <c r="S6" s="597"/>
    </row>
    <row r="7" spans="1:22" s="69" customFormat="1" ht="13.5" customHeight="1">
      <c r="A7" s="667"/>
      <c r="B7" s="668"/>
      <c r="C7" s="668"/>
      <c r="D7" s="668"/>
      <c r="E7" s="495"/>
      <c r="F7" s="495"/>
      <c r="G7" s="495"/>
      <c r="H7" s="669"/>
      <c r="I7" s="68"/>
      <c r="J7" s="670" t="s">
        <v>373</v>
      </c>
      <c r="K7" s="670"/>
      <c r="L7" s="670"/>
      <c r="N7" s="597"/>
      <c r="O7" s="597"/>
      <c r="P7" s="597"/>
      <c r="Q7" s="597"/>
      <c r="R7" s="597"/>
      <c r="S7" s="597"/>
    </row>
    <row r="8" spans="1:22" s="69" customFormat="1" ht="41.4">
      <c r="A8" s="667"/>
      <c r="B8" s="217" t="s">
        <v>64</v>
      </c>
      <c r="C8" s="219" t="s">
        <v>65</v>
      </c>
      <c r="D8" s="219" t="s">
        <v>66</v>
      </c>
      <c r="E8" s="220" t="s">
        <v>375</v>
      </c>
      <c r="F8" s="221" t="s">
        <v>71</v>
      </c>
      <c r="G8" s="219" t="s">
        <v>374</v>
      </c>
      <c r="H8" s="669"/>
      <c r="I8" s="68"/>
      <c r="J8" s="220" t="s">
        <v>69</v>
      </c>
      <c r="K8" s="221" t="s">
        <v>68</v>
      </c>
      <c r="L8" s="220" t="s">
        <v>376</v>
      </c>
      <c r="N8" s="222" t="s">
        <v>377</v>
      </c>
      <c r="O8" s="21" t="s">
        <v>279</v>
      </c>
      <c r="P8" s="21" t="s">
        <v>280</v>
      </c>
      <c r="Q8" s="21" t="s">
        <v>281</v>
      </c>
      <c r="R8" s="21" t="s">
        <v>282</v>
      </c>
      <c r="S8" s="23" t="s">
        <v>283</v>
      </c>
    </row>
    <row r="9" spans="1:22" s="69" customFormat="1" ht="82.8">
      <c r="A9" s="81">
        <v>1</v>
      </c>
      <c r="B9" s="481" t="s">
        <v>379</v>
      </c>
      <c r="C9" s="82" t="s">
        <v>73</v>
      </c>
      <c r="D9" s="83" t="s">
        <v>570</v>
      </c>
      <c r="E9" s="90">
        <v>2</v>
      </c>
      <c r="F9" s="226" t="s">
        <v>380</v>
      </c>
      <c r="G9" s="223">
        <v>51.61</v>
      </c>
      <c r="H9" s="229"/>
      <c r="I9" s="68"/>
      <c r="J9" s="500">
        <f>'Ocorrências Mensais - FAT'!G26</f>
        <v>2</v>
      </c>
      <c r="K9" s="499">
        <f t="shared" ref="K9:K44" si="0">G9*J9</f>
        <v>103.22</v>
      </c>
      <c r="L9" s="39">
        <f t="shared" ref="L9:L44" si="1">IF(F9="MENSAL",1,IF(F9="BIMESTRAL",2,IF(F9="TRIMESTRAL",3,IF(F9="QUADRIMESTRAL",4,IF(F9="SEMESTRAL",6,IF(F9="ANUAL",12,IF(F9="BIENAL",24,"")))))))</f>
        <v>1</v>
      </c>
      <c r="N9" s="227">
        <v>6</v>
      </c>
      <c r="O9" s="38">
        <f>ROUND(IF(Dados!$J$56="SIM",N9*Dados!$N$56,N9),2)</f>
        <v>6</v>
      </c>
      <c r="P9" s="38">
        <f>ROUND(IF(Dados!$J$57="SIM",O9*Dados!$N$57,O9),2)</f>
        <v>6</v>
      </c>
      <c r="Q9" s="38">
        <f>ROUND(IF(Dados!$J$58="SIM",P9*Dados!$N$58,P9),2)</f>
        <v>6</v>
      </c>
      <c r="R9" s="38">
        <f>ROUND(IF(Dados!$J$59="SIM",Q9*Dados!$N$59,Q9),2)</f>
        <v>6</v>
      </c>
      <c r="S9" s="228">
        <f>ROUND(IF(Dados!$J$60="SIM",R9*Dados!$N$60,R9),2)</f>
        <v>6</v>
      </c>
    </row>
    <row r="10" spans="1:22" s="69" customFormat="1" ht="27.6">
      <c r="A10" s="81">
        <v>2</v>
      </c>
      <c r="B10" s="485" t="s">
        <v>571</v>
      </c>
      <c r="C10" s="82" t="s">
        <v>65</v>
      </c>
      <c r="D10" s="83"/>
      <c r="E10" s="90">
        <v>2</v>
      </c>
      <c r="F10" s="226" t="s">
        <v>381</v>
      </c>
      <c r="G10" s="223">
        <v>16.010000000000002</v>
      </c>
      <c r="H10" s="229"/>
      <c r="I10" s="68"/>
      <c r="J10" s="500">
        <f>'Ocorrências Mensais - FAT'!G27</f>
        <v>0.33333333333333331</v>
      </c>
      <c r="K10" s="499">
        <f t="shared" si="0"/>
        <v>5.3366666666666669</v>
      </c>
      <c r="L10" s="496">
        <f t="shared" si="1"/>
        <v>6</v>
      </c>
      <c r="N10" s="227">
        <v>3.8</v>
      </c>
      <c r="O10" s="38">
        <f>ROUND(IF(Dados!$J$56="SIM",N10*Dados!$N$56,N10),2)</f>
        <v>3.8</v>
      </c>
      <c r="P10" s="38">
        <f>ROUND(IF(Dados!$J$57="SIM",O10*Dados!$N$57,O10),2)</f>
        <v>3.8</v>
      </c>
      <c r="Q10" s="38">
        <f>ROUND(IF(Dados!$J$58="SIM",P10*Dados!$N$58,P10),2)</f>
        <v>3.8</v>
      </c>
      <c r="R10" s="38">
        <f>ROUND(IF(Dados!$J$59="SIM",Q10*Dados!$N$59,Q10),2)</f>
        <v>3.8</v>
      </c>
      <c r="S10" s="228">
        <f>ROUND(IF(Dados!$J$60="SIM",R10*Dados!$N$60,R10),2)</f>
        <v>3.8</v>
      </c>
    </row>
    <row r="11" spans="1:22" s="69" customFormat="1" ht="13.8">
      <c r="A11" s="81">
        <v>3</v>
      </c>
      <c r="B11" s="481" t="s">
        <v>572</v>
      </c>
      <c r="C11" s="82" t="s">
        <v>65</v>
      </c>
      <c r="D11" s="83"/>
      <c r="E11" s="90">
        <v>1</v>
      </c>
      <c r="F11" s="226" t="s">
        <v>387</v>
      </c>
      <c r="G11" s="223">
        <v>95.21</v>
      </c>
      <c r="H11" s="229"/>
      <c r="I11" s="68"/>
      <c r="J11" s="500">
        <f>'Ocorrências Mensais - FAT'!G28</f>
        <v>8.3333333333333329E-2</v>
      </c>
      <c r="K11" s="499">
        <f t="shared" si="0"/>
        <v>7.9341666666666661</v>
      </c>
      <c r="L11" s="496">
        <f t="shared" si="1"/>
        <v>12</v>
      </c>
      <c r="N11" s="227">
        <v>4.1399999999999997</v>
      </c>
      <c r="O11" s="38">
        <f>ROUND(IF(Dados!$J$56="SIM",N11*Dados!$N$56,N11),2)</f>
        <v>4.1399999999999997</v>
      </c>
      <c r="P11" s="38">
        <f>ROUND(IF(Dados!$J$57="SIM",O11*Dados!$N$57,O11),2)</f>
        <v>4.1399999999999997</v>
      </c>
      <c r="Q11" s="38">
        <f>ROUND(IF(Dados!$J$58="SIM",P11*Dados!$N$58,P11),2)</f>
        <v>4.1399999999999997</v>
      </c>
      <c r="R11" s="38">
        <f>ROUND(IF(Dados!$J$59="SIM",Q11*Dados!$N$59,Q11),2)</f>
        <v>4.1399999999999997</v>
      </c>
      <c r="S11" s="228">
        <f>ROUND(IF(Dados!$J$60="SIM",R11*Dados!$N$60,R11),2)</f>
        <v>4.1399999999999997</v>
      </c>
    </row>
    <row r="12" spans="1:22" s="69" customFormat="1" ht="13.8">
      <c r="A12" s="81">
        <v>4</v>
      </c>
      <c r="B12" s="484" t="s">
        <v>573</v>
      </c>
      <c r="C12" s="82" t="s">
        <v>65</v>
      </c>
      <c r="D12" s="83" t="s">
        <v>574</v>
      </c>
      <c r="E12" s="90">
        <v>2</v>
      </c>
      <c r="F12" s="226" t="s">
        <v>378</v>
      </c>
      <c r="G12" s="223">
        <v>22.07</v>
      </c>
      <c r="H12" s="229"/>
      <c r="I12" s="68"/>
      <c r="J12" s="500">
        <f>'Ocorrências Mensais - FAT'!G29</f>
        <v>1</v>
      </c>
      <c r="K12" s="499">
        <f t="shared" si="0"/>
        <v>22.07</v>
      </c>
      <c r="L12" s="496">
        <f t="shared" si="1"/>
        <v>2</v>
      </c>
      <c r="N12" s="227"/>
      <c r="O12" s="38"/>
      <c r="P12" s="38"/>
      <c r="Q12" s="38"/>
      <c r="R12" s="38"/>
      <c r="S12" s="228"/>
    </row>
    <row r="13" spans="1:22" s="69" customFormat="1" ht="27.6">
      <c r="A13" s="81">
        <v>5</v>
      </c>
      <c r="B13" s="481" t="s">
        <v>382</v>
      </c>
      <c r="C13" s="82" t="s">
        <v>65</v>
      </c>
      <c r="D13" s="83" t="s">
        <v>575</v>
      </c>
      <c r="E13" s="90">
        <v>1</v>
      </c>
      <c r="F13" s="226" t="s">
        <v>387</v>
      </c>
      <c r="G13" s="223">
        <v>9.7200000000000006</v>
      </c>
      <c r="H13" s="229"/>
      <c r="I13" s="68"/>
      <c r="J13" s="500">
        <f>'Ocorrências Mensais - FAT'!G30</f>
        <v>8.3333333333333329E-2</v>
      </c>
      <c r="K13" s="499">
        <f t="shared" si="0"/>
        <v>0.81</v>
      </c>
      <c r="L13" s="496">
        <f t="shared" si="1"/>
        <v>12</v>
      </c>
      <c r="N13" s="227">
        <v>1.4</v>
      </c>
      <c r="O13" s="38">
        <f>ROUND(IF(Dados!$J$56="SIM",N13*Dados!$N$56,N13),2)</f>
        <v>1.4</v>
      </c>
      <c r="P13" s="38">
        <f>ROUND(IF(Dados!$J$57="SIM",O13*Dados!$N$57,O13),2)</f>
        <v>1.4</v>
      </c>
      <c r="Q13" s="38">
        <f>ROUND(IF(Dados!$J$58="SIM",P13*Dados!$N$58,P13),2)</f>
        <v>1.4</v>
      </c>
      <c r="R13" s="38">
        <f>ROUND(IF(Dados!$J$59="SIM",Q13*Dados!$N$59,Q13),2)</f>
        <v>1.4</v>
      </c>
      <c r="S13" s="228">
        <f>ROUND(IF(Dados!$J$60="SIM",R13*Dados!$N$60,R13),2)</f>
        <v>1.4</v>
      </c>
    </row>
    <row r="14" spans="1:22" s="69" customFormat="1" ht="41.4">
      <c r="A14" s="81">
        <v>6</v>
      </c>
      <c r="B14" s="481" t="s">
        <v>383</v>
      </c>
      <c r="C14" s="82" t="s">
        <v>65</v>
      </c>
      <c r="D14" s="83" t="s">
        <v>576</v>
      </c>
      <c r="E14" s="90">
        <v>1</v>
      </c>
      <c r="F14" s="226" t="s">
        <v>387</v>
      </c>
      <c r="G14" s="223">
        <v>14.67</v>
      </c>
      <c r="H14" s="230"/>
      <c r="I14" s="68"/>
      <c r="J14" s="500">
        <f>'Ocorrências Mensais - FAT'!G31</f>
        <v>8.3333333333333329E-2</v>
      </c>
      <c r="K14" s="499">
        <f t="shared" si="0"/>
        <v>1.2224999999999999</v>
      </c>
      <c r="L14" s="496">
        <f t="shared" si="1"/>
        <v>12</v>
      </c>
      <c r="N14" s="227">
        <v>3.2</v>
      </c>
      <c r="O14" s="38">
        <f>ROUND(IF(Dados!$J$56="SIM",N14*Dados!$N$56,N14),2)</f>
        <v>3.2</v>
      </c>
      <c r="P14" s="38">
        <f>ROUND(IF(Dados!$J$57="SIM",O14*Dados!$N$57,O14),2)</f>
        <v>3.2</v>
      </c>
      <c r="Q14" s="38">
        <f>ROUND(IF(Dados!$J$58="SIM",P14*Dados!$N$58,P14),2)</f>
        <v>3.2</v>
      </c>
      <c r="R14" s="38">
        <f>ROUND(IF(Dados!$J$59="SIM",Q14*Dados!$N$59,Q14),2)</f>
        <v>3.2</v>
      </c>
      <c r="S14" s="228">
        <f>ROUND(IF(Dados!$J$60="SIM",R14*Dados!$N$60,R14),2)</f>
        <v>3.2</v>
      </c>
    </row>
    <row r="15" spans="1:22" s="69" customFormat="1" ht="13.8">
      <c r="A15" s="84">
        <v>7</v>
      </c>
      <c r="B15" s="485" t="s">
        <v>577</v>
      </c>
      <c r="C15" s="82" t="s">
        <v>73</v>
      </c>
      <c r="D15" s="83" t="s">
        <v>578</v>
      </c>
      <c r="E15" s="90">
        <v>2</v>
      </c>
      <c r="F15" s="226" t="s">
        <v>380</v>
      </c>
      <c r="G15" s="223">
        <v>35.270000000000003</v>
      </c>
      <c r="H15" s="230"/>
      <c r="I15" s="68"/>
      <c r="J15" s="500">
        <f>'Ocorrências Mensais - FAT'!G32</f>
        <v>2</v>
      </c>
      <c r="K15" s="499">
        <f t="shared" si="0"/>
        <v>70.540000000000006</v>
      </c>
      <c r="L15" s="496">
        <f t="shared" si="1"/>
        <v>1</v>
      </c>
      <c r="N15" s="227">
        <v>4</v>
      </c>
      <c r="O15" s="38">
        <f>ROUND(IF(Dados!$J$56="SIM",N15*Dados!$N$56,N15),2)</f>
        <v>4</v>
      </c>
      <c r="P15" s="38">
        <f>ROUND(IF(Dados!$J$57="SIM",O15*Dados!$N$57,O15),2)</f>
        <v>4</v>
      </c>
      <c r="Q15" s="38">
        <f>ROUND(IF(Dados!$J$58="SIM",P15*Dados!$N$58,P15),2)</f>
        <v>4</v>
      </c>
      <c r="R15" s="38">
        <f>ROUND(IF(Dados!$J$59="SIM",Q15*Dados!$N$59,Q15),2)</f>
        <v>4</v>
      </c>
      <c r="S15" s="228">
        <f>ROUND(IF(Dados!$J$60="SIM",R15*Dados!$N$60,R15),2)</f>
        <v>4</v>
      </c>
    </row>
    <row r="16" spans="1:22" s="69" customFormat="1" ht="13.8">
      <c r="A16" s="84">
        <v>8</v>
      </c>
      <c r="B16" s="485" t="s">
        <v>579</v>
      </c>
      <c r="C16" s="82" t="s">
        <v>65</v>
      </c>
      <c r="D16" s="83" t="s">
        <v>580</v>
      </c>
      <c r="E16" s="90">
        <v>15</v>
      </c>
      <c r="F16" s="226" t="s">
        <v>380</v>
      </c>
      <c r="G16" s="223">
        <v>3.52</v>
      </c>
      <c r="H16" s="230"/>
      <c r="I16" s="68"/>
      <c r="J16" s="500">
        <f>'Ocorrências Mensais - FAT'!G33</f>
        <v>15</v>
      </c>
      <c r="K16" s="499">
        <f t="shared" si="0"/>
        <v>52.8</v>
      </c>
      <c r="L16" s="496">
        <f t="shared" si="1"/>
        <v>1</v>
      </c>
      <c r="N16" s="227"/>
      <c r="O16" s="38"/>
      <c r="P16" s="38"/>
      <c r="Q16" s="38"/>
      <c r="R16" s="38"/>
      <c r="S16" s="228"/>
    </row>
    <row r="17" spans="1:19" s="69" customFormat="1" ht="55.2">
      <c r="A17" s="81">
        <v>9</v>
      </c>
      <c r="B17" s="481" t="s">
        <v>384</v>
      </c>
      <c r="C17" s="82" t="s">
        <v>65</v>
      </c>
      <c r="D17" s="83" t="s">
        <v>581</v>
      </c>
      <c r="E17" s="90">
        <v>7</v>
      </c>
      <c r="F17" s="226" t="s">
        <v>380</v>
      </c>
      <c r="G17" s="223">
        <v>4.62</v>
      </c>
      <c r="H17" s="229"/>
      <c r="I17" s="68"/>
      <c r="J17" s="500">
        <f>'Ocorrências Mensais - FAT'!G34</f>
        <v>7</v>
      </c>
      <c r="K17" s="499">
        <f t="shared" si="0"/>
        <v>32.340000000000003</v>
      </c>
      <c r="L17" s="496">
        <f t="shared" si="1"/>
        <v>1</v>
      </c>
      <c r="N17" s="227">
        <v>1.2</v>
      </c>
      <c r="O17" s="38">
        <f>ROUND(IF(Dados!$J$56="SIM",N17*Dados!$N$56,N17),2)</f>
        <v>1.2</v>
      </c>
      <c r="P17" s="38">
        <f>ROUND(IF(Dados!$J$57="SIM",O17*Dados!$N$57,O17),2)</f>
        <v>1.2</v>
      </c>
      <c r="Q17" s="38">
        <f>ROUND(IF(Dados!$J$58="SIM",P17*Dados!$N$58,P17),2)</f>
        <v>1.2</v>
      </c>
      <c r="R17" s="38">
        <f>ROUND(IF(Dados!$J$59="SIM",Q17*Dados!$N$59,Q17),2)</f>
        <v>1.2</v>
      </c>
      <c r="S17" s="228">
        <f>ROUND(IF(Dados!$J$60="SIM",R17*Dados!$N$60,R17),2)</f>
        <v>1.2</v>
      </c>
    </row>
    <row r="18" spans="1:19" s="69" customFormat="1" ht="27.6">
      <c r="A18" s="81">
        <v>10</v>
      </c>
      <c r="B18" s="481" t="s">
        <v>385</v>
      </c>
      <c r="C18" s="82" t="s">
        <v>65</v>
      </c>
      <c r="D18" s="83" t="s">
        <v>582</v>
      </c>
      <c r="E18" s="90">
        <v>1</v>
      </c>
      <c r="F18" s="226" t="s">
        <v>381</v>
      </c>
      <c r="G18" s="223">
        <v>3.12</v>
      </c>
      <c r="H18" s="229"/>
      <c r="I18" s="68"/>
      <c r="J18" s="500">
        <f>'Ocorrências Mensais - FAT'!G35</f>
        <v>0.16666666666666666</v>
      </c>
      <c r="K18" s="499">
        <f t="shared" si="0"/>
        <v>0.52</v>
      </c>
      <c r="L18" s="496">
        <f t="shared" si="1"/>
        <v>6</v>
      </c>
      <c r="N18" s="227">
        <v>1.3</v>
      </c>
      <c r="O18" s="38">
        <f>ROUND(IF(Dados!$J$56="SIM",N18*Dados!$N$56,N18),2)</f>
        <v>1.3</v>
      </c>
      <c r="P18" s="38">
        <f>ROUND(IF(Dados!$J$57="SIM",O18*Dados!$N$57,O18),2)</f>
        <v>1.3</v>
      </c>
      <c r="Q18" s="38">
        <f>ROUND(IF(Dados!$J$58="SIM",P18*Dados!$N$58,P18),2)</f>
        <v>1.3</v>
      </c>
      <c r="R18" s="38">
        <f>ROUND(IF(Dados!$J$59="SIM",Q18*Dados!$N$59,Q18),2)</f>
        <v>1.3</v>
      </c>
      <c r="S18" s="228">
        <f>ROUND(IF(Dados!$J$60="SIM",R18*Dados!$N$60,R18),2)</f>
        <v>1.3</v>
      </c>
    </row>
    <row r="19" spans="1:19" s="69" customFormat="1" ht="13.8">
      <c r="A19" s="84">
        <v>11</v>
      </c>
      <c r="B19" s="481" t="s">
        <v>583</v>
      </c>
      <c r="C19" s="82" t="s">
        <v>65</v>
      </c>
      <c r="D19" s="83" t="s">
        <v>584</v>
      </c>
      <c r="E19" s="90">
        <v>6</v>
      </c>
      <c r="F19" s="226" t="s">
        <v>393</v>
      </c>
      <c r="G19" s="223">
        <v>16.43</v>
      </c>
      <c r="H19" s="229"/>
      <c r="I19" s="68"/>
      <c r="J19" s="500">
        <f>'Ocorrências Mensais - FAT'!G36</f>
        <v>2</v>
      </c>
      <c r="K19" s="499">
        <f t="shared" si="0"/>
        <v>32.86</v>
      </c>
      <c r="L19" s="496">
        <f t="shared" si="1"/>
        <v>3</v>
      </c>
      <c r="N19" s="227">
        <v>1.48</v>
      </c>
      <c r="O19" s="38">
        <f>ROUND(IF(Dados!$J$56="SIM",N19*Dados!$N$56,N19),2)</f>
        <v>1.48</v>
      </c>
      <c r="P19" s="38">
        <f>ROUND(IF(Dados!$J$57="SIM",O19*Dados!$N$57,O19),2)</f>
        <v>1.48</v>
      </c>
      <c r="Q19" s="38">
        <f>ROUND(IF(Dados!$J$58="SIM",P19*Dados!$N$58,P19),2)</f>
        <v>1.48</v>
      </c>
      <c r="R19" s="38">
        <f>ROUND(IF(Dados!$J$59="SIM",Q19*Dados!$N$59,Q19),2)</f>
        <v>1.48</v>
      </c>
      <c r="S19" s="228">
        <f>ROUND(IF(Dados!$J$60="SIM",R19*Dados!$N$60,R19),2)</f>
        <v>1.48</v>
      </c>
    </row>
    <row r="20" spans="1:19" s="69" customFormat="1" ht="69">
      <c r="A20" s="81">
        <v>12</v>
      </c>
      <c r="B20" s="485" t="s">
        <v>585</v>
      </c>
      <c r="C20" s="82" t="s">
        <v>586</v>
      </c>
      <c r="D20" s="83" t="s">
        <v>587</v>
      </c>
      <c r="E20" s="90">
        <v>1</v>
      </c>
      <c r="F20" s="226" t="s">
        <v>380</v>
      </c>
      <c r="G20" s="223">
        <v>4.6399999999999997</v>
      </c>
      <c r="H20" s="229"/>
      <c r="I20" s="68"/>
      <c r="J20" s="500">
        <f>'Ocorrências Mensais - FAT'!G37</f>
        <v>1</v>
      </c>
      <c r="K20" s="499">
        <f t="shared" si="0"/>
        <v>4.6399999999999997</v>
      </c>
      <c r="L20" s="496">
        <f t="shared" si="1"/>
        <v>1</v>
      </c>
      <c r="N20" s="227">
        <v>1</v>
      </c>
      <c r="O20" s="38">
        <f>ROUND(IF(Dados!$J$56="SIM",N20*Dados!$N$56,N20),2)</f>
        <v>1</v>
      </c>
      <c r="P20" s="38">
        <f>ROUND(IF(Dados!$J$57="SIM",O20*Dados!$N$57,O20),2)</f>
        <v>1</v>
      </c>
      <c r="Q20" s="38">
        <f>ROUND(IF(Dados!$J$58="SIM",P20*Dados!$N$58,P20),2)</f>
        <v>1</v>
      </c>
      <c r="R20" s="38">
        <f>ROUND(IF(Dados!$J$59="SIM",Q20*Dados!$N$59,Q20),2)</f>
        <v>1</v>
      </c>
      <c r="S20" s="228">
        <f>ROUND(IF(Dados!$J$60="SIM",R20*Dados!$N$60,R20),2)</f>
        <v>1</v>
      </c>
    </row>
    <row r="21" spans="1:19" s="69" customFormat="1" ht="41.4">
      <c r="A21" s="81">
        <v>13</v>
      </c>
      <c r="B21" s="481" t="s">
        <v>386</v>
      </c>
      <c r="C21" s="82" t="s">
        <v>586</v>
      </c>
      <c r="D21" s="83" t="s">
        <v>588</v>
      </c>
      <c r="E21" s="90">
        <v>2</v>
      </c>
      <c r="F21" s="226" t="s">
        <v>393</v>
      </c>
      <c r="G21" s="223">
        <v>2.83</v>
      </c>
      <c r="H21" s="229"/>
      <c r="I21" s="68"/>
      <c r="J21" s="500">
        <f>'Ocorrências Mensais - FAT'!G38</f>
        <v>0.66666666666666663</v>
      </c>
      <c r="K21" s="499">
        <f t="shared" si="0"/>
        <v>1.8866666666666667</v>
      </c>
      <c r="L21" s="496">
        <f t="shared" si="1"/>
        <v>3</v>
      </c>
      <c r="N21" s="227">
        <v>1.4</v>
      </c>
      <c r="O21" s="38">
        <f>ROUND(IF(Dados!$J$56="SIM",N21*Dados!$N$56,N21),2)</f>
        <v>1.4</v>
      </c>
      <c r="P21" s="38">
        <f>ROUND(IF(Dados!$J$57="SIM",O21*Dados!$N$57,O21),2)</f>
        <v>1.4</v>
      </c>
      <c r="Q21" s="38">
        <f>ROUND(IF(Dados!$J$58="SIM",P21*Dados!$N$58,P21),2)</f>
        <v>1.4</v>
      </c>
      <c r="R21" s="38">
        <f>ROUND(IF(Dados!$J$59="SIM",Q21*Dados!$N$59,Q21),2)</f>
        <v>1.4</v>
      </c>
      <c r="S21" s="228">
        <f>ROUND(IF(Dados!$J$60="SIM",R21*Dados!$N$60,R21),2)</f>
        <v>1.4</v>
      </c>
    </row>
    <row r="22" spans="1:19" s="69" customFormat="1" ht="13.8">
      <c r="A22" s="81">
        <v>14</v>
      </c>
      <c r="B22" s="481" t="s">
        <v>589</v>
      </c>
      <c r="C22" s="82" t="s">
        <v>65</v>
      </c>
      <c r="D22" s="83" t="s">
        <v>590</v>
      </c>
      <c r="E22" s="90">
        <v>1</v>
      </c>
      <c r="F22" s="226" t="s">
        <v>381</v>
      </c>
      <c r="G22" s="223">
        <v>2.84</v>
      </c>
      <c r="H22" s="229"/>
      <c r="I22" s="68"/>
      <c r="J22" s="500">
        <f>'Ocorrências Mensais - FAT'!G39</f>
        <v>0.16666666666666666</v>
      </c>
      <c r="K22" s="499">
        <f t="shared" si="0"/>
        <v>0.47333333333333327</v>
      </c>
      <c r="L22" s="496">
        <f t="shared" si="1"/>
        <v>6</v>
      </c>
      <c r="N22" s="227">
        <v>9.1</v>
      </c>
      <c r="O22" s="38">
        <f>ROUND(IF(Dados!$J$56="SIM",N22*Dados!$N$56,N22),2)</f>
        <v>9.1</v>
      </c>
      <c r="P22" s="38">
        <f>ROUND(IF(Dados!$J$57="SIM",O22*Dados!$N$57,O22),2)</f>
        <v>9.1</v>
      </c>
      <c r="Q22" s="38">
        <f>ROUND(IF(Dados!$J$58="SIM",P22*Dados!$N$58,P22),2)</f>
        <v>9.1</v>
      </c>
      <c r="R22" s="38">
        <f>ROUND(IF(Dados!$J$59="SIM",Q22*Dados!$N$59,Q22),2)</f>
        <v>9.1</v>
      </c>
      <c r="S22" s="228">
        <f>ROUND(IF(Dados!$J$60="SIM",R22*Dados!$N$60,R22),2)</f>
        <v>9.1</v>
      </c>
    </row>
    <row r="23" spans="1:19" s="69" customFormat="1" ht="13.8">
      <c r="A23" s="81">
        <v>15</v>
      </c>
      <c r="B23" s="481" t="s">
        <v>591</v>
      </c>
      <c r="C23" s="82" t="s">
        <v>65</v>
      </c>
      <c r="D23" s="83" t="s">
        <v>592</v>
      </c>
      <c r="E23" s="90">
        <v>3</v>
      </c>
      <c r="F23" s="226" t="s">
        <v>380</v>
      </c>
      <c r="G23" s="223">
        <v>6.72</v>
      </c>
      <c r="H23" s="229"/>
      <c r="I23" s="68"/>
      <c r="J23" s="500">
        <f>'Ocorrências Mensais - FAT'!G40</f>
        <v>3</v>
      </c>
      <c r="K23" s="499">
        <f t="shared" si="0"/>
        <v>20.16</v>
      </c>
      <c r="L23" s="496">
        <f t="shared" si="1"/>
        <v>1</v>
      </c>
      <c r="N23" s="227">
        <v>1</v>
      </c>
      <c r="O23" s="38">
        <f>ROUND(IF(Dados!$J$56="SIM",N23*Dados!$N$56,N23),2)</f>
        <v>1</v>
      </c>
      <c r="P23" s="38">
        <f>ROUND(IF(Dados!$J$57="SIM",O23*Dados!$N$57,O23),2)</f>
        <v>1</v>
      </c>
      <c r="Q23" s="38">
        <f>ROUND(IF(Dados!$J$58="SIM",P23*Dados!$N$58,P23),2)</f>
        <v>1</v>
      </c>
      <c r="R23" s="38">
        <f>ROUND(IF(Dados!$J$59="SIM",Q23*Dados!$N$59,Q23),2)</f>
        <v>1</v>
      </c>
      <c r="S23" s="228">
        <f>ROUND(IF(Dados!$J$60="SIM",R23*Dados!$N$60,R23),2)</f>
        <v>1</v>
      </c>
    </row>
    <row r="24" spans="1:19" s="69" customFormat="1" ht="13.8">
      <c r="A24" s="81">
        <v>16</v>
      </c>
      <c r="B24" s="481" t="s">
        <v>593</v>
      </c>
      <c r="C24" s="82" t="s">
        <v>65</v>
      </c>
      <c r="D24" s="83" t="s">
        <v>594</v>
      </c>
      <c r="E24" s="90">
        <v>5</v>
      </c>
      <c r="F24" s="226" t="s">
        <v>380</v>
      </c>
      <c r="G24" s="223">
        <v>14.16</v>
      </c>
      <c r="H24" s="229"/>
      <c r="I24" s="68"/>
      <c r="J24" s="500">
        <f>'Ocorrências Mensais - FAT'!G41</f>
        <v>5</v>
      </c>
      <c r="K24" s="499">
        <f t="shared" si="0"/>
        <v>70.8</v>
      </c>
      <c r="L24" s="496">
        <f t="shared" si="1"/>
        <v>1</v>
      </c>
      <c r="N24" s="227">
        <v>1.59</v>
      </c>
      <c r="O24" s="38">
        <f>ROUND(IF(Dados!$J$56="SIM",N24*Dados!$N$56,N24),2)</f>
        <v>1.59</v>
      </c>
      <c r="P24" s="38">
        <f>ROUND(IF(Dados!$J$57="SIM",O24*Dados!$N$57,O24),2)</f>
        <v>1.59</v>
      </c>
      <c r="Q24" s="38">
        <f>ROUND(IF(Dados!$J$58="SIM",P24*Dados!$N$58,P24),2)</f>
        <v>1.59</v>
      </c>
      <c r="R24" s="38">
        <f>ROUND(IF(Dados!$J$59="SIM",Q24*Dados!$N$59,Q24),2)</f>
        <v>1.59</v>
      </c>
      <c r="S24" s="228">
        <f>ROUND(IF(Dados!$J$60="SIM",R24*Dados!$N$60,R24),2)</f>
        <v>1.59</v>
      </c>
    </row>
    <row r="25" spans="1:19" s="69" customFormat="1" ht="13.8">
      <c r="A25" s="81">
        <v>17</v>
      </c>
      <c r="B25" s="481" t="s">
        <v>595</v>
      </c>
      <c r="C25" s="82" t="s">
        <v>65</v>
      </c>
      <c r="D25" s="83"/>
      <c r="E25" s="90">
        <v>1</v>
      </c>
      <c r="F25" s="226" t="s">
        <v>387</v>
      </c>
      <c r="G25" s="223">
        <v>224.33</v>
      </c>
      <c r="H25" s="230"/>
      <c r="I25" s="68"/>
      <c r="J25" s="500">
        <f>'Ocorrências Mensais - FAT'!G42</f>
        <v>8.3333333333333329E-2</v>
      </c>
      <c r="K25" s="499">
        <f t="shared" si="0"/>
        <v>18.694166666666668</v>
      </c>
      <c r="L25" s="496">
        <f t="shared" si="1"/>
        <v>12</v>
      </c>
      <c r="N25" s="227">
        <v>10.9</v>
      </c>
      <c r="O25" s="38">
        <f>ROUND(IF(Dados!$J$56="SIM",N25*Dados!$N$56,N25),2)</f>
        <v>10.9</v>
      </c>
      <c r="P25" s="38">
        <f>ROUND(IF(Dados!$J$57="SIM",O25*Dados!$N$57,O25),2)</f>
        <v>10.9</v>
      </c>
      <c r="Q25" s="38">
        <f>ROUND(IF(Dados!$J$58="SIM",P25*Dados!$N$58,P25),2)</f>
        <v>10.9</v>
      </c>
      <c r="R25" s="38">
        <f>ROUND(IF(Dados!$J$59="SIM",Q25*Dados!$N$59,Q25),2)</f>
        <v>10.9</v>
      </c>
      <c r="S25" s="228">
        <f>ROUND(IF(Dados!$J$60="SIM",R25*Dados!$N$60,R25),2)</f>
        <v>10.9</v>
      </c>
    </row>
    <row r="26" spans="1:19" s="69" customFormat="1" ht="13.8">
      <c r="A26" s="81">
        <v>18</v>
      </c>
      <c r="B26" s="481" t="s">
        <v>596</v>
      </c>
      <c r="C26" s="82" t="s">
        <v>65</v>
      </c>
      <c r="D26" s="83" t="s">
        <v>597</v>
      </c>
      <c r="E26" s="90">
        <v>8</v>
      </c>
      <c r="F26" s="226" t="s">
        <v>380</v>
      </c>
      <c r="G26" s="223">
        <v>6.3</v>
      </c>
      <c r="H26" s="230"/>
      <c r="I26" s="68"/>
      <c r="J26" s="500">
        <f>'Ocorrências Mensais - FAT'!G43</f>
        <v>8</v>
      </c>
      <c r="K26" s="499">
        <f t="shared" si="0"/>
        <v>50.4</v>
      </c>
      <c r="L26" s="496">
        <f t="shared" si="1"/>
        <v>1</v>
      </c>
      <c r="N26" s="227">
        <v>3</v>
      </c>
      <c r="O26" s="38">
        <f>ROUND(IF(Dados!$J$56="SIM",N26*Dados!$N$56,N26),2)</f>
        <v>3</v>
      </c>
      <c r="P26" s="38">
        <f>ROUND(IF(Dados!$J$57="SIM",O26*Dados!$N$57,O26),2)</f>
        <v>3</v>
      </c>
      <c r="Q26" s="38">
        <f>ROUND(IF(Dados!$J$58="SIM",P26*Dados!$N$58,P26),2)</f>
        <v>3</v>
      </c>
      <c r="R26" s="38">
        <f>ROUND(IF(Dados!$J$59="SIM",Q26*Dados!$N$59,Q26),2)</f>
        <v>3</v>
      </c>
      <c r="S26" s="228">
        <f>ROUND(IF(Dados!$J$60="SIM",R26*Dados!$N$60,R26),2)</f>
        <v>3</v>
      </c>
    </row>
    <row r="27" spans="1:19" s="69" customFormat="1" ht="13.8">
      <c r="A27" s="81">
        <v>19</v>
      </c>
      <c r="B27" s="481" t="s">
        <v>598</v>
      </c>
      <c r="C27" s="82" t="s">
        <v>65</v>
      </c>
      <c r="D27" s="83" t="s">
        <v>599</v>
      </c>
      <c r="E27" s="90">
        <v>1</v>
      </c>
      <c r="F27" s="226" t="s">
        <v>381</v>
      </c>
      <c r="G27" s="223">
        <v>11.67</v>
      </c>
      <c r="H27" s="230"/>
      <c r="I27" s="68"/>
      <c r="J27" s="500">
        <f>'Ocorrências Mensais - FAT'!G44</f>
        <v>0.16666666666666666</v>
      </c>
      <c r="K27" s="499">
        <f t="shared" si="0"/>
        <v>1.9449999999999998</v>
      </c>
      <c r="L27" s="496">
        <f t="shared" si="1"/>
        <v>6</v>
      </c>
      <c r="N27" s="227">
        <v>1</v>
      </c>
      <c r="O27" s="38">
        <f>ROUND(IF(Dados!$J$56="SIM",N27*Dados!$N$56,N27),2)</f>
        <v>1</v>
      </c>
      <c r="P27" s="38">
        <f>ROUND(IF(Dados!$J$57="SIM",O27*Dados!$N$57,O27),2)</f>
        <v>1</v>
      </c>
      <c r="Q27" s="38">
        <f>ROUND(IF(Dados!$J$58="SIM",P27*Dados!$N$58,P27),2)</f>
        <v>1</v>
      </c>
      <c r="R27" s="38">
        <f>ROUND(IF(Dados!$J$59="SIM",Q27*Dados!$N$59,Q27),2)</f>
        <v>1</v>
      </c>
      <c r="S27" s="228">
        <f>ROUND(IF(Dados!$J$60="SIM",R27*Dados!$N$60,R27),2)</f>
        <v>1</v>
      </c>
    </row>
    <row r="28" spans="1:19" s="69" customFormat="1" ht="13.8">
      <c r="A28" s="81">
        <v>20</v>
      </c>
      <c r="B28" s="481" t="s">
        <v>600</v>
      </c>
      <c r="C28" s="82" t="s">
        <v>65</v>
      </c>
      <c r="D28" s="83" t="s">
        <v>601</v>
      </c>
      <c r="E28" s="90">
        <v>5</v>
      </c>
      <c r="F28" s="226" t="s">
        <v>380</v>
      </c>
      <c r="G28" s="223">
        <v>4.13</v>
      </c>
      <c r="H28" s="229"/>
      <c r="I28" s="68"/>
      <c r="J28" s="500">
        <f>'Ocorrências Mensais - FAT'!G45</f>
        <v>5</v>
      </c>
      <c r="K28" s="499">
        <f t="shared" si="0"/>
        <v>20.65</v>
      </c>
      <c r="L28" s="496">
        <f t="shared" si="1"/>
        <v>1</v>
      </c>
      <c r="N28" s="227">
        <v>2</v>
      </c>
      <c r="O28" s="38">
        <f>ROUND(IF(Dados!$J$56="SIM",N28*Dados!$N$56,N28),2)</f>
        <v>2</v>
      </c>
      <c r="P28" s="38">
        <f>ROUND(IF(Dados!$J$57="SIM",O28*Dados!$N$57,O28),2)</f>
        <v>2</v>
      </c>
      <c r="Q28" s="38">
        <f>ROUND(IF(Dados!$J$58="SIM",P28*Dados!$N$58,P28),2)</f>
        <v>2</v>
      </c>
      <c r="R28" s="38">
        <f>ROUND(IF(Dados!$J$59="SIM",Q28*Dados!$N$59,Q28),2)</f>
        <v>2</v>
      </c>
      <c r="S28" s="228">
        <f>ROUND(IF(Dados!$J$60="SIM",R28*Dados!$N$60,R28),2)</f>
        <v>2</v>
      </c>
    </row>
    <row r="29" spans="1:19" s="69" customFormat="1" ht="27.6">
      <c r="A29" s="81">
        <v>21</v>
      </c>
      <c r="B29" s="485" t="s">
        <v>602</v>
      </c>
      <c r="C29" s="82" t="s">
        <v>388</v>
      </c>
      <c r="D29" s="83" t="s">
        <v>603</v>
      </c>
      <c r="E29" s="90">
        <v>2</v>
      </c>
      <c r="F29" s="226" t="s">
        <v>380</v>
      </c>
      <c r="G29" s="223">
        <v>76.72</v>
      </c>
      <c r="H29" s="229"/>
      <c r="I29" s="68"/>
      <c r="J29" s="500">
        <f>'Ocorrências Mensais - FAT'!G46</f>
        <v>2</v>
      </c>
      <c r="K29" s="499">
        <f t="shared" si="0"/>
        <v>153.44</v>
      </c>
      <c r="L29" s="496">
        <f t="shared" si="1"/>
        <v>1</v>
      </c>
      <c r="N29" s="227">
        <v>20</v>
      </c>
      <c r="O29" s="38">
        <f>ROUND(IF(Dados!$J$56="SIM",N29*Dados!$N$56,N29),2)</f>
        <v>20</v>
      </c>
      <c r="P29" s="38">
        <f>ROUND(IF(Dados!$J$57="SIM",O29*Dados!$N$57,O29),2)</f>
        <v>20</v>
      </c>
      <c r="Q29" s="38">
        <f>ROUND(IF(Dados!$J$58="SIM",P29*Dados!$N$58,P29),2)</f>
        <v>20</v>
      </c>
      <c r="R29" s="38">
        <f>ROUND(IF(Dados!$J$59="SIM",Q29*Dados!$N$59,Q29),2)</f>
        <v>20</v>
      </c>
      <c r="S29" s="228">
        <f>ROUND(IF(Dados!$J$60="SIM",R29*Dados!$N$60,R29),2)</f>
        <v>20</v>
      </c>
    </row>
    <row r="30" spans="1:19" s="69" customFormat="1" ht="55.2">
      <c r="A30" s="81">
        <v>22</v>
      </c>
      <c r="B30" s="481" t="s">
        <v>389</v>
      </c>
      <c r="C30" s="82" t="s">
        <v>604</v>
      </c>
      <c r="D30" s="83" t="s">
        <v>605</v>
      </c>
      <c r="E30" s="90">
        <v>26</v>
      </c>
      <c r="F30" s="226" t="s">
        <v>380</v>
      </c>
      <c r="G30" s="223">
        <v>25.26</v>
      </c>
      <c r="H30" s="230"/>
      <c r="I30" s="68"/>
      <c r="J30" s="500">
        <f>'Ocorrências Mensais - FAT'!G47</f>
        <v>26</v>
      </c>
      <c r="K30" s="499">
        <f t="shared" si="0"/>
        <v>656.76</v>
      </c>
      <c r="L30" s="496">
        <f t="shared" si="1"/>
        <v>1</v>
      </c>
      <c r="N30" s="227">
        <v>6.3</v>
      </c>
      <c r="O30" s="38">
        <f>ROUND(IF(Dados!$J$56="SIM",N30*Dados!$N$56,N30),2)</f>
        <v>6.3</v>
      </c>
      <c r="P30" s="38">
        <f>ROUND(IF(Dados!$J$57="SIM",O30*Dados!$N$57,O30),2)</f>
        <v>6.3</v>
      </c>
      <c r="Q30" s="38">
        <f>ROUND(IF(Dados!$J$58="SIM",P30*Dados!$N$58,P30),2)</f>
        <v>6.3</v>
      </c>
      <c r="R30" s="38">
        <f>ROUND(IF(Dados!$J$59="SIM",Q30*Dados!$N$59,Q30),2)</f>
        <v>6.3</v>
      </c>
      <c r="S30" s="228">
        <f>ROUND(IF(Dados!$J$60="SIM",R30*Dados!$N$60,R30),2)</f>
        <v>6.3</v>
      </c>
    </row>
    <row r="31" spans="1:19" s="69" customFormat="1" ht="13.8">
      <c r="A31" s="81">
        <v>23</v>
      </c>
      <c r="B31" s="481" t="s">
        <v>606</v>
      </c>
      <c r="C31" s="82" t="s">
        <v>73</v>
      </c>
      <c r="D31" s="83" t="s">
        <v>607</v>
      </c>
      <c r="E31" s="90">
        <v>1</v>
      </c>
      <c r="F31" s="226" t="s">
        <v>380</v>
      </c>
      <c r="G31" s="223">
        <v>5.27</v>
      </c>
      <c r="H31" s="230"/>
      <c r="I31" s="68"/>
      <c r="J31" s="500">
        <f>'Ocorrências Mensais - FAT'!G48</f>
        <v>1</v>
      </c>
      <c r="K31" s="499">
        <f t="shared" si="0"/>
        <v>5.27</v>
      </c>
      <c r="L31" s="496">
        <f t="shared" si="1"/>
        <v>1</v>
      </c>
      <c r="N31" s="227">
        <v>8.99</v>
      </c>
      <c r="O31" s="38">
        <f>ROUND(IF(Dados!$J$56="SIM",N31*Dados!$N$56,N31),2)</f>
        <v>8.99</v>
      </c>
      <c r="P31" s="38">
        <f>ROUND(IF(Dados!$J$57="SIM",O31*Dados!$N$57,O31),2)</f>
        <v>8.99</v>
      </c>
      <c r="Q31" s="38">
        <f>ROUND(IF(Dados!$J$58="SIM",P31*Dados!$N$58,P31),2)</f>
        <v>8.99</v>
      </c>
      <c r="R31" s="38">
        <f>ROUND(IF(Dados!$J$59="SIM",Q31*Dados!$N$59,Q31),2)</f>
        <v>8.99</v>
      </c>
      <c r="S31" s="228">
        <f>ROUND(IF(Dados!$J$60="SIM",R31*Dados!$N$60,R31),2)</f>
        <v>8.99</v>
      </c>
    </row>
    <row r="32" spans="1:19" s="69" customFormat="1" ht="41.4">
      <c r="A32" s="81">
        <v>24</v>
      </c>
      <c r="B32" s="485" t="s">
        <v>390</v>
      </c>
      <c r="C32" s="82" t="s">
        <v>65</v>
      </c>
      <c r="D32" s="83" t="s">
        <v>608</v>
      </c>
      <c r="E32" s="90">
        <v>1</v>
      </c>
      <c r="F32" s="226" t="s">
        <v>381</v>
      </c>
      <c r="G32" s="223">
        <v>12.33</v>
      </c>
      <c r="H32" s="229"/>
      <c r="I32" s="68"/>
      <c r="J32" s="500">
        <f>'Ocorrências Mensais - FAT'!G49</f>
        <v>0.16666666666666666</v>
      </c>
      <c r="K32" s="499">
        <f t="shared" si="0"/>
        <v>2.0549999999999997</v>
      </c>
      <c r="L32" s="496">
        <f t="shared" si="1"/>
        <v>6</v>
      </c>
      <c r="N32" s="227">
        <v>5</v>
      </c>
      <c r="O32" s="38">
        <f>ROUND(IF(Dados!$J$56="SIM",N32*Dados!$N$56,N32),2)</f>
        <v>5</v>
      </c>
      <c r="P32" s="38">
        <f>ROUND(IF(Dados!$J$57="SIM",O32*Dados!$N$57,O32),2)</f>
        <v>5</v>
      </c>
      <c r="Q32" s="38">
        <f>ROUND(IF(Dados!$J$58="SIM",P32*Dados!$N$58,P32),2)</f>
        <v>5</v>
      </c>
      <c r="R32" s="38">
        <f>ROUND(IF(Dados!$J$59="SIM",Q32*Dados!$N$59,Q32),2)</f>
        <v>5</v>
      </c>
      <c r="S32" s="228">
        <f>ROUND(IF(Dados!$J$60="SIM",R32*Dados!$N$60,R32),2)</f>
        <v>5</v>
      </c>
    </row>
    <row r="33" spans="1:20" s="69" customFormat="1" ht="13.8">
      <c r="A33" s="81">
        <v>25</v>
      </c>
      <c r="B33" s="481" t="s">
        <v>609</v>
      </c>
      <c r="C33" s="82" t="s">
        <v>65</v>
      </c>
      <c r="D33" s="83"/>
      <c r="E33" s="90">
        <v>2</v>
      </c>
      <c r="F33" s="226" t="s">
        <v>381</v>
      </c>
      <c r="G33" s="223">
        <v>25.66</v>
      </c>
      <c r="H33" s="229"/>
      <c r="I33" s="68"/>
      <c r="J33" s="500">
        <f>'Ocorrências Mensais - FAT'!G50</f>
        <v>0.33333333333333331</v>
      </c>
      <c r="K33" s="499">
        <f t="shared" si="0"/>
        <v>8.5533333333333328</v>
      </c>
      <c r="L33" s="496">
        <f t="shared" si="1"/>
        <v>6</v>
      </c>
      <c r="N33" s="227">
        <v>1.5</v>
      </c>
      <c r="O33" s="38">
        <f>ROUND(IF(Dados!$J$56="SIM",N33*Dados!$N$56,N33),2)</f>
        <v>1.5</v>
      </c>
      <c r="P33" s="38">
        <f>ROUND(IF(Dados!$J$57="SIM",O33*Dados!$N$57,O33),2)</f>
        <v>1.5</v>
      </c>
      <c r="Q33" s="38">
        <f>ROUND(IF(Dados!$J$58="SIM",P33*Dados!$N$58,P33),2)</f>
        <v>1.5</v>
      </c>
      <c r="R33" s="38">
        <f>ROUND(IF(Dados!$J$59="SIM",Q33*Dados!$N$59,Q33),2)</f>
        <v>1.5</v>
      </c>
      <c r="S33" s="228">
        <f>ROUND(IF(Dados!$J$60="SIM",R33*Dados!$N$60,R33),2)</f>
        <v>1.5</v>
      </c>
    </row>
    <row r="34" spans="1:20" s="69" customFormat="1" ht="13.8">
      <c r="A34" s="81">
        <v>26</v>
      </c>
      <c r="B34" s="481" t="s">
        <v>610</v>
      </c>
      <c r="C34" s="82" t="s">
        <v>65</v>
      </c>
      <c r="D34" s="83" t="s">
        <v>611</v>
      </c>
      <c r="E34" s="90">
        <v>1</v>
      </c>
      <c r="F34" s="226" t="s">
        <v>380</v>
      </c>
      <c r="G34" s="223">
        <v>10.25</v>
      </c>
      <c r="H34" s="229"/>
      <c r="I34" s="68"/>
      <c r="J34" s="500">
        <f>'Ocorrências Mensais - FAT'!G51</f>
        <v>1</v>
      </c>
      <c r="K34" s="499">
        <f t="shared" si="0"/>
        <v>10.25</v>
      </c>
      <c r="L34" s="496">
        <f t="shared" si="1"/>
        <v>1</v>
      </c>
      <c r="N34" s="227">
        <v>3.2</v>
      </c>
      <c r="O34" s="38">
        <f>ROUND(IF(Dados!$J$56="SIM",N34*Dados!$N$56,N34),2)</f>
        <v>3.2</v>
      </c>
      <c r="P34" s="38">
        <f>ROUND(IF(Dados!$J$57="SIM",O34*Dados!$N$57,O34),2)</f>
        <v>3.2</v>
      </c>
      <c r="Q34" s="38">
        <f>ROUND(IF(Dados!$J$58="SIM",P34*Dados!$N$58,P34),2)</f>
        <v>3.2</v>
      </c>
      <c r="R34" s="38">
        <f>ROUND(IF(Dados!$J$59="SIM",Q34*Dados!$N$59,Q34),2)</f>
        <v>3.2</v>
      </c>
      <c r="S34" s="228">
        <f>ROUND(IF(Dados!$J$60="SIM",R34*Dados!$N$60,R34),2)</f>
        <v>3.2</v>
      </c>
    </row>
    <row r="35" spans="1:20" s="69" customFormat="1" ht="13.8">
      <c r="A35" s="81">
        <v>27</v>
      </c>
      <c r="B35" s="481" t="s">
        <v>612</v>
      </c>
      <c r="C35" s="82" t="s">
        <v>613</v>
      </c>
      <c r="D35" s="83" t="s">
        <v>614</v>
      </c>
      <c r="E35" s="90">
        <v>1</v>
      </c>
      <c r="F35" s="226" t="s">
        <v>378</v>
      </c>
      <c r="G35" s="223">
        <v>16.27</v>
      </c>
      <c r="H35" s="230"/>
      <c r="I35" s="68"/>
      <c r="J35" s="500">
        <f>'Ocorrências Mensais - FAT'!G52</f>
        <v>0.5</v>
      </c>
      <c r="K35" s="499">
        <f t="shared" si="0"/>
        <v>8.1349999999999998</v>
      </c>
      <c r="L35" s="496">
        <f t="shared" si="1"/>
        <v>2</v>
      </c>
      <c r="N35" s="227">
        <v>3.99</v>
      </c>
      <c r="O35" s="38">
        <f>ROUND(IF(Dados!$J$56="SIM",N35*Dados!$N$56,N35),2)</f>
        <v>3.99</v>
      </c>
      <c r="P35" s="38">
        <f>ROUND(IF(Dados!$J$57="SIM",O35*Dados!$N$57,O35),2)</f>
        <v>3.99</v>
      </c>
      <c r="Q35" s="38">
        <f>ROUND(IF(Dados!$J$58="SIM",P35*Dados!$N$58,P35),2)</f>
        <v>3.99</v>
      </c>
      <c r="R35" s="38">
        <f>ROUND(IF(Dados!$J$59="SIM",Q35*Dados!$N$59,Q35),2)</f>
        <v>3.99</v>
      </c>
      <c r="S35" s="228">
        <f>ROUND(IF(Dados!$J$60="SIM",R35*Dados!$N$60,R35),2)</f>
        <v>3.99</v>
      </c>
    </row>
    <row r="36" spans="1:20" s="69" customFormat="1" ht="27.6">
      <c r="A36" s="81">
        <v>28</v>
      </c>
      <c r="B36" s="485" t="s">
        <v>615</v>
      </c>
      <c r="C36" s="82" t="s">
        <v>73</v>
      </c>
      <c r="D36" s="83" t="s">
        <v>616</v>
      </c>
      <c r="E36" s="90">
        <v>1</v>
      </c>
      <c r="F36" s="226" t="s">
        <v>380</v>
      </c>
      <c r="G36" s="223">
        <v>20.52</v>
      </c>
      <c r="H36" s="230"/>
      <c r="I36" s="68"/>
      <c r="J36" s="500">
        <f>'Ocorrências Mensais - FAT'!G53</f>
        <v>1</v>
      </c>
      <c r="K36" s="499">
        <f t="shared" si="0"/>
        <v>20.52</v>
      </c>
      <c r="L36" s="496">
        <f t="shared" si="1"/>
        <v>1</v>
      </c>
      <c r="N36" s="227">
        <v>1.4</v>
      </c>
      <c r="O36" s="38">
        <f>ROUND(IF(Dados!$J$56="SIM",N36*Dados!$N$56,N36),2)</f>
        <v>1.4</v>
      </c>
      <c r="P36" s="38">
        <f>ROUND(IF(Dados!$J$57="SIM",O36*Dados!$N$57,O36),2)</f>
        <v>1.4</v>
      </c>
      <c r="Q36" s="38">
        <f>ROUND(IF(Dados!$J$58="SIM",P36*Dados!$N$58,P36),2)</f>
        <v>1.4</v>
      </c>
      <c r="R36" s="38">
        <f>ROUND(IF(Dados!$J$59="SIM",Q36*Dados!$N$59,Q36),2)</f>
        <v>1.4</v>
      </c>
      <c r="S36" s="228">
        <f>ROUND(IF(Dados!$J$60="SIM",R36*Dados!$N$60,R36),2)</f>
        <v>1.4</v>
      </c>
    </row>
    <row r="37" spans="1:20" s="69" customFormat="1" ht="27.6">
      <c r="A37" s="81">
        <v>29</v>
      </c>
      <c r="B37" s="481" t="s">
        <v>617</v>
      </c>
      <c r="C37" s="82" t="s">
        <v>65</v>
      </c>
      <c r="D37" s="83"/>
      <c r="E37" s="90">
        <v>5</v>
      </c>
      <c r="F37" s="226" t="s">
        <v>380</v>
      </c>
      <c r="G37" s="223">
        <v>10.85</v>
      </c>
      <c r="H37" s="230"/>
      <c r="I37" s="68"/>
      <c r="J37" s="500">
        <f>'Ocorrências Mensais - FAT'!G54</f>
        <v>5</v>
      </c>
      <c r="K37" s="499">
        <f t="shared" si="0"/>
        <v>54.25</v>
      </c>
      <c r="L37" s="496">
        <f t="shared" si="1"/>
        <v>1</v>
      </c>
      <c r="N37" s="227">
        <v>2.04</v>
      </c>
      <c r="O37" s="38">
        <f>ROUND(IF(Dados!$J$56="SIM",N37*Dados!$N$56,N37),2)</f>
        <v>2.04</v>
      </c>
      <c r="P37" s="38">
        <f>ROUND(IF(Dados!$J$57="SIM",O37*Dados!$N$57,O37),2)</f>
        <v>2.04</v>
      </c>
      <c r="Q37" s="38">
        <f>ROUND(IF(Dados!$J$58="SIM",P37*Dados!$N$58,P37),2)</f>
        <v>2.04</v>
      </c>
      <c r="R37" s="38">
        <f>ROUND(IF(Dados!$J$59="SIM",Q37*Dados!$N$59,Q37),2)</f>
        <v>2.04</v>
      </c>
      <c r="S37" s="228">
        <f>ROUND(IF(Dados!$J$60="SIM",R37*Dados!$N$60,R37),2)</f>
        <v>2.04</v>
      </c>
    </row>
    <row r="38" spans="1:20" s="69" customFormat="1" ht="13.8">
      <c r="A38" s="81">
        <v>30</v>
      </c>
      <c r="B38" s="481" t="s">
        <v>618</v>
      </c>
      <c r="C38" s="82" t="s">
        <v>619</v>
      </c>
      <c r="D38" s="83" t="s">
        <v>620</v>
      </c>
      <c r="E38" s="90">
        <v>2</v>
      </c>
      <c r="F38" s="226" t="s">
        <v>378</v>
      </c>
      <c r="G38" s="223">
        <v>16.100000000000001</v>
      </c>
      <c r="H38" s="230"/>
      <c r="I38" s="68"/>
      <c r="J38" s="500">
        <f>'Ocorrências Mensais - FAT'!G55</f>
        <v>1</v>
      </c>
      <c r="K38" s="499">
        <f t="shared" si="0"/>
        <v>16.100000000000001</v>
      </c>
      <c r="L38" s="496">
        <f t="shared" si="1"/>
        <v>2</v>
      </c>
      <c r="N38" s="227">
        <v>6.55</v>
      </c>
      <c r="O38" s="38">
        <f>ROUND(IF(Dados!$J$56="SIM",N38*Dados!$N$56,N38),2)</f>
        <v>6.55</v>
      </c>
      <c r="P38" s="38">
        <f>ROUND(IF(Dados!$J$57="SIM",O38*Dados!$N$57,O38),2)</f>
        <v>6.55</v>
      </c>
      <c r="Q38" s="38">
        <f>ROUND(IF(Dados!$J$58="SIM",P38*Dados!$N$58,P38),2)</f>
        <v>6.55</v>
      </c>
      <c r="R38" s="38">
        <f>ROUND(IF(Dados!$J$59="SIM",Q38*Dados!$N$59,Q38),2)</f>
        <v>6.55</v>
      </c>
      <c r="S38" s="228">
        <f>ROUND(IF(Dados!$J$60="SIM",R38*Dados!$N$60,R38),2)</f>
        <v>6.55</v>
      </c>
    </row>
    <row r="39" spans="1:20" s="69" customFormat="1" ht="13.8">
      <c r="A39" s="81">
        <v>31</v>
      </c>
      <c r="B39" s="481" t="s">
        <v>621</v>
      </c>
      <c r="C39" s="82" t="s">
        <v>619</v>
      </c>
      <c r="D39" s="83" t="s">
        <v>620</v>
      </c>
      <c r="E39" s="90">
        <v>1</v>
      </c>
      <c r="F39" s="226" t="s">
        <v>380</v>
      </c>
      <c r="G39" s="223">
        <v>16.100000000000001</v>
      </c>
      <c r="H39" s="230"/>
      <c r="I39" s="68"/>
      <c r="J39" s="500">
        <f>'Ocorrências Mensais - FAT'!G56</f>
        <v>1</v>
      </c>
      <c r="K39" s="499">
        <f t="shared" si="0"/>
        <v>16.100000000000001</v>
      </c>
      <c r="L39" s="496">
        <f t="shared" si="1"/>
        <v>1</v>
      </c>
      <c r="N39" s="227">
        <v>2.8</v>
      </c>
      <c r="O39" s="38">
        <f>ROUND(IF(Dados!$J$56="SIM",N39*Dados!$N$56,N39),2)</f>
        <v>2.8</v>
      </c>
      <c r="P39" s="38">
        <f>ROUND(IF(Dados!$J$57="SIM",O39*Dados!$N$57,O39),2)</f>
        <v>2.8</v>
      </c>
      <c r="Q39" s="38">
        <f>ROUND(IF(Dados!$J$58="SIM",P39*Dados!$N$58,P39),2)</f>
        <v>2.8</v>
      </c>
      <c r="R39" s="38">
        <f>ROUND(IF(Dados!$J$59="SIM",Q39*Dados!$N$59,Q39),2)</f>
        <v>2.8</v>
      </c>
      <c r="S39" s="228">
        <f>ROUND(IF(Dados!$J$60="SIM",R39*Dados!$N$60,R39),2)</f>
        <v>2.8</v>
      </c>
    </row>
    <row r="40" spans="1:20" s="69" customFormat="1" ht="13.8">
      <c r="A40" s="81">
        <v>32</v>
      </c>
      <c r="B40" s="481" t="s">
        <v>622</v>
      </c>
      <c r="C40" s="82" t="s">
        <v>619</v>
      </c>
      <c r="D40" s="83" t="s">
        <v>620</v>
      </c>
      <c r="E40" s="90">
        <v>1</v>
      </c>
      <c r="F40" s="226" t="s">
        <v>380</v>
      </c>
      <c r="G40" s="223">
        <v>59.17</v>
      </c>
      <c r="H40" s="230"/>
      <c r="I40" s="68"/>
      <c r="J40" s="500">
        <f>'Ocorrências Mensais - FAT'!G57</f>
        <v>1</v>
      </c>
      <c r="K40" s="499">
        <f t="shared" si="0"/>
        <v>59.17</v>
      </c>
      <c r="L40" s="496">
        <f t="shared" si="1"/>
        <v>1</v>
      </c>
      <c r="N40" s="227">
        <v>19.899999999999999</v>
      </c>
      <c r="O40" s="38">
        <f>ROUND(IF(Dados!$J$56="SIM",N40*Dados!$N$56,N40),2)</f>
        <v>19.899999999999999</v>
      </c>
      <c r="P40" s="38">
        <f>ROUND(IF(Dados!$J$57="SIM",O40*Dados!$N$57,O40),2)</f>
        <v>19.899999999999999</v>
      </c>
      <c r="Q40" s="38">
        <f>ROUND(IF(Dados!$J$58="SIM",P40*Dados!$N$58,P40),2)</f>
        <v>19.899999999999999</v>
      </c>
      <c r="R40" s="38">
        <f>ROUND(IF(Dados!$J$59="SIM",Q40*Dados!$N$59,Q40),2)</f>
        <v>19.899999999999999</v>
      </c>
      <c r="S40" s="228">
        <f>ROUND(IF(Dados!$J$60="SIM",R40*Dados!$N$60,R40),2)</f>
        <v>19.899999999999999</v>
      </c>
    </row>
    <row r="41" spans="1:20" s="69" customFormat="1" ht="13.8">
      <c r="A41" s="81">
        <v>33</v>
      </c>
      <c r="B41" s="481" t="s">
        <v>623</v>
      </c>
      <c r="C41" s="82" t="s">
        <v>65</v>
      </c>
      <c r="D41" s="83"/>
      <c r="E41" s="90">
        <v>1</v>
      </c>
      <c r="F41" s="226" t="s">
        <v>387</v>
      </c>
      <c r="G41" s="223">
        <v>27.38</v>
      </c>
      <c r="H41" s="230"/>
      <c r="I41" s="68"/>
      <c r="J41" s="500">
        <f>'Ocorrências Mensais - FAT'!G58</f>
        <v>8.3333333333333329E-2</v>
      </c>
      <c r="K41" s="499">
        <f t="shared" si="0"/>
        <v>2.2816666666666663</v>
      </c>
      <c r="L41" s="496">
        <f t="shared" si="1"/>
        <v>12</v>
      </c>
      <c r="N41" s="227">
        <v>5.8</v>
      </c>
      <c r="O41" s="38">
        <f>ROUND(IF(Dados!$J$56="SIM",N41*Dados!$N$56,N41),2)</f>
        <v>5.8</v>
      </c>
      <c r="P41" s="38">
        <f>ROUND(IF(Dados!$J$57="SIM",O41*Dados!$N$57,O41),2)</f>
        <v>5.8</v>
      </c>
      <c r="Q41" s="38">
        <f>ROUND(IF(Dados!$J$58="SIM",P41*Dados!$N$58,P41),2)</f>
        <v>5.8</v>
      </c>
      <c r="R41" s="38">
        <f>ROUND(IF(Dados!$J$59="SIM",Q41*Dados!$N$59,Q41),2)</f>
        <v>5.8</v>
      </c>
      <c r="S41" s="228">
        <f>ROUND(IF(Dados!$J$60="SIM",R41*Dados!$N$60,R41),2)</f>
        <v>5.8</v>
      </c>
    </row>
    <row r="42" spans="1:20" s="69" customFormat="1" ht="27.6">
      <c r="A42" s="81">
        <v>34</v>
      </c>
      <c r="B42" s="485" t="s">
        <v>624</v>
      </c>
      <c r="C42" s="82" t="s">
        <v>65</v>
      </c>
      <c r="D42" s="83" t="s">
        <v>608</v>
      </c>
      <c r="E42" s="90">
        <v>1</v>
      </c>
      <c r="F42" s="226" t="s">
        <v>381</v>
      </c>
      <c r="G42" s="223">
        <v>15.98</v>
      </c>
      <c r="H42" s="230"/>
      <c r="I42" s="68"/>
      <c r="J42" s="500">
        <f>'Ocorrências Mensais - FAT'!G59</f>
        <v>0.16666666666666666</v>
      </c>
      <c r="K42" s="499">
        <f t="shared" si="0"/>
        <v>2.6633333333333331</v>
      </c>
      <c r="L42" s="496">
        <f t="shared" si="1"/>
        <v>6</v>
      </c>
      <c r="N42" s="227">
        <v>6</v>
      </c>
      <c r="O42" s="38">
        <f>ROUND(IF(Dados!$J$56="SIM",N42*Dados!$N$56,N42),2)</f>
        <v>6</v>
      </c>
      <c r="P42" s="38">
        <f>ROUND(IF(Dados!$J$57="SIM",O42*Dados!$N$57,O42),2)</f>
        <v>6</v>
      </c>
      <c r="Q42" s="38">
        <f>ROUND(IF(Dados!$J$58="SIM",P42*Dados!$N$58,P42),2)</f>
        <v>6</v>
      </c>
      <c r="R42" s="38">
        <f>ROUND(IF(Dados!$J$59="SIM",Q42*Dados!$N$59,Q42),2)</f>
        <v>6</v>
      </c>
      <c r="S42" s="228">
        <f>ROUND(IF(Dados!$J$60="SIM",R42*Dados!$N$60,R42),2)</f>
        <v>6</v>
      </c>
    </row>
    <row r="43" spans="1:20" s="69" customFormat="1" ht="13.8">
      <c r="A43" s="81">
        <v>35</v>
      </c>
      <c r="B43" s="481" t="s">
        <v>625</v>
      </c>
      <c r="C43" s="82" t="s">
        <v>65</v>
      </c>
      <c r="D43" s="83"/>
      <c r="E43" s="90">
        <v>2</v>
      </c>
      <c r="F43" s="226" t="s">
        <v>380</v>
      </c>
      <c r="G43" s="223">
        <v>13.84</v>
      </c>
      <c r="H43" s="230"/>
      <c r="I43" s="68"/>
      <c r="J43" s="500">
        <f>'Ocorrências Mensais - FAT'!G60</f>
        <v>2</v>
      </c>
      <c r="K43" s="499">
        <f t="shared" si="0"/>
        <v>27.68</v>
      </c>
      <c r="L43" s="496">
        <f t="shared" si="1"/>
        <v>1</v>
      </c>
      <c r="N43" s="227">
        <v>5.99</v>
      </c>
      <c r="O43" s="38">
        <f>ROUND(IF(Dados!$J$56="SIM",N43*Dados!$N$56,N43),2)</f>
        <v>5.99</v>
      </c>
      <c r="P43" s="38">
        <f>ROUND(IF(Dados!$J$57="SIM",O43*Dados!$N$57,O43),2)</f>
        <v>5.99</v>
      </c>
      <c r="Q43" s="38">
        <f>ROUND(IF(Dados!$J$58="SIM",P43*Dados!$N$58,P43),2)</f>
        <v>5.99</v>
      </c>
      <c r="R43" s="38">
        <f>ROUND(IF(Dados!$J$59="SIM",Q43*Dados!$N$59,Q43),2)</f>
        <v>5.99</v>
      </c>
      <c r="S43" s="228">
        <f>ROUND(IF(Dados!$J$60="SIM",R43*Dados!$N$60,R43),2)</f>
        <v>5.99</v>
      </c>
    </row>
    <row r="44" spans="1:20" s="69" customFormat="1" ht="27.6">
      <c r="A44" s="81">
        <v>36</v>
      </c>
      <c r="B44" s="485" t="s">
        <v>626</v>
      </c>
      <c r="C44" s="82" t="s">
        <v>65</v>
      </c>
      <c r="D44" s="83" t="s">
        <v>608</v>
      </c>
      <c r="E44" s="90">
        <v>2</v>
      </c>
      <c r="F44" s="226" t="s">
        <v>381</v>
      </c>
      <c r="G44" s="223">
        <v>11.75</v>
      </c>
      <c r="H44" s="230"/>
      <c r="I44" s="68"/>
      <c r="J44" s="500">
        <f>'Ocorrências Mensais - FAT'!G61</f>
        <v>0.33333333333333331</v>
      </c>
      <c r="K44" s="499">
        <f t="shared" si="0"/>
        <v>3.9166666666666665</v>
      </c>
      <c r="L44" s="496">
        <f t="shared" si="1"/>
        <v>6</v>
      </c>
      <c r="N44" s="227">
        <v>5.5</v>
      </c>
      <c r="O44" s="38">
        <f>ROUND(IF(Dados!$J$56="SIM",N44*Dados!$N$56,N44),2)</f>
        <v>5.5</v>
      </c>
      <c r="P44" s="38">
        <f>ROUND(IF(Dados!$J$57="SIM",O44*Dados!$N$57,O44),2)</f>
        <v>5.5</v>
      </c>
      <c r="Q44" s="38">
        <f>ROUND(IF(Dados!$J$58="SIM",P44*Dados!$N$58,P44),2)</f>
        <v>5.5</v>
      </c>
      <c r="R44" s="38">
        <f>ROUND(IF(Dados!$J$59="SIM",Q44*Dados!$N$59,Q44),2)</f>
        <v>5.5</v>
      </c>
      <c r="S44" s="228">
        <f>ROUND(IF(Dados!$J$60="SIM",R44*Dados!$N$60,R44),2)</f>
        <v>5.5</v>
      </c>
      <c r="T44" s="209"/>
    </row>
    <row r="45" spans="1:20" ht="15.6">
      <c r="A45" s="665"/>
      <c r="B45" s="665"/>
      <c r="C45" s="665"/>
      <c r="D45" s="665"/>
      <c r="E45" s="665"/>
      <c r="F45" s="665"/>
      <c r="G45" s="665"/>
      <c r="H45" s="233"/>
      <c r="I45" s="58"/>
      <c r="J45" s="504" t="s">
        <v>195</v>
      </c>
      <c r="K45" s="505">
        <f>SUM(K9:K44)</f>
        <v>1566.4475000000002</v>
      </c>
      <c r="N45" s="234"/>
      <c r="O45" s="235"/>
      <c r="P45" s="235"/>
      <c r="Q45" s="235"/>
      <c r="R45" s="235"/>
      <c r="S45" s="235"/>
    </row>
    <row r="46" spans="1:20">
      <c r="A46" s="236"/>
      <c r="H46" s="237"/>
      <c r="N46" s="234"/>
      <c r="O46" s="235"/>
      <c r="P46" s="235"/>
      <c r="Q46" s="235"/>
      <c r="R46" s="235"/>
      <c r="S46" s="235"/>
    </row>
    <row r="47" spans="1:20" ht="18.75" customHeight="1">
      <c r="A47" s="666" t="s">
        <v>692</v>
      </c>
      <c r="B47" s="666"/>
      <c r="C47" s="666"/>
      <c r="D47" s="666"/>
      <c r="E47" s="666"/>
      <c r="F47" s="666"/>
      <c r="G47" s="666"/>
      <c r="H47" s="666"/>
      <c r="I47" s="69"/>
      <c r="J47" s="69"/>
      <c r="L47" s="69"/>
      <c r="N47" s="597" t="s">
        <v>370</v>
      </c>
      <c r="O47" s="597"/>
      <c r="P47" s="597"/>
      <c r="Q47" s="597"/>
      <c r="R47" s="597"/>
      <c r="S47" s="597"/>
    </row>
    <row r="48" spans="1:20" ht="15" customHeight="1">
      <c r="A48" s="238"/>
      <c r="B48" s="102"/>
      <c r="C48" s="102"/>
      <c r="D48" s="102"/>
      <c r="E48" s="102"/>
      <c r="F48" s="102"/>
      <c r="G48" s="102"/>
      <c r="H48" s="239"/>
      <c r="I48" s="69"/>
      <c r="J48" s="69"/>
      <c r="L48" s="69"/>
      <c r="N48" s="597"/>
      <c r="O48" s="597"/>
      <c r="P48" s="597"/>
      <c r="Q48" s="597"/>
      <c r="R48" s="597"/>
      <c r="S48" s="597"/>
    </row>
    <row r="49" spans="1:19" ht="15" customHeight="1">
      <c r="A49" s="667" t="s">
        <v>59</v>
      </c>
      <c r="B49" s="668" t="s">
        <v>371</v>
      </c>
      <c r="C49" s="668"/>
      <c r="D49" s="668"/>
      <c r="E49" s="495"/>
      <c r="F49" s="495"/>
      <c r="G49" s="495"/>
      <c r="H49" s="669" t="s">
        <v>372</v>
      </c>
      <c r="I49" s="69"/>
      <c r="J49" s="670" t="s">
        <v>373</v>
      </c>
      <c r="K49" s="670"/>
      <c r="L49" s="670"/>
      <c r="N49" s="597"/>
      <c r="O49" s="597"/>
      <c r="P49" s="597"/>
      <c r="Q49" s="597"/>
      <c r="R49" s="597"/>
      <c r="S49" s="597"/>
    </row>
    <row r="50" spans="1:19" ht="41.4">
      <c r="A50" s="667"/>
      <c r="B50" s="217" t="s">
        <v>64</v>
      </c>
      <c r="C50" s="219" t="s">
        <v>65</v>
      </c>
      <c r="D50" s="219" t="s">
        <v>391</v>
      </c>
      <c r="E50" s="220" t="s">
        <v>375</v>
      </c>
      <c r="F50" s="221" t="s">
        <v>71</v>
      </c>
      <c r="G50" s="219" t="s">
        <v>374</v>
      </c>
      <c r="H50" s="669"/>
      <c r="I50" s="69"/>
      <c r="J50" s="240" t="s">
        <v>69</v>
      </c>
      <c r="K50" s="240" t="s">
        <v>68</v>
      </c>
      <c r="L50" s="220" t="s">
        <v>376</v>
      </c>
      <c r="N50" s="222" t="s">
        <v>377</v>
      </c>
      <c r="O50" s="21" t="s">
        <v>279</v>
      </c>
      <c r="P50" s="21" t="s">
        <v>280</v>
      </c>
      <c r="Q50" s="21" t="s">
        <v>281</v>
      </c>
      <c r="R50" s="21" t="s">
        <v>282</v>
      </c>
      <c r="S50" s="23" t="s">
        <v>283</v>
      </c>
    </row>
    <row r="51" spans="1:19">
      <c r="A51" s="486">
        <v>1</v>
      </c>
      <c r="B51" s="481" t="s">
        <v>627</v>
      </c>
      <c r="C51" s="83" t="s">
        <v>628</v>
      </c>
      <c r="D51" s="83" t="s">
        <v>629</v>
      </c>
      <c r="E51" s="90">
        <v>1</v>
      </c>
      <c r="F51" s="83" t="s">
        <v>380</v>
      </c>
      <c r="G51" s="223">
        <v>15.74</v>
      </c>
      <c r="H51" s="225"/>
      <c r="I51" s="69"/>
      <c r="J51" s="500">
        <f>'Ocorrências Mensais - FAT'!G70</f>
        <v>1</v>
      </c>
      <c r="K51" s="499">
        <f t="shared" ref="K51:K74" si="2">G51*J51</f>
        <v>15.74</v>
      </c>
      <c r="L51" s="39">
        <f t="shared" ref="L51:L74" si="3">IF(F51="MENSAL",1,IF(F51="BIMESTRAL",2,IF(F51="TRIMESTRAL",3,IF(F51="QUADRIMESTRAL",4,IF(F51="SEMESTRAL",6,IF(F51="ANUAL",12,IF(F51="BIENAL",24,"")))))))</f>
        <v>1</v>
      </c>
      <c r="N51" s="241">
        <v>3.1</v>
      </c>
      <c r="O51" s="38">
        <f>ROUND(IF(Dados!$J$56="SIM",N51*Dados!$N$56,N51),2)</f>
        <v>3.1</v>
      </c>
      <c r="P51" s="38">
        <f>ROUND(IF(Dados!$J$57="SIM",O51*Dados!$N$57,O51),2)</f>
        <v>3.1</v>
      </c>
      <c r="Q51" s="38">
        <f>ROUND(IF(Dados!$J$58="SIM",P51*Dados!$N$58,P51),2)</f>
        <v>3.1</v>
      </c>
      <c r="R51" s="38">
        <f>ROUND(IF(Dados!$J$59="SIM",Q51*Dados!$N$59,Q51),2)</f>
        <v>3.1</v>
      </c>
      <c r="S51" s="228">
        <f>ROUND(IF(Dados!$J$60="SIM",R51*Dados!$N$60,R51),2)</f>
        <v>3.1</v>
      </c>
    </row>
    <row r="52" spans="1:19">
      <c r="A52" s="486">
        <v>2</v>
      </c>
      <c r="B52" s="481" t="s">
        <v>630</v>
      </c>
      <c r="C52" s="83" t="s">
        <v>82</v>
      </c>
      <c r="D52" s="83" t="s">
        <v>631</v>
      </c>
      <c r="E52" s="90">
        <v>1</v>
      </c>
      <c r="F52" s="83" t="s">
        <v>393</v>
      </c>
      <c r="G52" s="223">
        <v>4.5</v>
      </c>
      <c r="H52" s="225"/>
      <c r="I52" s="69"/>
      <c r="J52" s="500">
        <f>'Ocorrências Mensais - FAT'!G71</f>
        <v>0.33333333333333331</v>
      </c>
      <c r="K52" s="499">
        <f t="shared" si="2"/>
        <v>1.5</v>
      </c>
      <c r="L52" s="496">
        <f t="shared" si="3"/>
        <v>3</v>
      </c>
      <c r="N52" s="241">
        <v>4.04</v>
      </c>
      <c r="O52" s="38">
        <f>ROUND(IF(Dados!$J$56="SIM",N52*Dados!$N$56,N52),2)</f>
        <v>4.04</v>
      </c>
      <c r="P52" s="38">
        <f>ROUND(IF(Dados!$J$57="SIM",O52*Dados!$N$57,O52),2)</f>
        <v>4.04</v>
      </c>
      <c r="Q52" s="38">
        <f>ROUND(IF(Dados!$J$58="SIM",P52*Dados!$N$58,P52),2)</f>
        <v>4.04</v>
      </c>
      <c r="R52" s="38">
        <f>ROUND(IF(Dados!$J$59="SIM",Q52*Dados!$N$59,Q52),2)</f>
        <v>4.04</v>
      </c>
      <c r="S52" s="228">
        <f>ROUND(IF(Dados!$J$60="SIM",R52*Dados!$N$60,R52),2)</f>
        <v>4.04</v>
      </c>
    </row>
    <row r="53" spans="1:19" ht="27.6">
      <c r="A53" s="486">
        <v>3</v>
      </c>
      <c r="B53" s="485" t="s">
        <v>571</v>
      </c>
      <c r="C53" s="83" t="s">
        <v>82</v>
      </c>
      <c r="D53" s="83"/>
      <c r="E53" s="90">
        <v>1</v>
      </c>
      <c r="F53" s="83" t="s">
        <v>381</v>
      </c>
      <c r="G53" s="223">
        <v>16.010000000000002</v>
      </c>
      <c r="H53" s="225"/>
      <c r="I53" s="69"/>
      <c r="J53" s="500">
        <f>'Ocorrências Mensais - FAT'!G72</f>
        <v>0.16666666666666666</v>
      </c>
      <c r="K53" s="499">
        <f t="shared" si="2"/>
        <v>2.6683333333333334</v>
      </c>
      <c r="L53" s="496">
        <f t="shared" si="3"/>
        <v>6</v>
      </c>
      <c r="N53" s="241">
        <v>1.5</v>
      </c>
      <c r="O53" s="38">
        <f>ROUND(IF(Dados!$J$56="SIM",N53*Dados!$N$56,N53),2)</f>
        <v>1.5</v>
      </c>
      <c r="P53" s="38">
        <f>ROUND(IF(Dados!$J$57="SIM",O53*Dados!$N$57,O53),2)</f>
        <v>1.5</v>
      </c>
      <c r="Q53" s="38">
        <f>ROUND(IF(Dados!$J$58="SIM",P53*Dados!$N$58,P53),2)</f>
        <v>1.5</v>
      </c>
      <c r="R53" s="38">
        <f>ROUND(IF(Dados!$J$59="SIM",Q53*Dados!$N$59,Q53),2)</f>
        <v>1.5</v>
      </c>
      <c r="S53" s="228">
        <f>ROUND(IF(Dados!$J$60="SIM",R53*Dados!$N$60,R53),2)</f>
        <v>1.5</v>
      </c>
    </row>
    <row r="54" spans="1:19" ht="27.6">
      <c r="A54" s="486">
        <v>4</v>
      </c>
      <c r="B54" s="485" t="s">
        <v>632</v>
      </c>
      <c r="C54" s="83" t="s">
        <v>82</v>
      </c>
      <c r="D54" s="83" t="s">
        <v>633</v>
      </c>
      <c r="E54" s="90">
        <v>3</v>
      </c>
      <c r="F54" s="83" t="s">
        <v>393</v>
      </c>
      <c r="G54" s="223">
        <v>4.91</v>
      </c>
      <c r="H54" s="225"/>
      <c r="I54" s="69"/>
      <c r="J54" s="500">
        <f>'Ocorrências Mensais - FAT'!G73</f>
        <v>1</v>
      </c>
      <c r="K54" s="499">
        <f t="shared" si="2"/>
        <v>4.91</v>
      </c>
      <c r="L54" s="496">
        <f t="shared" si="3"/>
        <v>3</v>
      </c>
      <c r="N54" s="241">
        <v>1.2</v>
      </c>
      <c r="O54" s="38">
        <f>ROUND(IF(Dados!$J$56="SIM",N54*Dados!$N$56,N54),2)</f>
        <v>1.2</v>
      </c>
      <c r="P54" s="38">
        <f>ROUND(IF(Dados!$J$57="SIM",O54*Dados!$N$57,O54),2)</f>
        <v>1.2</v>
      </c>
      <c r="Q54" s="38">
        <f>ROUND(IF(Dados!$J$58="SIM",P54*Dados!$N$58,P54),2)</f>
        <v>1.2</v>
      </c>
      <c r="R54" s="38">
        <f>ROUND(IF(Dados!$J$59="SIM",Q54*Dados!$N$59,Q54),2)</f>
        <v>1.2</v>
      </c>
      <c r="S54" s="228">
        <f>ROUND(IF(Dados!$J$60="SIM",R54*Dados!$N$60,R54),2)</f>
        <v>1.2</v>
      </c>
    </row>
    <row r="55" spans="1:19" ht="27.6">
      <c r="A55" s="486">
        <v>5</v>
      </c>
      <c r="B55" s="485" t="s">
        <v>634</v>
      </c>
      <c r="C55" s="83" t="s">
        <v>628</v>
      </c>
      <c r="D55" s="83" t="s">
        <v>635</v>
      </c>
      <c r="E55" s="90">
        <v>2</v>
      </c>
      <c r="F55" s="83" t="s">
        <v>378</v>
      </c>
      <c r="G55" s="223">
        <v>21.67</v>
      </c>
      <c r="H55" s="225"/>
      <c r="I55" s="69"/>
      <c r="J55" s="500">
        <f>'Ocorrências Mensais - FAT'!G74</f>
        <v>1</v>
      </c>
      <c r="K55" s="499">
        <f t="shared" si="2"/>
        <v>21.67</v>
      </c>
      <c r="L55" s="496">
        <f t="shared" si="3"/>
        <v>2</v>
      </c>
      <c r="N55" s="241">
        <v>1.5</v>
      </c>
      <c r="O55" s="38">
        <f>ROUND(IF(Dados!$J$56="SIM",N55*Dados!$N$56,N55),2)</f>
        <v>1.5</v>
      </c>
      <c r="P55" s="38">
        <f>ROUND(IF(Dados!$J$57="SIM",O55*Dados!$N$57,O55),2)</f>
        <v>1.5</v>
      </c>
      <c r="Q55" s="38">
        <f>ROUND(IF(Dados!$J$58="SIM",P55*Dados!$N$58,P55),2)</f>
        <v>1.5</v>
      </c>
      <c r="R55" s="38">
        <f>ROUND(IF(Dados!$J$59="SIM",Q55*Dados!$N$59,Q55),2)</f>
        <v>1.5</v>
      </c>
      <c r="S55" s="228">
        <f>ROUND(IF(Dados!$J$60="SIM",R55*Dados!$N$60,R55),2)</f>
        <v>1.5</v>
      </c>
    </row>
    <row r="56" spans="1:19" ht="27.6">
      <c r="A56" s="486">
        <v>6</v>
      </c>
      <c r="B56" s="485" t="s">
        <v>83</v>
      </c>
      <c r="C56" s="83" t="s">
        <v>84</v>
      </c>
      <c r="D56" s="83" t="s">
        <v>636</v>
      </c>
      <c r="E56" s="90">
        <v>1</v>
      </c>
      <c r="F56" s="83" t="s">
        <v>387</v>
      </c>
      <c r="G56" s="223">
        <v>9.7200000000000006</v>
      </c>
      <c r="H56" s="225"/>
      <c r="I56" s="69"/>
      <c r="J56" s="500">
        <f>'Ocorrências Mensais - FAT'!G75</f>
        <v>8.3333333333333329E-2</v>
      </c>
      <c r="K56" s="499">
        <f t="shared" si="2"/>
        <v>0.81</v>
      </c>
      <c r="L56" s="496">
        <f t="shared" si="3"/>
        <v>12</v>
      </c>
      <c r="N56" s="241">
        <v>1.6</v>
      </c>
      <c r="O56" s="38">
        <f>ROUND(IF(Dados!$J$56="SIM",N56*Dados!$N$56,N56),2)</f>
        <v>1.6</v>
      </c>
      <c r="P56" s="38">
        <f>ROUND(IF(Dados!$J$57="SIM",O56*Dados!$N$57,O56),2)</f>
        <v>1.6</v>
      </c>
      <c r="Q56" s="38">
        <f>ROUND(IF(Dados!$J$58="SIM",P56*Dados!$N$58,P56),2)</f>
        <v>1.6</v>
      </c>
      <c r="R56" s="38">
        <f>ROUND(IF(Dados!$J$59="SIM",Q56*Dados!$N$59,Q56),2)</f>
        <v>1.6</v>
      </c>
      <c r="S56" s="228">
        <f>ROUND(IF(Dados!$J$60="SIM",R56*Dados!$N$60,R56),2)</f>
        <v>1.6</v>
      </c>
    </row>
    <row r="57" spans="1:19">
      <c r="A57" s="486">
        <v>7</v>
      </c>
      <c r="B57" s="481" t="s">
        <v>637</v>
      </c>
      <c r="C57" s="83" t="s">
        <v>82</v>
      </c>
      <c r="D57" s="83" t="s">
        <v>581</v>
      </c>
      <c r="E57" s="90">
        <v>3</v>
      </c>
      <c r="F57" s="83" t="s">
        <v>380</v>
      </c>
      <c r="G57" s="223">
        <v>4.62</v>
      </c>
      <c r="H57" s="225"/>
      <c r="I57" s="69"/>
      <c r="J57" s="500">
        <f>'Ocorrências Mensais - FAT'!G76</f>
        <v>3</v>
      </c>
      <c r="K57" s="499">
        <f t="shared" si="2"/>
        <v>13.86</v>
      </c>
      <c r="L57" s="496">
        <f t="shared" si="3"/>
        <v>1</v>
      </c>
      <c r="N57" s="241">
        <v>1.3</v>
      </c>
      <c r="O57" s="38">
        <f>ROUND(IF(Dados!$J$56="SIM",N57*Dados!$N$56,N57),2)</f>
        <v>1.3</v>
      </c>
      <c r="P57" s="38">
        <f>ROUND(IF(Dados!$J$57="SIM",O57*Dados!$N$57,O57),2)</f>
        <v>1.3</v>
      </c>
      <c r="Q57" s="38">
        <f>ROUND(IF(Dados!$J$58="SIM",P57*Dados!$N$58,P57),2)</f>
        <v>1.3</v>
      </c>
      <c r="R57" s="38">
        <f>ROUND(IF(Dados!$J$59="SIM",Q57*Dados!$N$59,Q57),2)</f>
        <v>1.3</v>
      </c>
      <c r="S57" s="228">
        <f>ROUND(IF(Dados!$J$60="SIM",R57*Dados!$N$60,R57),2)</f>
        <v>1.3</v>
      </c>
    </row>
    <row r="58" spans="1:19">
      <c r="A58" s="486">
        <v>8</v>
      </c>
      <c r="B58" s="481" t="s">
        <v>638</v>
      </c>
      <c r="C58" s="83" t="s">
        <v>82</v>
      </c>
      <c r="D58" s="83" t="s">
        <v>74</v>
      </c>
      <c r="E58" s="90">
        <v>1</v>
      </c>
      <c r="F58" s="83" t="s">
        <v>381</v>
      </c>
      <c r="G58" s="223">
        <v>3.12</v>
      </c>
      <c r="H58" s="225"/>
      <c r="I58" s="69"/>
      <c r="J58" s="500">
        <f>'Ocorrências Mensais - FAT'!G77</f>
        <v>0.16666666666666666</v>
      </c>
      <c r="K58" s="499">
        <f t="shared" si="2"/>
        <v>0.52</v>
      </c>
      <c r="L58" s="496">
        <f t="shared" si="3"/>
        <v>6</v>
      </c>
      <c r="N58" s="241">
        <v>1.2</v>
      </c>
      <c r="O58" s="38">
        <f>ROUND(IF(Dados!$J$56="SIM",N58*Dados!$N$56,N58),2)</f>
        <v>1.2</v>
      </c>
      <c r="P58" s="38">
        <f>ROUND(IF(Dados!$J$57="SIM",O58*Dados!$N$57,O58),2)</f>
        <v>1.2</v>
      </c>
      <c r="Q58" s="38">
        <f>ROUND(IF(Dados!$J$58="SIM",P58*Dados!$N$58,P58),2)</f>
        <v>1.2</v>
      </c>
      <c r="R58" s="38">
        <f>ROUND(IF(Dados!$J$59="SIM",Q58*Dados!$N$59,Q58),2)</f>
        <v>1.2</v>
      </c>
      <c r="S58" s="228">
        <f>ROUND(IF(Dados!$J$60="SIM",R58*Dados!$N$60,R58),2)</f>
        <v>1.2</v>
      </c>
    </row>
    <row r="59" spans="1:19" ht="69">
      <c r="A59" s="486">
        <v>9</v>
      </c>
      <c r="B59" s="485" t="s">
        <v>585</v>
      </c>
      <c r="C59" s="83" t="s">
        <v>82</v>
      </c>
      <c r="D59" s="83" t="s">
        <v>639</v>
      </c>
      <c r="E59" s="90">
        <v>4</v>
      </c>
      <c r="F59" s="83" t="s">
        <v>380</v>
      </c>
      <c r="G59" s="223">
        <v>4.6399999999999997</v>
      </c>
      <c r="H59" s="225"/>
      <c r="I59" s="69"/>
      <c r="J59" s="500">
        <f>'Ocorrências Mensais - FAT'!G78</f>
        <v>4</v>
      </c>
      <c r="K59" s="499">
        <f t="shared" si="2"/>
        <v>18.559999999999999</v>
      </c>
      <c r="L59" s="496">
        <f t="shared" si="3"/>
        <v>1</v>
      </c>
      <c r="N59" s="241">
        <v>1.4</v>
      </c>
      <c r="O59" s="38">
        <f>ROUND(IF(Dados!$J$56="SIM",N59*Dados!$N$56,N59),2)</f>
        <v>1.4</v>
      </c>
      <c r="P59" s="38">
        <f>ROUND(IF(Dados!$J$57="SIM",O59*Dados!$N$57,O59),2)</f>
        <v>1.4</v>
      </c>
      <c r="Q59" s="38">
        <f>ROUND(IF(Dados!$J$58="SIM",P59*Dados!$N$58,P59),2)</f>
        <v>1.4</v>
      </c>
      <c r="R59" s="38">
        <f>ROUND(IF(Dados!$J$59="SIM",Q59*Dados!$N$59,Q59),2)</f>
        <v>1.4</v>
      </c>
      <c r="S59" s="228">
        <f>ROUND(IF(Dados!$J$60="SIM",R59*Dados!$N$60,R59),2)</f>
        <v>1.4</v>
      </c>
    </row>
    <row r="60" spans="1:19" ht="82.8">
      <c r="A60" s="474">
        <v>10</v>
      </c>
      <c r="B60" s="481" t="s">
        <v>394</v>
      </c>
      <c r="C60" s="83" t="s">
        <v>85</v>
      </c>
      <c r="D60" s="83" t="s">
        <v>86</v>
      </c>
      <c r="E60" s="90">
        <v>3</v>
      </c>
      <c r="F60" s="83" t="s">
        <v>393</v>
      </c>
      <c r="G60" s="223">
        <v>4.01</v>
      </c>
      <c r="H60" s="225"/>
      <c r="I60" s="69"/>
      <c r="J60" s="500">
        <f>'Ocorrências Mensais - FAT'!G79</f>
        <v>1</v>
      </c>
      <c r="K60" s="499">
        <f t="shared" si="2"/>
        <v>4.01</v>
      </c>
      <c r="L60" s="496">
        <f t="shared" si="3"/>
        <v>3</v>
      </c>
      <c r="N60" s="241">
        <v>1.2</v>
      </c>
      <c r="O60" s="38">
        <f>ROUND(IF(Dados!$J$56="SIM",N60*Dados!$N$56,N60),2)</f>
        <v>1.2</v>
      </c>
      <c r="P60" s="38">
        <f>ROUND(IF(Dados!$J$57="SIM",O60*Dados!$N$57,O60),2)</f>
        <v>1.2</v>
      </c>
      <c r="Q60" s="38">
        <f>ROUND(IF(Dados!$J$58="SIM",P60*Dados!$N$58,P60),2)</f>
        <v>1.2</v>
      </c>
      <c r="R60" s="38">
        <f>ROUND(IF(Dados!$J$59="SIM",Q60*Dados!$N$59,Q60),2)</f>
        <v>1.2</v>
      </c>
      <c r="S60" s="228">
        <f>ROUND(IF(Dados!$J$60="SIM",R60*Dados!$N$60,R60),2)</f>
        <v>1.2</v>
      </c>
    </row>
    <row r="61" spans="1:19" ht="82.8">
      <c r="A61" s="474">
        <v>11</v>
      </c>
      <c r="B61" s="481" t="s">
        <v>640</v>
      </c>
      <c r="C61" s="83" t="s">
        <v>85</v>
      </c>
      <c r="D61" s="83" t="s">
        <v>86</v>
      </c>
      <c r="E61" s="90">
        <v>3</v>
      </c>
      <c r="F61" s="83" t="s">
        <v>393</v>
      </c>
      <c r="G61" s="223">
        <v>5.23</v>
      </c>
      <c r="H61" s="225"/>
      <c r="I61" s="69"/>
      <c r="J61" s="500">
        <f>'Ocorrências Mensais - FAT'!G80</f>
        <v>1</v>
      </c>
      <c r="K61" s="499">
        <f t="shared" si="2"/>
        <v>5.23</v>
      </c>
      <c r="L61" s="496">
        <f t="shared" si="3"/>
        <v>3</v>
      </c>
      <c r="N61" s="241"/>
      <c r="O61" s="38"/>
      <c r="P61" s="38"/>
      <c r="Q61" s="38"/>
      <c r="R61" s="38"/>
      <c r="S61" s="228"/>
    </row>
    <row r="62" spans="1:19" ht="27.6">
      <c r="A62" s="474">
        <v>12</v>
      </c>
      <c r="B62" s="485" t="s">
        <v>641</v>
      </c>
      <c r="C62" s="83" t="s">
        <v>85</v>
      </c>
      <c r="D62" s="83" t="s">
        <v>642</v>
      </c>
      <c r="E62" s="90">
        <v>2</v>
      </c>
      <c r="F62" s="83" t="s">
        <v>393</v>
      </c>
      <c r="G62" s="223">
        <v>2.67</v>
      </c>
      <c r="H62" s="225"/>
      <c r="I62" s="69"/>
      <c r="J62" s="500">
        <f>'Ocorrências Mensais - FAT'!G81</f>
        <v>0.66666666666666663</v>
      </c>
      <c r="K62" s="499">
        <f t="shared" si="2"/>
        <v>1.7799999999999998</v>
      </c>
      <c r="L62" s="496">
        <f t="shared" si="3"/>
        <v>3</v>
      </c>
      <c r="N62" s="241"/>
      <c r="O62" s="38"/>
      <c r="P62" s="38"/>
      <c r="Q62" s="38"/>
      <c r="R62" s="38"/>
      <c r="S62" s="228"/>
    </row>
    <row r="63" spans="1:19">
      <c r="A63" s="474">
        <v>13</v>
      </c>
      <c r="B63" s="481" t="s">
        <v>643</v>
      </c>
      <c r="C63" s="83" t="s">
        <v>84</v>
      </c>
      <c r="D63" s="83" t="s">
        <v>644</v>
      </c>
      <c r="E63" s="90">
        <v>2</v>
      </c>
      <c r="F63" s="83" t="s">
        <v>380</v>
      </c>
      <c r="G63" s="223">
        <v>6.3</v>
      </c>
      <c r="H63" s="225"/>
      <c r="I63" s="69"/>
      <c r="J63" s="500">
        <f>'Ocorrências Mensais - FAT'!G82</f>
        <v>2</v>
      </c>
      <c r="K63" s="499">
        <f t="shared" si="2"/>
        <v>12.6</v>
      </c>
      <c r="L63" s="496">
        <f t="shared" si="3"/>
        <v>1</v>
      </c>
      <c r="N63" s="241"/>
      <c r="O63" s="38"/>
      <c r="P63" s="38"/>
      <c r="Q63" s="38"/>
      <c r="R63" s="38"/>
      <c r="S63" s="228"/>
    </row>
    <row r="64" spans="1:19">
      <c r="A64" s="474">
        <v>14</v>
      </c>
      <c r="B64" s="481" t="s">
        <v>645</v>
      </c>
      <c r="C64" s="83" t="s">
        <v>84</v>
      </c>
      <c r="D64" s="83" t="s">
        <v>594</v>
      </c>
      <c r="E64" s="90">
        <v>1</v>
      </c>
      <c r="F64" s="83" t="s">
        <v>380</v>
      </c>
      <c r="G64" s="223">
        <v>14.16</v>
      </c>
      <c r="H64" s="225"/>
      <c r="I64" s="69"/>
      <c r="J64" s="500">
        <f>'Ocorrências Mensais - FAT'!G83</f>
        <v>1</v>
      </c>
      <c r="K64" s="499">
        <f t="shared" si="2"/>
        <v>14.16</v>
      </c>
      <c r="L64" s="496">
        <f t="shared" si="3"/>
        <v>1</v>
      </c>
      <c r="N64" s="241"/>
      <c r="O64" s="38"/>
      <c r="P64" s="38"/>
      <c r="Q64" s="38"/>
      <c r="R64" s="38"/>
      <c r="S64" s="228"/>
    </row>
    <row r="65" spans="1:19" ht="27.6">
      <c r="A65" s="474">
        <v>15</v>
      </c>
      <c r="B65" s="481" t="s">
        <v>646</v>
      </c>
      <c r="C65" s="83" t="s">
        <v>84</v>
      </c>
      <c r="D65" s="83" t="s">
        <v>599</v>
      </c>
      <c r="E65" s="90">
        <v>1</v>
      </c>
      <c r="F65" s="83" t="s">
        <v>381</v>
      </c>
      <c r="G65" s="223">
        <v>11.67</v>
      </c>
      <c r="H65" s="225"/>
      <c r="I65" s="69"/>
      <c r="J65" s="500">
        <f>'Ocorrências Mensais - FAT'!G84</f>
        <v>0.16666666666666666</v>
      </c>
      <c r="K65" s="499">
        <f t="shared" si="2"/>
        <v>1.9449999999999998</v>
      </c>
      <c r="L65" s="496">
        <f t="shared" si="3"/>
        <v>6</v>
      </c>
      <c r="N65" s="241"/>
      <c r="O65" s="38"/>
      <c r="P65" s="38"/>
      <c r="Q65" s="38"/>
      <c r="R65" s="38"/>
      <c r="S65" s="228"/>
    </row>
    <row r="66" spans="1:19">
      <c r="A66" s="474">
        <v>16</v>
      </c>
      <c r="B66" s="481" t="s">
        <v>647</v>
      </c>
      <c r="C66" s="83" t="s">
        <v>84</v>
      </c>
      <c r="D66" s="83"/>
      <c r="E66" s="90">
        <v>5</v>
      </c>
      <c r="F66" s="83" t="s">
        <v>380</v>
      </c>
      <c r="G66" s="223">
        <v>6.89</v>
      </c>
      <c r="H66" s="225"/>
      <c r="I66" s="69"/>
      <c r="J66" s="500">
        <f>'Ocorrências Mensais - FAT'!G85</f>
        <v>5</v>
      </c>
      <c r="K66" s="499">
        <f t="shared" si="2"/>
        <v>34.449999999999996</v>
      </c>
      <c r="L66" s="496">
        <f t="shared" si="3"/>
        <v>1</v>
      </c>
      <c r="N66" s="241"/>
      <c r="O66" s="38"/>
      <c r="P66" s="38"/>
      <c r="Q66" s="38"/>
      <c r="R66" s="38"/>
      <c r="S66" s="228"/>
    </row>
    <row r="67" spans="1:19">
      <c r="A67" s="486">
        <v>17</v>
      </c>
      <c r="B67" s="481" t="s">
        <v>648</v>
      </c>
      <c r="C67" s="83" t="s">
        <v>84</v>
      </c>
      <c r="D67" s="83" t="s">
        <v>601</v>
      </c>
      <c r="E67" s="90">
        <v>8</v>
      </c>
      <c r="F67" s="83" t="s">
        <v>380</v>
      </c>
      <c r="G67" s="223">
        <v>4.13</v>
      </c>
      <c r="H67" s="225"/>
      <c r="I67" s="69"/>
      <c r="J67" s="500">
        <f>'Ocorrências Mensais - FAT'!G86</f>
        <v>8</v>
      </c>
      <c r="K67" s="499">
        <f t="shared" si="2"/>
        <v>33.04</v>
      </c>
      <c r="L67" s="496">
        <f t="shared" si="3"/>
        <v>1</v>
      </c>
      <c r="N67" s="241">
        <v>1.75</v>
      </c>
      <c r="O67" s="38">
        <f>ROUND(IF(Dados!$J$56="SIM",N67*Dados!$N$56,N67),2)</f>
        <v>1.75</v>
      </c>
      <c r="P67" s="38">
        <f>ROUND(IF(Dados!$J$57="SIM",O67*Dados!$N$57,O67),2)</f>
        <v>1.75</v>
      </c>
      <c r="Q67" s="38">
        <f>ROUND(IF(Dados!$J$58="SIM",P67*Dados!$N$58,P67),2)</f>
        <v>1.75</v>
      </c>
      <c r="R67" s="38">
        <f>ROUND(IF(Dados!$J$59="SIM",Q67*Dados!$N$59,Q67),2)</f>
        <v>1.75</v>
      </c>
      <c r="S67" s="228">
        <f>ROUND(IF(Dados!$J$60="SIM",R67*Dados!$N$60,R67),2)</f>
        <v>1.75</v>
      </c>
    </row>
    <row r="68" spans="1:19" ht="69">
      <c r="A68" s="486">
        <v>18</v>
      </c>
      <c r="B68" s="481" t="s">
        <v>649</v>
      </c>
      <c r="C68" s="83" t="s">
        <v>84</v>
      </c>
      <c r="D68" s="83" t="s">
        <v>650</v>
      </c>
      <c r="E68" s="90">
        <v>1</v>
      </c>
      <c r="F68" s="83" t="s">
        <v>381</v>
      </c>
      <c r="G68" s="223">
        <v>12.33</v>
      </c>
      <c r="H68" s="225"/>
      <c r="I68" s="69"/>
      <c r="J68" s="500">
        <f>'Ocorrências Mensais - FAT'!G87</f>
        <v>0.16666666666666666</v>
      </c>
      <c r="K68" s="499">
        <f t="shared" si="2"/>
        <v>2.0549999999999997</v>
      </c>
      <c r="L68" s="496">
        <f t="shared" si="3"/>
        <v>6</v>
      </c>
      <c r="N68" s="241">
        <v>3.1</v>
      </c>
      <c r="O68" s="38">
        <f>ROUND(IF(Dados!$J$56="SIM",N68*Dados!$N$56,N68),2)</f>
        <v>3.1</v>
      </c>
      <c r="P68" s="38">
        <f>ROUND(IF(Dados!$J$57="SIM",O68*Dados!$N$57,O68),2)</f>
        <v>3.1</v>
      </c>
      <c r="Q68" s="38">
        <f>ROUND(IF(Dados!$J$58="SIM",P68*Dados!$N$58,P68),2)</f>
        <v>3.1</v>
      </c>
      <c r="R68" s="38">
        <f>ROUND(IF(Dados!$J$59="SIM",Q68*Dados!$N$59,Q68),2)</f>
        <v>3.1</v>
      </c>
      <c r="S68" s="228">
        <f>ROUND(IF(Dados!$J$60="SIM",R68*Dados!$N$60,R68),2)</f>
        <v>3.1</v>
      </c>
    </row>
    <row r="69" spans="1:19">
      <c r="A69" s="486">
        <v>19</v>
      </c>
      <c r="B69" s="481" t="s">
        <v>651</v>
      </c>
      <c r="C69" s="83" t="s">
        <v>85</v>
      </c>
      <c r="D69" s="83" t="s">
        <v>652</v>
      </c>
      <c r="E69" s="90">
        <v>1</v>
      </c>
      <c r="F69" s="83" t="s">
        <v>380</v>
      </c>
      <c r="G69" s="223">
        <v>10.25</v>
      </c>
      <c r="H69" s="225"/>
      <c r="I69" s="69"/>
      <c r="J69" s="500">
        <f>'Ocorrências Mensais - FAT'!G88</f>
        <v>1</v>
      </c>
      <c r="K69" s="499">
        <f t="shared" si="2"/>
        <v>10.25</v>
      </c>
      <c r="L69" s="496">
        <f t="shared" si="3"/>
        <v>1</v>
      </c>
      <c r="N69" s="241">
        <v>1.8</v>
      </c>
      <c r="O69" s="38">
        <f>ROUND(IF(Dados!$J$56="SIM",N69*Dados!$N$56,N69),2)</f>
        <v>1.8</v>
      </c>
      <c r="P69" s="38">
        <f>ROUND(IF(Dados!$J$57="SIM",O69*Dados!$N$57,O69),2)</f>
        <v>1.8</v>
      </c>
      <c r="Q69" s="38">
        <f>ROUND(IF(Dados!$J$58="SIM",P69*Dados!$N$58,P69),2)</f>
        <v>1.8</v>
      </c>
      <c r="R69" s="38">
        <f>ROUND(IF(Dados!$J$59="SIM",Q69*Dados!$N$59,Q69),2)</f>
        <v>1.8</v>
      </c>
      <c r="S69" s="228">
        <f>ROUND(IF(Dados!$J$60="SIM",R69*Dados!$N$60,R69),2)</f>
        <v>1.8</v>
      </c>
    </row>
    <row r="70" spans="1:19">
      <c r="A70" s="486">
        <v>20</v>
      </c>
      <c r="B70" s="481" t="s">
        <v>612</v>
      </c>
      <c r="C70" s="83" t="s">
        <v>653</v>
      </c>
      <c r="D70" s="83" t="s">
        <v>614</v>
      </c>
      <c r="E70" s="90">
        <v>1</v>
      </c>
      <c r="F70" s="83" t="s">
        <v>380</v>
      </c>
      <c r="G70" s="223">
        <v>16.27</v>
      </c>
      <c r="H70" s="225"/>
      <c r="I70" s="69"/>
      <c r="J70" s="500">
        <f>'Ocorrências Mensais - FAT'!G89</f>
        <v>1</v>
      </c>
      <c r="K70" s="499">
        <f t="shared" si="2"/>
        <v>16.27</v>
      </c>
      <c r="L70" s="496">
        <f t="shared" si="3"/>
        <v>1</v>
      </c>
      <c r="N70" s="241">
        <v>2.5</v>
      </c>
      <c r="O70" s="38">
        <f>ROUND(IF(Dados!$J$56="SIM",N70*Dados!$N$56,N70),2)</f>
        <v>2.5</v>
      </c>
      <c r="P70" s="38">
        <f>ROUND(IF(Dados!$J$57="SIM",O70*Dados!$N$57,O70),2)</f>
        <v>2.5</v>
      </c>
      <c r="Q70" s="38">
        <f>ROUND(IF(Dados!$J$58="SIM",P70*Dados!$N$58,P70),2)</f>
        <v>2.5</v>
      </c>
      <c r="R70" s="38">
        <f>ROUND(IF(Dados!$J$59="SIM",Q70*Dados!$N$59,Q70),2)</f>
        <v>2.5</v>
      </c>
      <c r="S70" s="228">
        <f>ROUND(IF(Dados!$J$60="SIM",R70*Dados!$N$60,R70),2)</f>
        <v>2.5</v>
      </c>
    </row>
    <row r="71" spans="1:19" ht="27.6">
      <c r="A71" s="486">
        <v>21</v>
      </c>
      <c r="B71" s="481" t="s">
        <v>617</v>
      </c>
      <c r="C71" s="83" t="s">
        <v>82</v>
      </c>
      <c r="D71" s="83"/>
      <c r="E71" s="90">
        <v>4</v>
      </c>
      <c r="F71" s="83" t="s">
        <v>380</v>
      </c>
      <c r="G71" s="223">
        <v>10.85</v>
      </c>
      <c r="H71" s="225"/>
      <c r="I71" s="69"/>
      <c r="J71" s="500">
        <f>'Ocorrências Mensais - FAT'!G90</f>
        <v>4</v>
      </c>
      <c r="K71" s="499">
        <f t="shared" si="2"/>
        <v>43.4</v>
      </c>
      <c r="L71" s="496">
        <f t="shared" si="3"/>
        <v>1</v>
      </c>
      <c r="N71" s="241">
        <v>2.5</v>
      </c>
      <c r="O71" s="38">
        <f>ROUND(IF(Dados!$J$56="SIM",N71*Dados!$N$56,N71),2)</f>
        <v>2.5</v>
      </c>
      <c r="P71" s="38">
        <f>ROUND(IF(Dados!$J$57="SIM",O71*Dados!$N$57,O71),2)</f>
        <v>2.5</v>
      </c>
      <c r="Q71" s="38">
        <f>ROUND(IF(Dados!$J$58="SIM",P71*Dados!$N$58,P71),2)</f>
        <v>2.5</v>
      </c>
      <c r="R71" s="38">
        <f>ROUND(IF(Dados!$J$59="SIM",Q71*Dados!$N$59,Q71),2)</f>
        <v>2.5</v>
      </c>
      <c r="S71" s="228">
        <f>ROUND(IF(Dados!$J$60="SIM",R71*Dados!$N$60,R71),2)</f>
        <v>2.5</v>
      </c>
    </row>
    <row r="72" spans="1:19">
      <c r="A72" s="486">
        <v>22</v>
      </c>
      <c r="B72" s="481" t="s">
        <v>654</v>
      </c>
      <c r="C72" s="83" t="s">
        <v>619</v>
      </c>
      <c r="D72" s="83" t="s">
        <v>620</v>
      </c>
      <c r="E72" s="90">
        <v>1</v>
      </c>
      <c r="F72" s="83" t="s">
        <v>380</v>
      </c>
      <c r="G72" s="223">
        <v>16.100000000000001</v>
      </c>
      <c r="H72" s="225"/>
      <c r="I72" s="69"/>
      <c r="J72" s="500">
        <f>'Ocorrências Mensais - FAT'!G91</f>
        <v>1</v>
      </c>
      <c r="K72" s="499">
        <f t="shared" si="2"/>
        <v>16.100000000000001</v>
      </c>
      <c r="L72" s="496">
        <f t="shared" si="3"/>
        <v>1</v>
      </c>
      <c r="N72" s="241">
        <v>4.0999999999999996</v>
      </c>
      <c r="O72" s="38">
        <f>ROUND(IF(Dados!$J$56="SIM",N72*Dados!$N$56,N72),2)</f>
        <v>4.0999999999999996</v>
      </c>
      <c r="P72" s="38">
        <f>ROUND(IF(Dados!$J$57="SIM",O72*Dados!$N$57,O72),2)</f>
        <v>4.0999999999999996</v>
      </c>
      <c r="Q72" s="38">
        <f>ROUND(IF(Dados!$J$58="SIM",P72*Dados!$N$58,P72),2)</f>
        <v>4.0999999999999996</v>
      </c>
      <c r="R72" s="38">
        <f>ROUND(IF(Dados!$J$59="SIM",Q72*Dados!$N$59,Q72),2)</f>
        <v>4.0999999999999996</v>
      </c>
      <c r="S72" s="228">
        <f>ROUND(IF(Dados!$J$60="SIM",R72*Dados!$N$60,R72),2)</f>
        <v>4.0999999999999996</v>
      </c>
    </row>
    <row r="73" spans="1:19">
      <c r="A73" s="486">
        <v>23</v>
      </c>
      <c r="B73" s="481" t="s">
        <v>655</v>
      </c>
      <c r="C73" s="83" t="s">
        <v>82</v>
      </c>
      <c r="D73" s="83" t="s">
        <v>75</v>
      </c>
      <c r="E73" s="90">
        <v>1</v>
      </c>
      <c r="F73" s="83" t="s">
        <v>393</v>
      </c>
      <c r="G73" s="223">
        <v>6.02</v>
      </c>
      <c r="H73" s="225"/>
      <c r="I73" s="69"/>
      <c r="J73" s="500">
        <f>'Ocorrências Mensais - FAT'!G92</f>
        <v>0.33333333333333331</v>
      </c>
      <c r="K73" s="499">
        <f t="shared" si="2"/>
        <v>2.0066666666666664</v>
      </c>
      <c r="L73" s="496">
        <f t="shared" si="3"/>
        <v>3</v>
      </c>
      <c r="N73" s="241">
        <v>1.8</v>
      </c>
      <c r="O73" s="38">
        <f>ROUND(IF(Dados!$J$56="SIM",N73*Dados!$N$56,N73),2)</f>
        <v>1.8</v>
      </c>
      <c r="P73" s="38">
        <f>ROUND(IF(Dados!$J$57="SIM",O73*Dados!$N$57,O73),2)</f>
        <v>1.8</v>
      </c>
      <c r="Q73" s="38">
        <f>ROUND(IF(Dados!$J$58="SIM",P73*Dados!$N$58,P73),2)</f>
        <v>1.8</v>
      </c>
      <c r="R73" s="38">
        <f>ROUND(IF(Dados!$J$59="SIM",Q73*Dados!$N$59,Q73),2)</f>
        <v>1.8</v>
      </c>
      <c r="S73" s="228">
        <f>ROUND(IF(Dados!$J$60="SIM",R73*Dados!$N$60,R73),2)</f>
        <v>1.8</v>
      </c>
    </row>
    <row r="74" spans="1:19">
      <c r="A74" s="486">
        <v>24</v>
      </c>
      <c r="B74" s="481" t="s">
        <v>624</v>
      </c>
      <c r="C74" s="83" t="s">
        <v>82</v>
      </c>
      <c r="D74" s="83" t="s">
        <v>656</v>
      </c>
      <c r="E74" s="90">
        <v>1</v>
      </c>
      <c r="F74" s="83" t="s">
        <v>381</v>
      </c>
      <c r="G74" s="223">
        <v>15.98</v>
      </c>
      <c r="H74" s="225"/>
      <c r="I74" s="69"/>
      <c r="J74" s="500">
        <f>'Ocorrências Mensais - FAT'!G93</f>
        <v>0.16666666666666666</v>
      </c>
      <c r="K74" s="499">
        <f t="shared" si="2"/>
        <v>2.6633333333333331</v>
      </c>
      <c r="L74" s="496">
        <f t="shared" si="3"/>
        <v>6</v>
      </c>
      <c r="N74" s="242">
        <v>2</v>
      </c>
      <c r="O74" s="231">
        <f>ROUND(IF(Dados!$J$56="SIM",N74*Dados!$N$56,N74),2)</f>
        <v>2</v>
      </c>
      <c r="P74" s="231">
        <f>ROUND(IF(Dados!$J$57="SIM",O74*Dados!$N$57,O74),2)</f>
        <v>2</v>
      </c>
      <c r="Q74" s="231">
        <f>ROUND(IF(Dados!$J$58="SIM",P74*Dados!$N$58,P74),2)</f>
        <v>2</v>
      </c>
      <c r="R74" s="231">
        <f>ROUND(IF(Dados!$J$59="SIM",Q74*Dados!$N$59,Q74),2)</f>
        <v>2</v>
      </c>
      <c r="S74" s="232">
        <f>ROUND(IF(Dados!$J$60="SIM",R74*Dados!$N$60,R74),2)</f>
        <v>2</v>
      </c>
    </row>
    <row r="75" spans="1:19" ht="15.6">
      <c r="A75" s="665"/>
      <c r="B75" s="665"/>
      <c r="C75" s="665"/>
      <c r="D75" s="665"/>
      <c r="E75" s="665"/>
      <c r="F75" s="665"/>
      <c r="G75" s="665"/>
      <c r="H75" s="501"/>
      <c r="I75" s="69"/>
      <c r="J75" s="502" t="s">
        <v>195</v>
      </c>
      <c r="K75" s="503">
        <f>SUM(K51:K74)</f>
        <v>280.19833333333338</v>
      </c>
      <c r="L75" s="69"/>
      <c r="N75" s="3"/>
      <c r="O75" s="3"/>
      <c r="P75" s="3"/>
      <c r="Q75" s="3"/>
      <c r="R75" s="3"/>
      <c r="S75" s="3"/>
    </row>
    <row r="76" spans="1:19">
      <c r="A76" s="236"/>
      <c r="H76" s="506"/>
      <c r="I76" s="506"/>
      <c r="N76" s="3"/>
      <c r="O76" s="3"/>
      <c r="P76" s="3"/>
      <c r="Q76" s="3"/>
      <c r="R76" s="3"/>
      <c r="S76" s="3"/>
    </row>
    <row r="77" spans="1:19" s="209" customFormat="1">
      <c r="A77" s="64"/>
      <c r="B77" s="69"/>
      <c r="C77" s="69"/>
      <c r="D77" s="69"/>
      <c r="E77" s="69"/>
      <c r="F77" s="69"/>
      <c r="G77" s="69"/>
      <c r="K77" s="69"/>
    </row>
  </sheetData>
  <sheetProtection algorithmName="SHA-512" hashValue="AU2xqp3q3p3/RYNT2uKGz+84j0Vh3qni8FABIoQzvzmKYpQGJrFeMSkgeaNna5MvltQ182PsXH8EexbcDOfIrg==" saltValue="HCdRdUPdhiMeOs/QUjXqvA==" spinCount="100000" sheet="1" objects="1" scenarios="1"/>
  <mergeCells count="15">
    <mergeCell ref="A4:H4"/>
    <mergeCell ref="A5:H5"/>
    <mergeCell ref="N5:S7"/>
    <mergeCell ref="A6:A8"/>
    <mergeCell ref="B6:D7"/>
    <mergeCell ref="H6:H8"/>
    <mergeCell ref="J7:L7"/>
    <mergeCell ref="A75:G75"/>
    <mergeCell ref="A45:G45"/>
    <mergeCell ref="A47:H47"/>
    <mergeCell ref="N47:S49"/>
    <mergeCell ref="A49:A50"/>
    <mergeCell ref="B49:D49"/>
    <mergeCell ref="H49:H50"/>
    <mergeCell ref="J49:L49"/>
  </mergeCells>
  <dataValidations count="1">
    <dataValidation type="list" allowBlank="1" showInputMessage="1" showErrorMessage="1" sqref="F51:F74 F9:F44">
      <formula1>"Mensal,Bimestral,Trimestral,Quadrimestral,Semestral,Anual,Bienal"</formula1>
      <formula2>0</formula2>
    </dataValidation>
  </dataValidation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49" fitToHeight="2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showGridLines="0" zoomScaleNormal="100" zoomScaleSheetLayoutView="140" zoomScalePageLayoutView="140" workbookViewId="0">
      <selection activeCell="D12" activeCellId="1" sqref="D9:D10 D12"/>
    </sheetView>
  </sheetViews>
  <sheetFormatPr defaultColWidth="8.6640625" defaultRowHeight="14.4"/>
  <cols>
    <col min="1" max="1" width="5.5546875" style="69" customWidth="1"/>
    <col min="2" max="2" width="64.6640625" style="69" customWidth="1"/>
    <col min="3" max="3" width="7.88671875" style="69" customWidth="1"/>
    <col min="4" max="6" width="13.6640625" style="69" customWidth="1"/>
    <col min="7" max="255" width="9" customWidth="1"/>
    <col min="256" max="256" width="5.5546875" customWidth="1"/>
    <col min="257" max="257" width="45.109375" customWidth="1"/>
    <col min="258" max="258" width="6.33203125" customWidth="1"/>
    <col min="259" max="262" width="13.6640625" customWidth="1"/>
    <col min="263" max="511" width="9" customWidth="1"/>
    <col min="512" max="512" width="5.5546875" customWidth="1"/>
    <col min="513" max="513" width="45.109375" customWidth="1"/>
    <col min="514" max="514" width="6.33203125" customWidth="1"/>
    <col min="515" max="518" width="13.6640625" customWidth="1"/>
    <col min="519" max="767" width="9" customWidth="1"/>
    <col min="768" max="768" width="5.5546875" customWidth="1"/>
    <col min="769" max="769" width="45.109375" customWidth="1"/>
    <col min="770" max="770" width="6.33203125" customWidth="1"/>
    <col min="771" max="774" width="13.6640625" customWidth="1"/>
    <col min="775" max="1024" width="9" customWidth="1"/>
  </cols>
  <sheetData>
    <row r="1" spans="1:6" s="69" customFormat="1" ht="11.25" customHeight="1">
      <c r="A1" s="165"/>
      <c r="B1" s="99" t="str">
        <f>INSTRUÇÕES!B1</f>
        <v>Tribunal Regional Federal da 6ª Região</v>
      </c>
      <c r="C1" s="243"/>
      <c r="D1" s="244"/>
      <c r="E1" s="244"/>
      <c r="F1" s="245"/>
    </row>
    <row r="2" spans="1:6" s="69" customFormat="1" ht="11.25" customHeight="1">
      <c r="A2" s="167"/>
      <c r="B2" s="101" t="str">
        <f>INSTRUÇÕES!B2</f>
        <v>Seção Judiciária de Minas Gerais</v>
      </c>
      <c r="C2" s="246"/>
      <c r="D2" s="247"/>
      <c r="E2" s="247"/>
      <c r="F2" s="248"/>
    </row>
    <row r="3" spans="1:6" s="69" customFormat="1" ht="10.5" customHeight="1">
      <c r="A3" s="169"/>
      <c r="B3" s="101" t="str">
        <f>INSTRUÇÕES!B3</f>
        <v>Subseção Judiciária de Poços de Caldas</v>
      </c>
      <c r="C3" s="246"/>
      <c r="D3" s="247"/>
      <c r="E3" s="247"/>
      <c r="F3" s="248"/>
    </row>
    <row r="4" spans="1:6" s="69" customFormat="1" ht="21.75" customHeight="1">
      <c r="A4" s="672" t="s">
        <v>693</v>
      </c>
      <c r="B4" s="672"/>
      <c r="C4" s="672"/>
      <c r="D4" s="672"/>
      <c r="E4" s="672"/>
      <c r="F4" s="672"/>
    </row>
    <row r="5" spans="1:6" s="69" customFormat="1" ht="26.25" customHeight="1">
      <c r="A5" s="673" t="s">
        <v>369</v>
      </c>
      <c r="B5" s="673"/>
      <c r="C5" s="673"/>
      <c r="D5" s="673"/>
      <c r="E5" s="673"/>
      <c r="F5" s="673"/>
    </row>
    <row r="6" spans="1:6" s="69" customFormat="1" ht="15.6">
      <c r="A6" s="249"/>
      <c r="B6" s="250"/>
      <c r="C6" s="250"/>
      <c r="D6" s="250" t="s">
        <v>395</v>
      </c>
      <c r="E6" s="250"/>
      <c r="F6" s="251"/>
    </row>
    <row r="7" spans="1:6" s="69" customFormat="1" ht="27.6">
      <c r="A7" s="252" t="s">
        <v>396</v>
      </c>
      <c r="B7" s="472" t="s">
        <v>397</v>
      </c>
      <c r="C7" s="472" t="s">
        <v>398</v>
      </c>
      <c r="D7" s="253" t="s">
        <v>399</v>
      </c>
      <c r="E7" s="253" t="s">
        <v>400</v>
      </c>
      <c r="F7" s="254" t="s">
        <v>401</v>
      </c>
    </row>
    <row r="8" spans="1:6" s="69" customFormat="1" ht="13.8">
      <c r="A8" s="674" t="s">
        <v>661</v>
      </c>
      <c r="B8" s="674"/>
      <c r="C8" s="674"/>
      <c r="D8" s="674"/>
      <c r="E8" s="674"/>
      <c r="F8" s="674"/>
    </row>
    <row r="9" spans="1:6" s="69" customFormat="1" ht="13.8">
      <c r="A9" s="255">
        <v>1</v>
      </c>
      <c r="B9" s="481" t="s">
        <v>657</v>
      </c>
      <c r="C9" s="256">
        <v>1</v>
      </c>
      <c r="D9" s="257">
        <v>236.01</v>
      </c>
      <c r="E9" s="258">
        <f>ROUND((D9*C9),2)</f>
        <v>236.01</v>
      </c>
      <c r="F9" s="259">
        <f>ROUND(E9/12,2)</f>
        <v>19.670000000000002</v>
      </c>
    </row>
    <row r="10" spans="1:6" s="69" customFormat="1" ht="13.8">
      <c r="A10" s="255">
        <v>2</v>
      </c>
      <c r="B10" s="481" t="s">
        <v>658</v>
      </c>
      <c r="C10" s="256">
        <v>1</v>
      </c>
      <c r="D10" s="257">
        <v>237.09</v>
      </c>
      <c r="E10" s="258">
        <f>ROUND((D10*C10),2)</f>
        <v>237.09</v>
      </c>
      <c r="F10" s="259">
        <f t="shared" ref="F10" si="0">ROUND(E10/12,2)</f>
        <v>19.760000000000002</v>
      </c>
    </row>
    <row r="11" spans="1:6" s="69" customFormat="1" ht="15" customHeight="1">
      <c r="A11" s="678" t="s">
        <v>664</v>
      </c>
      <c r="B11" s="679"/>
      <c r="C11" s="679"/>
      <c r="D11" s="679"/>
      <c r="E11" s="679"/>
      <c r="F11" s="487">
        <f>SUM(F9:F10)</f>
        <v>39.430000000000007</v>
      </c>
    </row>
    <row r="12" spans="1:6" s="69" customFormat="1" ht="27.6">
      <c r="A12" s="255">
        <v>1</v>
      </c>
      <c r="B12" s="482" t="s">
        <v>663</v>
      </c>
      <c r="C12" s="256">
        <v>2</v>
      </c>
      <c r="D12" s="260">
        <v>101.48</v>
      </c>
      <c r="E12" s="258">
        <f>ROUND((D12*C12),2)</f>
        <v>202.96</v>
      </c>
      <c r="F12" s="259">
        <f>ROUND(E12/12,2)</f>
        <v>16.91</v>
      </c>
    </row>
    <row r="13" spans="1:6" s="69" customFormat="1" ht="15.75" customHeight="1" thickBot="1">
      <c r="A13" s="675" t="s">
        <v>665</v>
      </c>
      <c r="B13" s="676"/>
      <c r="C13" s="676"/>
      <c r="D13" s="676"/>
      <c r="E13" s="677"/>
      <c r="F13" s="263">
        <f>F12</f>
        <v>16.91</v>
      </c>
    </row>
  </sheetData>
  <sheetProtection algorithmName="SHA-512" hashValue="l/1lczsJDUzAYXbX4KXhCophK0qUyJOlYWdrCKnOP6a3veNo+aN3J7EBRIZO3MpLQiJ3fDCD6q2p2Hx9KxcrDQ==" saltValue="2yrpjXVUMVpIaIGknI+Hqg==" spinCount="100000" sheet="1" objects="1" scenarios="1"/>
  <mergeCells count="5">
    <mergeCell ref="A4:F4"/>
    <mergeCell ref="A5:F5"/>
    <mergeCell ref="A8:F8"/>
    <mergeCell ref="A13:E13"/>
    <mergeCell ref="A11:E11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79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showGridLines="0" view="pageBreakPreview" zoomScale="140" zoomScaleNormal="100" zoomScalePageLayoutView="140" workbookViewId="0">
      <selection activeCell="B23" sqref="B23"/>
    </sheetView>
  </sheetViews>
  <sheetFormatPr defaultColWidth="8.6640625" defaultRowHeight="14.4"/>
  <cols>
    <col min="1" max="1" width="5.5546875" style="69" customWidth="1"/>
    <col min="2" max="2" width="64.6640625" style="69" customWidth="1"/>
    <col min="3" max="3" width="7.88671875" style="69" customWidth="1"/>
    <col min="4" max="7" width="13.6640625" style="69" customWidth="1"/>
    <col min="8" max="256" width="9" customWidth="1"/>
    <col min="257" max="257" width="5.5546875" customWidth="1"/>
    <col min="258" max="258" width="45.109375" customWidth="1"/>
    <col min="259" max="259" width="6.33203125" customWidth="1"/>
    <col min="260" max="263" width="13.6640625" customWidth="1"/>
    <col min="264" max="512" width="9" customWidth="1"/>
    <col min="513" max="513" width="5.5546875" customWidth="1"/>
    <col min="514" max="514" width="45.109375" customWidth="1"/>
    <col min="515" max="515" width="6.33203125" customWidth="1"/>
    <col min="516" max="519" width="13.6640625" customWidth="1"/>
    <col min="520" max="768" width="9" customWidth="1"/>
    <col min="769" max="769" width="5.5546875" customWidth="1"/>
    <col min="770" max="770" width="45.109375" customWidth="1"/>
    <col min="771" max="771" width="6.33203125" customWidth="1"/>
    <col min="772" max="775" width="13.6640625" customWidth="1"/>
    <col min="776" max="1025" width="9" customWidth="1"/>
  </cols>
  <sheetData>
    <row r="1" spans="1:7" s="69" customFormat="1" ht="11.25" customHeight="1">
      <c r="A1" s="165"/>
      <c r="B1" s="99" t="str">
        <f>INSTRUÇÕES!B1</f>
        <v>Tribunal Regional Federal da 6ª Região</v>
      </c>
      <c r="C1" s="243"/>
      <c r="D1" s="244"/>
      <c r="E1" s="244"/>
      <c r="F1" s="244"/>
      <c r="G1" s="245"/>
    </row>
    <row r="2" spans="1:7" s="69" customFormat="1" ht="11.25" customHeight="1">
      <c r="A2" s="167"/>
      <c r="B2" s="101" t="str">
        <f>INSTRUÇÕES!B2</f>
        <v>Seção Judiciária de Minas Gerais</v>
      </c>
      <c r="C2" s="246"/>
      <c r="D2" s="247"/>
      <c r="E2" s="247"/>
      <c r="F2" s="247"/>
      <c r="G2" s="248"/>
    </row>
    <row r="3" spans="1:7" s="69" customFormat="1" ht="10.5" customHeight="1">
      <c r="A3" s="169"/>
      <c r="B3" s="101" t="str">
        <f>INSTRUÇÕES!B3</f>
        <v>Subseção Judiciária de Poços de Caldas</v>
      </c>
      <c r="C3" s="246"/>
      <c r="D3" s="247"/>
      <c r="E3" s="247"/>
      <c r="F3" s="247"/>
      <c r="G3" s="248"/>
    </row>
    <row r="4" spans="1:7" s="69" customFormat="1" ht="21.75" customHeight="1">
      <c r="A4" s="672" t="s">
        <v>694</v>
      </c>
      <c r="B4" s="672"/>
      <c r="C4" s="672"/>
      <c r="D4" s="672"/>
      <c r="E4" s="672"/>
      <c r="F4" s="672"/>
      <c r="G4" s="672"/>
    </row>
    <row r="5" spans="1:7" s="69" customFormat="1" ht="26.25" customHeight="1">
      <c r="A5" s="673" t="s">
        <v>369</v>
      </c>
      <c r="B5" s="673"/>
      <c r="C5" s="673"/>
      <c r="D5" s="673"/>
      <c r="E5" s="673"/>
      <c r="F5" s="673"/>
      <c r="G5" s="673"/>
    </row>
    <row r="6" spans="1:7" s="69" customFormat="1" ht="15.6">
      <c r="A6" s="249"/>
      <c r="B6" s="250"/>
      <c r="C6" s="250"/>
      <c r="D6" s="250" t="s">
        <v>395</v>
      </c>
      <c r="E6" s="250"/>
      <c r="G6" s="251">
        <v>0.1</v>
      </c>
    </row>
    <row r="7" spans="1:7" s="69" customFormat="1" ht="27.6">
      <c r="A7" s="252" t="s">
        <v>396</v>
      </c>
      <c r="B7" s="217" t="s">
        <v>397</v>
      </c>
      <c r="C7" s="217" t="s">
        <v>398</v>
      </c>
      <c r="D7" s="253" t="s">
        <v>399</v>
      </c>
      <c r="E7" s="253" t="s">
        <v>400</v>
      </c>
      <c r="F7" s="253" t="s">
        <v>659</v>
      </c>
      <c r="G7" s="254" t="s">
        <v>401</v>
      </c>
    </row>
    <row r="8" spans="1:7" s="69" customFormat="1" ht="13.8">
      <c r="A8" s="674" t="s">
        <v>660</v>
      </c>
      <c r="B8" s="674"/>
      <c r="C8" s="674"/>
      <c r="D8" s="674"/>
      <c r="E8" s="674"/>
      <c r="F8" s="674"/>
      <c r="G8" s="674"/>
    </row>
    <row r="9" spans="1:7" s="69" customFormat="1" ht="13.8">
      <c r="A9" s="255">
        <v>1</v>
      </c>
      <c r="B9" s="481" t="s">
        <v>563</v>
      </c>
      <c r="C9" s="256">
        <v>1</v>
      </c>
      <c r="D9" s="257">
        <v>538.23</v>
      </c>
      <c r="E9" s="258">
        <f>ROUND((D9*C9),2)</f>
        <v>538.23</v>
      </c>
      <c r="F9" s="258">
        <f>ROUND(E9*$G$6,2)</f>
        <v>53.82</v>
      </c>
      <c r="G9" s="259">
        <f>ROUND(F9/12,2)</f>
        <v>4.49</v>
      </c>
    </row>
    <row r="10" spans="1:7" s="69" customFormat="1" ht="13.8">
      <c r="A10" s="255">
        <v>2</v>
      </c>
      <c r="B10" s="481" t="s">
        <v>564</v>
      </c>
      <c r="C10" s="256">
        <v>1</v>
      </c>
      <c r="D10" s="257">
        <v>730.39</v>
      </c>
      <c r="E10" s="258">
        <f>ROUND((D10*C10),2)</f>
        <v>730.39</v>
      </c>
      <c r="F10" s="258">
        <f>ROUND(E10*$G$6,2)</f>
        <v>73.040000000000006</v>
      </c>
      <c r="G10" s="259">
        <f>ROUND(F10/12,2)</f>
        <v>6.09</v>
      </c>
    </row>
    <row r="11" spans="1:7" s="69" customFormat="1" ht="13.8">
      <c r="A11" s="255">
        <v>3</v>
      </c>
      <c r="B11" s="482" t="s">
        <v>565</v>
      </c>
      <c r="C11" s="256">
        <v>1</v>
      </c>
      <c r="D11" s="260">
        <v>680</v>
      </c>
      <c r="E11" s="258">
        <f>ROUND((D11*C11),2)</f>
        <v>680</v>
      </c>
      <c r="F11" s="258">
        <f>ROUND(E11*$G$6,2)</f>
        <v>68</v>
      </c>
      <c r="G11" s="259">
        <f>ROUND(F11/12,2)</f>
        <v>5.67</v>
      </c>
    </row>
    <row r="12" spans="1:7" s="69" customFormat="1" ht="13.8">
      <c r="A12" s="261">
        <v>4</v>
      </c>
      <c r="B12" s="482" t="s">
        <v>686</v>
      </c>
      <c r="C12" s="256">
        <v>1</v>
      </c>
      <c r="D12" s="262">
        <v>33.76</v>
      </c>
      <c r="E12" s="258">
        <f>ROUND((D12*C12),2)</f>
        <v>33.76</v>
      </c>
      <c r="F12" s="258">
        <f>ROUND(E12*$G$6,2)</f>
        <v>3.38</v>
      </c>
      <c r="G12" s="259">
        <f>ROUND(F12/12,2)</f>
        <v>0.28000000000000003</v>
      </c>
    </row>
    <row r="13" spans="1:7" s="69" customFormat="1" ht="13.8">
      <c r="A13" s="261">
        <v>5</v>
      </c>
      <c r="B13" s="481" t="s">
        <v>566</v>
      </c>
      <c r="C13" s="256">
        <v>1</v>
      </c>
      <c r="D13" s="262">
        <v>62.59</v>
      </c>
      <c r="E13" s="258">
        <f>ROUND((D13*C13),2)</f>
        <v>62.59</v>
      </c>
      <c r="F13" s="258">
        <f>ROUND(E13*$G$6,2)</f>
        <v>6.26</v>
      </c>
      <c r="G13" s="259">
        <f>ROUND(F13/12,2)</f>
        <v>0.52</v>
      </c>
    </row>
    <row r="14" spans="1:7" s="69" customFormat="1" ht="13.8">
      <c r="A14" s="261">
        <v>6</v>
      </c>
      <c r="B14" s="483" t="s">
        <v>567</v>
      </c>
      <c r="C14" s="480">
        <v>1</v>
      </c>
      <c r="D14" s="262">
        <v>46.71</v>
      </c>
      <c r="E14" s="258">
        <f t="shared" ref="E14:E15" si="0">ROUND((D14*C14),2)</f>
        <v>46.71</v>
      </c>
      <c r="F14" s="258">
        <f t="shared" ref="F14:F15" si="1">ROUND(E14*$G$6,2)</f>
        <v>4.67</v>
      </c>
      <c r="G14" s="259">
        <f t="shared" ref="G14:G15" si="2">ROUND(F14/12,2)</f>
        <v>0.39</v>
      </c>
    </row>
    <row r="15" spans="1:7" s="69" customFormat="1" ht="13.8">
      <c r="A15" s="261">
        <v>7</v>
      </c>
      <c r="B15" s="483" t="s">
        <v>568</v>
      </c>
      <c r="C15" s="480">
        <v>1</v>
      </c>
      <c r="D15" s="262">
        <v>392.14</v>
      </c>
      <c r="E15" s="258">
        <f t="shared" si="0"/>
        <v>392.14</v>
      </c>
      <c r="F15" s="258">
        <f t="shared" si="1"/>
        <v>39.21</v>
      </c>
      <c r="G15" s="259">
        <f t="shared" si="2"/>
        <v>3.27</v>
      </c>
    </row>
    <row r="16" spans="1:7" s="69" customFormat="1" ht="15.75" customHeight="1">
      <c r="A16" s="680" t="s">
        <v>569</v>
      </c>
      <c r="B16" s="680"/>
      <c r="C16" s="680"/>
      <c r="D16" s="680"/>
      <c r="E16" s="680"/>
      <c r="F16" s="680"/>
      <c r="G16" s="263">
        <f>SUM(G9:G15)</f>
        <v>20.71</v>
      </c>
    </row>
  </sheetData>
  <sheetProtection algorithmName="SHA-512" hashValue="+/7HKSDrGKWsoVPFhrhcH30436GHDrBjNRWY1AwdnqGJtTV2R78r0IHrwuR3UqZ8tZBSMWbvZOV+EyLNS+feqQ==" saltValue="MPsFSR2FAiZ6KMLo0a/Qjg==" spinCount="100000" sheet="1" objects="1" scenarios="1"/>
  <mergeCells count="4">
    <mergeCell ref="A4:G4"/>
    <mergeCell ref="A5:G5"/>
    <mergeCell ref="A8:G8"/>
    <mergeCell ref="A16:F1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69" fitToHeight="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38"/>
  <sheetViews>
    <sheetView showGridLines="0" zoomScale="120" zoomScaleNormal="120" zoomScaleSheetLayoutView="140" zoomScalePageLayoutView="140" workbookViewId="0">
      <selection activeCell="G9" sqref="G9"/>
    </sheetView>
  </sheetViews>
  <sheetFormatPr defaultColWidth="8.6640625" defaultRowHeight="14.4"/>
  <cols>
    <col min="1" max="1" width="13.33203125" style="3" customWidth="1"/>
    <col min="2" max="2" width="7.6640625" style="2" customWidth="1"/>
    <col min="3" max="3" width="6.109375" style="264" customWidth="1"/>
    <col min="4" max="4" width="56.109375" style="1" customWidth="1"/>
    <col min="5" max="5" width="9.33203125" style="1" customWidth="1"/>
    <col min="6" max="6" width="14.88671875" style="264" customWidth="1"/>
    <col min="7" max="7" width="12.44140625" style="265" customWidth="1"/>
    <col min="8" max="8" width="10.88671875" style="266" customWidth="1"/>
    <col min="9" max="9" width="9" style="209" customWidth="1"/>
    <col min="10" max="10" width="16.44140625" style="267" hidden="1" customWidth="1"/>
    <col min="11" max="15" width="11.33203125" style="267" hidden="1" customWidth="1"/>
    <col min="16" max="254" width="9" style="209" customWidth="1"/>
    <col min="255" max="255" width="13.33203125" style="209" customWidth="1"/>
    <col min="256" max="256" width="7.6640625" style="209" customWidth="1"/>
    <col min="257" max="257" width="6.109375" style="209" customWidth="1"/>
    <col min="258" max="258" width="56.109375" style="209" customWidth="1"/>
    <col min="259" max="259" width="9.33203125" style="209" customWidth="1"/>
    <col min="260" max="261" width="12.44140625" style="209" customWidth="1"/>
    <col min="262" max="262" width="10.88671875" style="209" customWidth="1"/>
    <col min="263" max="265" width="9" style="209" customWidth="1"/>
    <col min="266" max="266" width="11.44140625" style="209" customWidth="1"/>
    <col min="267" max="271" width="11.33203125" style="209" customWidth="1"/>
    <col min="272" max="510" width="9" style="209" customWidth="1"/>
    <col min="511" max="511" width="13.33203125" style="209" customWidth="1"/>
    <col min="512" max="512" width="7.6640625" style="209" customWidth="1"/>
    <col min="513" max="513" width="6.109375" style="209" customWidth="1"/>
    <col min="514" max="514" width="56.109375" style="209" customWidth="1"/>
    <col min="515" max="515" width="9.33203125" style="209" customWidth="1"/>
    <col min="516" max="517" width="12.44140625" style="209" customWidth="1"/>
    <col min="518" max="518" width="10.88671875" style="209" customWidth="1"/>
    <col min="519" max="521" width="9" style="209" customWidth="1"/>
    <col min="522" max="522" width="11.44140625" style="209" customWidth="1"/>
    <col min="523" max="527" width="11.33203125" style="209" customWidth="1"/>
    <col min="528" max="766" width="9" style="209" customWidth="1"/>
    <col min="767" max="767" width="13.33203125" style="209" customWidth="1"/>
    <col min="768" max="768" width="7.6640625" style="209" customWidth="1"/>
    <col min="769" max="769" width="6.109375" style="209" customWidth="1"/>
    <col min="770" max="770" width="56.109375" style="209" customWidth="1"/>
    <col min="771" max="771" width="9.33203125" style="209" customWidth="1"/>
    <col min="772" max="773" width="12.44140625" style="209" customWidth="1"/>
    <col min="774" max="774" width="10.88671875" style="209" customWidth="1"/>
    <col min="775" max="777" width="9" style="209" customWidth="1"/>
    <col min="778" max="778" width="11.44140625" style="209" customWidth="1"/>
    <col min="779" max="783" width="11.33203125" style="209" customWidth="1"/>
    <col min="784" max="1022" width="9" style="209" customWidth="1"/>
    <col min="1023" max="1023" width="13.33203125" style="209" customWidth="1"/>
    <col min="1024" max="1025" width="7.6640625" style="209" customWidth="1"/>
  </cols>
  <sheetData>
    <row r="1" spans="1:16" s="1" customFormat="1" ht="12.75" customHeight="1">
      <c r="A1" s="268"/>
      <c r="B1" s="269" t="str">
        <f>INSTRUÇÕES!B1</f>
        <v>Tribunal Regional Federal da 6ª Região</v>
      </c>
      <c r="C1" s="270"/>
      <c r="D1" s="271"/>
      <c r="E1" s="272"/>
      <c r="F1" s="273"/>
      <c r="G1" s="274"/>
      <c r="H1" s="275"/>
      <c r="J1" s="692" t="s">
        <v>370</v>
      </c>
      <c r="K1" s="692"/>
      <c r="L1" s="692"/>
      <c r="M1" s="692"/>
      <c r="N1" s="692"/>
      <c r="O1" s="692"/>
    </row>
    <row r="2" spans="1:16" s="1" customFormat="1" ht="12.75" customHeight="1">
      <c r="A2" s="276"/>
      <c r="B2" s="277" t="str">
        <f>INSTRUÇÕES!B2</f>
        <v>Seção Judiciária de Minas Gerais</v>
      </c>
      <c r="C2" s="278"/>
      <c r="D2" s="279"/>
      <c r="F2" s="264"/>
      <c r="G2" s="265"/>
      <c r="H2" s="280"/>
      <c r="J2" s="692"/>
      <c r="K2" s="692"/>
      <c r="L2" s="692"/>
      <c r="M2" s="692"/>
      <c r="N2" s="692"/>
      <c r="O2" s="692"/>
    </row>
    <row r="3" spans="1:16" s="119" customFormat="1">
      <c r="A3" s="276"/>
      <c r="B3" s="281" t="str">
        <f>INSTRUÇÕES!B3</f>
        <v>Subseção Judiciária de Poços de Caldas</v>
      </c>
      <c r="C3" s="282"/>
      <c r="D3" s="283"/>
      <c r="F3" s="284"/>
      <c r="G3" s="285"/>
      <c r="H3" s="286"/>
      <c r="J3" s="692"/>
      <c r="K3" s="692"/>
      <c r="L3" s="692"/>
      <c r="M3" s="692"/>
      <c r="N3" s="692"/>
      <c r="O3" s="692"/>
    </row>
    <row r="4" spans="1:16" s="247" customFormat="1" ht="15.6">
      <c r="A4" s="693" t="s">
        <v>695</v>
      </c>
      <c r="B4" s="693"/>
      <c r="C4" s="693"/>
      <c r="D4" s="693"/>
      <c r="E4" s="693"/>
      <c r="F4" s="693"/>
      <c r="G4" s="693"/>
      <c r="H4" s="693"/>
      <c r="J4" s="692"/>
      <c r="K4" s="692"/>
      <c r="L4" s="692"/>
      <c r="M4" s="692"/>
      <c r="N4" s="692"/>
      <c r="O4" s="692"/>
    </row>
    <row r="5" spans="1:16" s="1" customFormat="1" ht="27" customHeight="1">
      <c r="A5" s="694" t="s">
        <v>369</v>
      </c>
      <c r="B5" s="694"/>
      <c r="C5" s="694"/>
      <c r="D5" s="694"/>
      <c r="E5" s="694"/>
      <c r="F5" s="694"/>
      <c r="G5" s="694"/>
      <c r="H5" s="694"/>
      <c r="J5" s="695" t="s">
        <v>377</v>
      </c>
      <c r="K5" s="597" t="s">
        <v>279</v>
      </c>
      <c r="L5" s="597" t="s">
        <v>280</v>
      </c>
      <c r="M5" s="597" t="s">
        <v>281</v>
      </c>
      <c r="N5" s="597" t="s">
        <v>282</v>
      </c>
      <c r="O5" s="597" t="s">
        <v>283</v>
      </c>
    </row>
    <row r="6" spans="1:16" s="1" customFormat="1" ht="15.75" customHeight="1">
      <c r="A6" s="696" t="s">
        <v>402</v>
      </c>
      <c r="B6" s="696"/>
      <c r="C6" s="696"/>
      <c r="D6" s="696"/>
      <c r="E6" s="696"/>
      <c r="F6" s="696"/>
      <c r="G6" s="696"/>
      <c r="H6" s="696"/>
      <c r="J6" s="695"/>
      <c r="K6" s="597"/>
      <c r="L6" s="597"/>
      <c r="M6" s="597"/>
      <c r="N6" s="597"/>
      <c r="O6" s="597"/>
    </row>
    <row r="7" spans="1:16" s="1" customFormat="1" ht="15.75" customHeight="1">
      <c r="A7" s="287"/>
      <c r="B7" s="288"/>
      <c r="C7" s="289"/>
      <c r="D7" s="288"/>
      <c r="E7" s="288"/>
      <c r="F7" s="289"/>
      <c r="G7" s="290"/>
      <c r="H7" s="291"/>
      <c r="J7" s="695"/>
      <c r="K7" s="597"/>
      <c r="L7" s="597"/>
      <c r="M7" s="597"/>
      <c r="N7" s="597"/>
      <c r="O7" s="597"/>
    </row>
    <row r="8" spans="1:16" s="1" customFormat="1" ht="27.6">
      <c r="A8" s="292" t="s">
        <v>403</v>
      </c>
      <c r="B8" s="293" t="s">
        <v>257</v>
      </c>
      <c r="C8" s="294" t="s">
        <v>404</v>
      </c>
      <c r="D8" s="295" t="s">
        <v>405</v>
      </c>
      <c r="E8" s="295" t="s">
        <v>406</v>
      </c>
      <c r="F8" s="296" t="s">
        <v>407</v>
      </c>
      <c r="G8" s="297" t="s">
        <v>392</v>
      </c>
      <c r="H8" s="298" t="s">
        <v>195</v>
      </c>
      <c r="J8" s="695"/>
      <c r="K8" s="597"/>
      <c r="L8" s="597"/>
      <c r="M8" s="597"/>
      <c r="N8" s="597"/>
      <c r="O8" s="597"/>
      <c r="P8" s="158"/>
    </row>
    <row r="9" spans="1:16" s="119" customFormat="1" ht="64.5" customHeight="1">
      <c r="A9" s="685" t="s">
        <v>408</v>
      </c>
      <c r="B9" s="39" t="s">
        <v>409</v>
      </c>
      <c r="C9" s="299">
        <v>2</v>
      </c>
      <c r="D9" s="490" t="s">
        <v>678</v>
      </c>
      <c r="E9" s="82" t="s">
        <v>679</v>
      </c>
      <c r="F9" s="300">
        <f>C9*$A$13</f>
        <v>4</v>
      </c>
      <c r="G9" s="301">
        <v>92.64</v>
      </c>
      <c r="H9" s="302">
        <f>ROUND(F9*G9,2)</f>
        <v>370.56</v>
      </c>
      <c r="J9" s="303">
        <v>25.8</v>
      </c>
      <c r="K9" s="38">
        <f>ROUND(IF(Dados!$I$60="SIM",J9*Dados!$N$60,J9),2)</f>
        <v>25.8</v>
      </c>
      <c r="L9" s="38">
        <f>ROUND(IF(Dados!$I$61="SIM",K9*Dados!$N$61,K9),2)</f>
        <v>25.8</v>
      </c>
      <c r="M9" s="38">
        <f>ROUND(IF(Dados!$I$62="SIM",L9*Dados!$N$62,L9),2)</f>
        <v>25.8</v>
      </c>
      <c r="N9" s="38">
        <f>ROUND(IF(Dados!$I$63="SIM",M9*Dados!$N$63,M9),2)</f>
        <v>25.8</v>
      </c>
      <c r="O9" s="38">
        <f>ROUND(IF(Dados!$I$64="SIM",N9*Dados!$N$64,N9),2)</f>
        <v>25.8</v>
      </c>
    </row>
    <row r="10" spans="1:16" s="119" customFormat="1" ht="55.2">
      <c r="A10" s="685"/>
      <c r="B10" s="39" t="s">
        <v>410</v>
      </c>
      <c r="C10" s="299">
        <v>3</v>
      </c>
      <c r="D10" s="481" t="s">
        <v>680</v>
      </c>
      <c r="E10" s="82" t="s">
        <v>679</v>
      </c>
      <c r="F10" s="300">
        <f>C10*$A$13</f>
        <v>6</v>
      </c>
      <c r="G10" s="301">
        <v>60.93</v>
      </c>
      <c r="H10" s="302">
        <f>ROUND(F10*G10,2)</f>
        <v>365.58</v>
      </c>
      <c r="J10" s="303">
        <v>19.989999999999998</v>
      </c>
      <c r="K10" s="38">
        <f>ROUND(IF(Dados!$I$60="SIM",J10*Dados!$N$60,J10),2)</f>
        <v>19.989999999999998</v>
      </c>
      <c r="L10" s="38">
        <f>ROUND(IF(Dados!$I$61="SIM",K10*Dados!$N$61,K10),2)</f>
        <v>19.989999999999998</v>
      </c>
      <c r="M10" s="38">
        <f>ROUND(IF(Dados!$I$62="SIM",L10*Dados!$N$62,L10),2)</f>
        <v>19.989999999999998</v>
      </c>
      <c r="N10" s="38">
        <f>ROUND(IF(Dados!$I$63="SIM",M10*Dados!$N$63,M10),2)</f>
        <v>19.989999999999998</v>
      </c>
      <c r="O10" s="38">
        <f>ROUND(IF(Dados!$I$64="SIM",N10*Dados!$N$64,N10),2)</f>
        <v>19.989999999999998</v>
      </c>
    </row>
    <row r="11" spans="1:16" s="119" customFormat="1" ht="69">
      <c r="A11" s="304" t="s">
        <v>411</v>
      </c>
      <c r="B11" s="305" t="s">
        <v>675</v>
      </c>
      <c r="C11" s="299">
        <v>1</v>
      </c>
      <c r="D11" s="481" t="s">
        <v>681</v>
      </c>
      <c r="E11" s="82" t="s">
        <v>679</v>
      </c>
      <c r="F11" s="300">
        <f>C11*$A$13</f>
        <v>2</v>
      </c>
      <c r="G11" s="301">
        <v>57.11</v>
      </c>
      <c r="H11" s="302">
        <f>ROUND(F11*G11,2)</f>
        <v>114.22</v>
      </c>
      <c r="J11" s="303">
        <v>39.9</v>
      </c>
      <c r="K11" s="38">
        <f>ROUND(IF(Dados!$I$60="SIM",J11*Dados!$N$60,J11),2)</f>
        <v>39.9</v>
      </c>
      <c r="L11" s="38">
        <f>ROUND(IF(Dados!$I$61="SIM",K11*Dados!$N$61,K11),2)</f>
        <v>39.9</v>
      </c>
      <c r="M11" s="38">
        <f>ROUND(IF(Dados!$I$62="SIM",L11*Dados!$N$62,L11),2)</f>
        <v>39.9</v>
      </c>
      <c r="N11" s="38">
        <f>ROUND(IF(Dados!$I$63="SIM",M11*Dados!$N$63,M11),2)</f>
        <v>39.9</v>
      </c>
      <c r="O11" s="38">
        <f>ROUND(IF(Dados!$I$64="SIM",N11*Dados!$N$64,N11),2)</f>
        <v>39.9</v>
      </c>
    </row>
    <row r="12" spans="1:16" s="119" customFormat="1" ht="39.75" customHeight="1">
      <c r="A12" s="497"/>
      <c r="B12" s="305" t="s">
        <v>412</v>
      </c>
      <c r="C12" s="299">
        <v>2</v>
      </c>
      <c r="D12" s="481" t="s">
        <v>662</v>
      </c>
      <c r="E12" s="82" t="s">
        <v>418</v>
      </c>
      <c r="F12" s="300">
        <f>C12*$A$13</f>
        <v>4</v>
      </c>
      <c r="G12" s="301">
        <v>101.48</v>
      </c>
      <c r="H12" s="302">
        <f>ROUND(F12*G12,2)</f>
        <v>405.92</v>
      </c>
      <c r="J12" s="303"/>
      <c r="K12" s="38"/>
      <c r="L12" s="38"/>
      <c r="M12" s="38"/>
      <c r="N12" s="38"/>
      <c r="O12" s="38"/>
    </row>
    <row r="13" spans="1:16" s="119" customFormat="1" ht="82.8">
      <c r="A13" s="306">
        <f>Dados!B7+Dados!B8</f>
        <v>2</v>
      </c>
      <c r="B13" s="474" t="s">
        <v>669</v>
      </c>
      <c r="C13" s="299">
        <v>1</v>
      </c>
      <c r="D13" s="491" t="s">
        <v>682</v>
      </c>
      <c r="E13" s="82" t="s">
        <v>683</v>
      </c>
      <c r="F13" s="300">
        <f>C13*$A$13</f>
        <v>2</v>
      </c>
      <c r="G13" s="301">
        <v>139.85</v>
      </c>
      <c r="H13" s="302">
        <f>ROUND(F13*G13,2)</f>
        <v>279.7</v>
      </c>
      <c r="J13" s="303">
        <v>45</v>
      </c>
      <c r="K13" s="38">
        <f>ROUND(IF(Dados!$I$60="SIM",J13*Dados!$N$60,J13),2)</f>
        <v>45</v>
      </c>
      <c r="L13" s="38">
        <f>ROUND(IF(Dados!$I$61="SIM",K13*Dados!$N$61,K13),2)</f>
        <v>45</v>
      </c>
      <c r="M13" s="38">
        <f>ROUND(IF(Dados!$I$62="SIM",L13*Dados!$N$62,L13),2)</f>
        <v>45</v>
      </c>
      <c r="N13" s="38">
        <f>ROUND(IF(Dados!$I$63="SIM",M13*Dados!$N$63,M13),2)</f>
        <v>45</v>
      </c>
      <c r="O13" s="38">
        <f>ROUND(IF(Dados!$I$64="SIM",N13*Dados!$N$64,N13),2)</f>
        <v>45</v>
      </c>
    </row>
    <row r="14" spans="1:16" s="119" customFormat="1">
      <c r="A14" s="688" t="s">
        <v>414</v>
      </c>
      <c r="B14" s="688"/>
      <c r="C14" s="688"/>
      <c r="D14" s="688"/>
      <c r="E14" s="688"/>
      <c r="F14" s="688"/>
      <c r="G14" s="688"/>
      <c r="H14" s="307">
        <f>SUM(H9:H13)</f>
        <v>1535.98</v>
      </c>
      <c r="J14" s="3"/>
      <c r="K14" s="3"/>
      <c r="L14" s="3"/>
      <c r="M14" s="3"/>
      <c r="N14" s="3"/>
      <c r="O14" s="3"/>
    </row>
    <row r="15" spans="1:16" s="119" customFormat="1" ht="15.6">
      <c r="A15" s="683" t="s">
        <v>415</v>
      </c>
      <c r="B15" s="683"/>
      <c r="C15" s="683"/>
      <c r="D15" s="683"/>
      <c r="E15" s="683"/>
      <c r="F15" s="683"/>
      <c r="G15" s="308"/>
      <c r="H15" s="309">
        <f>ROUND(H14/$A$13/12,2)</f>
        <v>64</v>
      </c>
      <c r="J15" s="3"/>
      <c r="K15" s="3"/>
      <c r="L15" s="3"/>
      <c r="M15" s="3"/>
      <c r="N15" s="3"/>
      <c r="O15" s="3"/>
    </row>
    <row r="16" spans="1:16" s="119" customFormat="1">
      <c r="A16" s="310"/>
      <c r="B16" s="61"/>
      <c r="C16" s="311"/>
      <c r="D16" s="312"/>
      <c r="E16" s="312"/>
      <c r="F16" s="311"/>
      <c r="G16" s="313"/>
      <c r="H16" s="314"/>
      <c r="J16" s="3"/>
      <c r="K16" s="3"/>
      <c r="L16" s="3"/>
      <c r="M16" s="3"/>
      <c r="N16" s="3"/>
      <c r="O16" s="3"/>
    </row>
    <row r="17" spans="1:15" s="119" customFormat="1" ht="69">
      <c r="A17" s="292" t="s">
        <v>403</v>
      </c>
      <c r="B17" s="293" t="s">
        <v>257</v>
      </c>
      <c r="C17" s="294" t="s">
        <v>404</v>
      </c>
      <c r="D17" s="295" t="s">
        <v>405</v>
      </c>
      <c r="E17" s="295" t="s">
        <v>406</v>
      </c>
      <c r="F17" s="296" t="s">
        <v>407</v>
      </c>
      <c r="G17" s="297" t="s">
        <v>392</v>
      </c>
      <c r="H17" s="298" t="s">
        <v>195</v>
      </c>
      <c r="J17" s="315" t="s">
        <v>377</v>
      </c>
      <c r="K17" s="316" t="s">
        <v>279</v>
      </c>
      <c r="L17" s="316" t="s">
        <v>280</v>
      </c>
      <c r="M17" s="316" t="s">
        <v>281</v>
      </c>
      <c r="N17" s="316" t="s">
        <v>282</v>
      </c>
      <c r="O17" s="316" t="s">
        <v>283</v>
      </c>
    </row>
    <row r="18" spans="1:15" s="119" customFormat="1" ht="27.6">
      <c r="A18" s="473" t="s">
        <v>416</v>
      </c>
      <c r="B18" s="474" t="s">
        <v>417</v>
      </c>
      <c r="C18" s="299">
        <v>1</v>
      </c>
      <c r="D18" s="481" t="s">
        <v>685</v>
      </c>
      <c r="E18" s="82" t="s">
        <v>424</v>
      </c>
      <c r="F18" s="300">
        <f>C18*A20</f>
        <v>1</v>
      </c>
      <c r="G18" s="301">
        <v>47.6</v>
      </c>
      <c r="H18" s="302">
        <f t="shared" ref="H18:H19" si="0">ROUND(F18*G18,2)</f>
        <v>47.6</v>
      </c>
      <c r="J18" s="303">
        <v>29.9</v>
      </c>
      <c r="K18" s="38">
        <f>ROUND(IF(Dados!$I$60="SIM",J18*Dados!$N$60,J18),2)</f>
        <v>29.9</v>
      </c>
      <c r="L18" s="38">
        <f>ROUND(IF(Dados!$I$61="SIM",K18*Dados!$N$61,K18),2)</f>
        <v>29.9</v>
      </c>
      <c r="M18" s="38">
        <f>ROUND(IF(Dados!$I$62="SIM",L18*Dados!$N$62,L18),2)</f>
        <v>29.9</v>
      </c>
      <c r="N18" s="38">
        <f>ROUND(IF(Dados!$I$63="SIM",M18*Dados!$N$63,M18),2)</f>
        <v>29.9</v>
      </c>
      <c r="O18" s="38">
        <f>ROUND(IF(Dados!$I$64="SIM",N18*Dados!$N$64,N18),2)</f>
        <v>29.9</v>
      </c>
    </row>
    <row r="19" spans="1:15" s="119" customFormat="1" ht="27.6">
      <c r="A19" s="317" t="s">
        <v>411</v>
      </c>
      <c r="B19" s="318" t="s">
        <v>419</v>
      </c>
      <c r="C19" s="319">
        <v>2</v>
      </c>
      <c r="D19" s="492" t="s">
        <v>420</v>
      </c>
      <c r="E19" s="318" t="s">
        <v>413</v>
      </c>
      <c r="F19" s="300">
        <f>C19*A20</f>
        <v>2</v>
      </c>
      <c r="G19" s="301">
        <v>19.760000000000002</v>
      </c>
      <c r="H19" s="302">
        <f t="shared" si="0"/>
        <v>39.520000000000003</v>
      </c>
      <c r="J19" s="303">
        <v>5.5</v>
      </c>
      <c r="K19" s="38">
        <f>ROUND(IF(Dados!$I$60="SIM",J19*Dados!$N$60,J19),2)</f>
        <v>5.5</v>
      </c>
      <c r="L19" s="38">
        <f>ROUND(IF(Dados!$I$61="SIM",K19*Dados!$N$61,K19),2)</f>
        <v>5.5</v>
      </c>
      <c r="M19" s="38">
        <f>ROUND(IF(Dados!$I$62="SIM",L19*Dados!$N$62,L19),2)</f>
        <v>5.5</v>
      </c>
      <c r="N19" s="38">
        <f>ROUND(IF(Dados!$I$63="SIM",M19*Dados!$N$63,M19),2)</f>
        <v>5.5</v>
      </c>
      <c r="O19" s="38">
        <f>ROUND(IF(Dados!$I$64="SIM",N19*Dados!$N$64,N19),2)</f>
        <v>5.5</v>
      </c>
    </row>
    <row r="20" spans="1:15" s="119" customFormat="1" ht="36" customHeight="1" thickBot="1">
      <c r="A20" s="320">
        <f>Dados!B8</f>
        <v>1</v>
      </c>
      <c r="B20" s="689" t="s">
        <v>414</v>
      </c>
      <c r="C20" s="690"/>
      <c r="D20" s="690"/>
      <c r="E20" s="690"/>
      <c r="F20" s="690"/>
      <c r="G20" s="691"/>
      <c r="H20" s="321">
        <f>SUM(H18:H19)</f>
        <v>87.12</v>
      </c>
      <c r="J20" s="3"/>
      <c r="K20" s="3"/>
      <c r="L20" s="3"/>
      <c r="M20" s="3"/>
      <c r="N20" s="3"/>
      <c r="O20" s="3"/>
    </row>
    <row r="21" spans="1:15" s="119" customFormat="1" ht="16.2" thickBot="1">
      <c r="A21" s="683" t="s">
        <v>684</v>
      </c>
      <c r="B21" s="683"/>
      <c r="C21" s="683"/>
      <c r="D21" s="683"/>
      <c r="E21" s="683"/>
      <c r="F21" s="683"/>
      <c r="G21" s="308"/>
      <c r="H21" s="309">
        <f>ROUND(H20/A20/12,2)</f>
        <v>7.26</v>
      </c>
      <c r="J21" s="3"/>
      <c r="K21" s="3"/>
      <c r="L21" s="3"/>
      <c r="M21" s="3"/>
      <c r="N21" s="3"/>
      <c r="O21" s="3"/>
    </row>
    <row r="22" spans="1:15" s="119" customFormat="1" ht="15.6">
      <c r="A22" s="249"/>
      <c r="B22" s="322"/>
      <c r="C22" s="323"/>
      <c r="D22" s="322"/>
      <c r="E22" s="322"/>
      <c r="F22" s="323"/>
      <c r="G22" s="324"/>
      <c r="H22" s="325"/>
      <c r="J22" s="3"/>
      <c r="K22" s="3"/>
      <c r="L22" s="3"/>
      <c r="M22" s="3"/>
      <c r="N22" s="3"/>
      <c r="O22" s="3"/>
    </row>
    <row r="23" spans="1:15" s="119" customFormat="1" ht="69">
      <c r="A23" s="292" t="s">
        <v>403</v>
      </c>
      <c r="B23" s="293" t="s">
        <v>257</v>
      </c>
      <c r="C23" s="294" t="s">
        <v>404</v>
      </c>
      <c r="D23" s="295" t="s">
        <v>405</v>
      </c>
      <c r="E23" s="295" t="s">
        <v>406</v>
      </c>
      <c r="F23" s="296" t="s">
        <v>407</v>
      </c>
      <c r="G23" s="326" t="s">
        <v>392</v>
      </c>
      <c r="H23" s="298" t="s">
        <v>195</v>
      </c>
      <c r="J23" s="315" t="s">
        <v>377</v>
      </c>
      <c r="K23" s="316" t="s">
        <v>279</v>
      </c>
      <c r="L23" s="316" t="s">
        <v>280</v>
      </c>
      <c r="M23" s="316" t="s">
        <v>281</v>
      </c>
      <c r="N23" s="316" t="s">
        <v>282</v>
      </c>
      <c r="O23" s="316" t="s">
        <v>283</v>
      </c>
    </row>
    <row r="24" spans="1:15" s="119" customFormat="1" ht="69">
      <c r="A24" s="685" t="s">
        <v>421</v>
      </c>
      <c r="B24" s="39" t="s">
        <v>409</v>
      </c>
      <c r="C24" s="299">
        <v>2</v>
      </c>
      <c r="D24" s="481" t="s">
        <v>673</v>
      </c>
      <c r="E24" s="82" t="s">
        <v>422</v>
      </c>
      <c r="F24" s="300">
        <f>C24*$A$28</f>
        <v>2</v>
      </c>
      <c r="G24" s="301">
        <v>92.64</v>
      </c>
      <c r="H24" s="302">
        <f>ROUND(F24*G24,2)</f>
        <v>185.28</v>
      </c>
      <c r="J24" s="303">
        <v>39.9</v>
      </c>
      <c r="K24" s="38">
        <f>ROUND(IF(Dados!$I$60="SIM",J24*Dados!$N$60,J24),2)</f>
        <v>39.9</v>
      </c>
      <c r="L24" s="38">
        <f>ROUND(IF(Dados!$I$61="SIM",K24*Dados!$N$61,K24),2)</f>
        <v>39.9</v>
      </c>
      <c r="M24" s="38">
        <f>ROUND(IF(Dados!$I$62="SIM",L24*Dados!$N$62,L24),2)</f>
        <v>39.9</v>
      </c>
      <c r="N24" s="38">
        <f>ROUND(IF(Dados!$I$63="SIM",M24*Dados!$N$63,M24),2)</f>
        <v>39.9</v>
      </c>
      <c r="O24" s="38">
        <f>ROUND(IF(Dados!$I$64="SIM",N24*Dados!$N$64,N24),2)</f>
        <v>39.9</v>
      </c>
    </row>
    <row r="25" spans="1:15" s="119" customFormat="1" ht="138">
      <c r="A25" s="687"/>
      <c r="B25" s="474" t="s">
        <v>410</v>
      </c>
      <c r="C25" s="299">
        <v>3</v>
      </c>
      <c r="D25" s="481" t="s">
        <v>674</v>
      </c>
      <c r="E25" s="82" t="s">
        <v>667</v>
      </c>
      <c r="F25" s="300">
        <f>C25*$A$28</f>
        <v>3</v>
      </c>
      <c r="G25" s="301">
        <v>60.93</v>
      </c>
      <c r="H25" s="302">
        <f>ROUND(F25*G25,2)</f>
        <v>182.79</v>
      </c>
      <c r="J25" s="303"/>
      <c r="K25" s="38"/>
      <c r="L25" s="38"/>
      <c r="M25" s="38"/>
      <c r="N25" s="38"/>
      <c r="O25" s="38"/>
    </row>
    <row r="26" spans="1:15" s="119" customFormat="1" ht="36" customHeight="1">
      <c r="A26" s="686"/>
      <c r="B26" s="498" t="s">
        <v>412</v>
      </c>
      <c r="C26" s="299">
        <v>2</v>
      </c>
      <c r="D26" s="481" t="s">
        <v>662</v>
      </c>
      <c r="E26" s="82" t="s">
        <v>418</v>
      </c>
      <c r="F26" s="300">
        <f>C26*$A$28</f>
        <v>2</v>
      </c>
      <c r="G26" s="301">
        <v>101.48</v>
      </c>
      <c r="H26" s="302">
        <f>ROUND(F26*G26,2)</f>
        <v>202.96</v>
      </c>
      <c r="J26" s="303"/>
      <c r="K26" s="38"/>
      <c r="L26" s="38"/>
      <c r="M26" s="38"/>
      <c r="N26" s="38"/>
      <c r="O26" s="38"/>
    </row>
    <row r="27" spans="1:15" s="119" customFormat="1" ht="55.2">
      <c r="A27" s="304" t="s">
        <v>411</v>
      </c>
      <c r="B27" s="474" t="s">
        <v>675</v>
      </c>
      <c r="C27" s="299">
        <v>1</v>
      </c>
      <c r="D27" s="485" t="s">
        <v>676</v>
      </c>
      <c r="E27" s="82" t="s">
        <v>667</v>
      </c>
      <c r="F27" s="300">
        <f>C27*$A$28</f>
        <v>1</v>
      </c>
      <c r="G27" s="301">
        <v>57.11</v>
      </c>
      <c r="H27" s="302">
        <f>ROUND(F27*G27,2)</f>
        <v>57.11</v>
      </c>
      <c r="J27" s="303">
        <v>19.989999999999998</v>
      </c>
      <c r="K27" s="38">
        <f>ROUND(IF(Dados!$I$60="SIM",J27*Dados!$N$60,J27),2)</f>
        <v>19.989999999999998</v>
      </c>
      <c r="L27" s="38">
        <f>ROUND(IF(Dados!$I$61="SIM",K27*Dados!$N$61,K27),2)</f>
        <v>19.989999999999998</v>
      </c>
      <c r="M27" s="38">
        <f>ROUND(IF(Dados!$I$62="SIM",L27*Dados!$N$62,L27),2)</f>
        <v>19.989999999999998</v>
      </c>
      <c r="N27" s="38">
        <f>ROUND(IF(Dados!$I$63="SIM",M27*Dados!$N$63,M27),2)</f>
        <v>19.989999999999998</v>
      </c>
      <c r="O27" s="38">
        <f>ROUND(IF(Dados!$I$64="SIM",N27*Dados!$N$64,N27),2)</f>
        <v>19.989999999999998</v>
      </c>
    </row>
    <row r="28" spans="1:15" s="119" customFormat="1" ht="82.8">
      <c r="A28" s="320">
        <f>Dados!B9</f>
        <v>1</v>
      </c>
      <c r="B28" s="474" t="s">
        <v>669</v>
      </c>
      <c r="C28" s="299">
        <v>1</v>
      </c>
      <c r="D28" s="490" t="s">
        <v>677</v>
      </c>
      <c r="E28" s="82" t="s">
        <v>671</v>
      </c>
      <c r="F28" s="300">
        <f>C28*$A$28</f>
        <v>1</v>
      </c>
      <c r="G28" s="301">
        <v>139.85</v>
      </c>
      <c r="H28" s="302">
        <f>ROUND(F28*G28,2)</f>
        <v>139.85</v>
      </c>
      <c r="J28" s="303">
        <v>39.9</v>
      </c>
      <c r="K28" s="38">
        <f>ROUND(IF(Dados!$I$60="SIM",J28*Dados!$N$60,J28),2)</f>
        <v>39.9</v>
      </c>
      <c r="L28" s="38">
        <f>ROUND(IF(Dados!$I$61="SIM",K28*Dados!$N$61,K28),2)</f>
        <v>39.9</v>
      </c>
      <c r="M28" s="38">
        <f>ROUND(IF(Dados!$I$62="SIM",L28*Dados!$N$62,L28),2)</f>
        <v>39.9</v>
      </c>
      <c r="N28" s="38">
        <f>ROUND(IF(Dados!$I$63="SIM",M28*Dados!$N$63,M28),2)</f>
        <v>39.9</v>
      </c>
      <c r="O28" s="38">
        <f>ROUND(IF(Dados!$I$64="SIM",N28*Dados!$N$64,N28),2)</f>
        <v>39.9</v>
      </c>
    </row>
    <row r="29" spans="1:15" s="119" customFormat="1" ht="36" customHeight="1">
      <c r="A29" s="684" t="s">
        <v>414</v>
      </c>
      <c r="B29" s="684"/>
      <c r="C29" s="684"/>
      <c r="D29" s="684"/>
      <c r="E29" s="684"/>
      <c r="F29" s="684"/>
      <c r="G29" s="684"/>
      <c r="H29" s="327">
        <f>SUM(H24:H28)</f>
        <v>767.99</v>
      </c>
      <c r="J29" s="3"/>
      <c r="K29" s="3"/>
      <c r="L29" s="3"/>
      <c r="M29" s="3"/>
      <c r="N29" s="3"/>
      <c r="O29" s="3"/>
    </row>
    <row r="30" spans="1:15" s="119" customFormat="1" ht="16.2" thickBot="1">
      <c r="A30" s="683" t="s">
        <v>423</v>
      </c>
      <c r="B30" s="683"/>
      <c r="C30" s="683"/>
      <c r="D30" s="683"/>
      <c r="E30" s="683"/>
      <c r="F30" s="683"/>
      <c r="G30" s="308"/>
      <c r="H30" s="309">
        <f>ROUND(H29/A28/12,2)</f>
        <v>64</v>
      </c>
      <c r="J30" s="3"/>
      <c r="K30" s="3"/>
      <c r="L30" s="3"/>
      <c r="M30" s="3"/>
      <c r="N30" s="3"/>
      <c r="O30" s="3"/>
    </row>
    <row r="31" spans="1:15" s="119" customFormat="1" ht="15.6">
      <c r="A31" s="681"/>
      <c r="B31" s="681"/>
      <c r="C31" s="681"/>
      <c r="D31" s="681"/>
      <c r="E31" s="681"/>
      <c r="F31" s="681"/>
      <c r="G31" s="681"/>
      <c r="H31" s="681"/>
      <c r="J31" s="3"/>
      <c r="K31" s="3"/>
      <c r="L31" s="3"/>
      <c r="M31" s="3"/>
      <c r="N31" s="3"/>
      <c r="O31" s="3"/>
    </row>
    <row r="32" spans="1:15" ht="69">
      <c r="A32" s="292" t="s">
        <v>403</v>
      </c>
      <c r="B32" s="293" t="s">
        <v>257</v>
      </c>
      <c r="C32" s="294" t="s">
        <v>404</v>
      </c>
      <c r="D32" s="295" t="s">
        <v>405</v>
      </c>
      <c r="E32" s="295" t="s">
        <v>406</v>
      </c>
      <c r="F32" s="296" t="s">
        <v>407</v>
      </c>
      <c r="G32" s="326" t="s">
        <v>392</v>
      </c>
      <c r="H32" s="298" t="s">
        <v>195</v>
      </c>
      <c r="J32" s="315" t="s">
        <v>377</v>
      </c>
      <c r="K32" s="316" t="s">
        <v>279</v>
      </c>
      <c r="L32" s="316" t="s">
        <v>280</v>
      </c>
      <c r="M32" s="316" t="s">
        <v>281</v>
      </c>
      <c r="N32" s="316" t="s">
        <v>282</v>
      </c>
      <c r="O32" s="316" t="s">
        <v>283</v>
      </c>
    </row>
    <row r="33" spans="1:16" ht="69">
      <c r="A33" s="685" t="s">
        <v>192</v>
      </c>
      <c r="B33" s="39" t="s">
        <v>409</v>
      </c>
      <c r="C33" s="299">
        <v>2</v>
      </c>
      <c r="D33" s="484" t="s">
        <v>668</v>
      </c>
      <c r="E33" s="82" t="s">
        <v>671</v>
      </c>
      <c r="F33" s="300">
        <f>C33*$A$36</f>
        <v>4</v>
      </c>
      <c r="G33" s="301">
        <v>92.64</v>
      </c>
      <c r="H33" s="302">
        <f>ROUND(F33*G33,2)</f>
        <v>370.56</v>
      </c>
      <c r="J33" s="303">
        <v>39.9</v>
      </c>
      <c r="K33" s="38">
        <f>ROUND(IF(Dados!$I$60="SIM",J33*Dados!$N$60,J33),2)</f>
        <v>39.9</v>
      </c>
      <c r="L33" s="38">
        <f>ROUND(IF(Dados!$I$61="SIM",K33*Dados!$N$61,K33),2)</f>
        <v>39.9</v>
      </c>
      <c r="M33" s="38">
        <f>ROUND(IF(Dados!$I$62="SIM",L33*Dados!$N$62,L33),2)</f>
        <v>39.9</v>
      </c>
      <c r="N33" s="38">
        <f>ROUND(IF(Dados!$I$63="SIM",M33*Dados!$N$63,M33),2)</f>
        <v>39.9</v>
      </c>
      <c r="O33" s="38">
        <f>ROUND(IF(Dados!$I$64="SIM",N33*Dados!$N$64,N33),2)</f>
        <v>39.9</v>
      </c>
    </row>
    <row r="34" spans="1:16" ht="138">
      <c r="A34" s="686"/>
      <c r="B34" s="39" t="s">
        <v>410</v>
      </c>
      <c r="C34" s="299">
        <v>3</v>
      </c>
      <c r="D34" s="494" t="s">
        <v>666</v>
      </c>
      <c r="E34" s="82" t="s">
        <v>667</v>
      </c>
      <c r="F34" s="300">
        <f t="shared" ref="F34:F36" si="1">C34*$A$36</f>
        <v>6</v>
      </c>
      <c r="G34" s="301">
        <v>60.93</v>
      </c>
      <c r="H34" s="302">
        <f>ROUND(F34*G34,2)</f>
        <v>365.58</v>
      </c>
      <c r="J34" s="303">
        <v>19.989999999999998</v>
      </c>
      <c r="K34" s="38">
        <f>ROUND(IF(Dados!$I$60="SIM",J34*Dados!$N$60,J34),2)</f>
        <v>19.989999999999998</v>
      </c>
      <c r="L34" s="38">
        <f>ROUND(IF(Dados!$I$61="SIM",K34*Dados!$N$61,K34),2)</f>
        <v>19.989999999999998</v>
      </c>
      <c r="M34" s="38">
        <f>ROUND(IF(Dados!$I$62="SIM",L34*Dados!$N$62,L34),2)</f>
        <v>19.989999999999998</v>
      </c>
      <c r="N34" s="38">
        <f>ROUND(IF(Dados!$I$63="SIM",M34*Dados!$N$63,M34),2)</f>
        <v>19.989999999999998</v>
      </c>
      <c r="O34" s="38">
        <f>ROUND(IF(Dados!$I$64="SIM",N34*Dados!$N$64,N34),2)</f>
        <v>19.989999999999998</v>
      </c>
    </row>
    <row r="35" spans="1:16" ht="96.6">
      <c r="A35" s="304" t="s">
        <v>411</v>
      </c>
      <c r="B35" s="474" t="s">
        <v>669</v>
      </c>
      <c r="C35" s="299">
        <v>1</v>
      </c>
      <c r="D35" s="494" t="s">
        <v>670</v>
      </c>
      <c r="E35" s="82" t="s">
        <v>671</v>
      </c>
      <c r="F35" s="300">
        <f t="shared" si="1"/>
        <v>2</v>
      </c>
      <c r="G35" s="301">
        <v>139.85</v>
      </c>
      <c r="H35" s="302">
        <f>ROUND(F35*G35,2)</f>
        <v>279.7</v>
      </c>
      <c r="J35" s="303"/>
      <c r="K35" s="38"/>
      <c r="L35" s="38"/>
      <c r="M35" s="38"/>
      <c r="N35" s="38"/>
      <c r="O35" s="38"/>
    </row>
    <row r="36" spans="1:16" ht="41.4">
      <c r="A36" s="320">
        <f>Dados!B10</f>
        <v>2</v>
      </c>
      <c r="B36" s="39" t="s">
        <v>412</v>
      </c>
      <c r="C36" s="299">
        <v>1</v>
      </c>
      <c r="D36" s="493" t="s">
        <v>672</v>
      </c>
      <c r="E36" s="474" t="s">
        <v>418</v>
      </c>
      <c r="F36" s="300">
        <f t="shared" si="1"/>
        <v>2</v>
      </c>
      <c r="G36" s="301">
        <v>101.48</v>
      </c>
      <c r="H36" s="302">
        <f>ROUND(F36*G36,2)</f>
        <v>202.96</v>
      </c>
      <c r="J36" s="303">
        <v>35.5</v>
      </c>
      <c r="K36" s="38">
        <f>ROUND(IF(Dados!$I$60="SIM",J36*Dados!$N$60,J36),2)</f>
        <v>35.5</v>
      </c>
      <c r="L36" s="38">
        <f>ROUND(IF(Dados!$I$61="SIM",K36*Dados!$N$61,K36),2)</f>
        <v>35.5</v>
      </c>
      <c r="M36" s="38">
        <f>ROUND(IF(Dados!$I$62="SIM",L36*Dados!$N$62,L36),2)</f>
        <v>35.5</v>
      </c>
      <c r="N36" s="38">
        <f>ROUND(IF(Dados!$I$63="SIM",M36*Dados!$N$63,M36),2)</f>
        <v>35.5</v>
      </c>
      <c r="O36" s="38">
        <f>ROUND(IF(Dados!$I$64="SIM",N36*Dados!$N$64,N36),2)</f>
        <v>35.5</v>
      </c>
    </row>
    <row r="37" spans="1:16">
      <c r="A37" s="682" t="s">
        <v>414</v>
      </c>
      <c r="B37" s="682"/>
      <c r="C37" s="682"/>
      <c r="D37" s="682"/>
      <c r="E37" s="682"/>
      <c r="F37" s="682"/>
      <c r="G37" s="682"/>
      <c r="H37" s="328">
        <f>SUM(H33:H36)</f>
        <v>1218.8</v>
      </c>
      <c r="N37" s="3"/>
      <c r="O37" s="3"/>
      <c r="P37" s="119"/>
    </row>
    <row r="38" spans="1:16" ht="15.6">
      <c r="A38" s="683" t="s">
        <v>425</v>
      </c>
      <c r="B38" s="683"/>
      <c r="C38" s="683"/>
      <c r="D38" s="683"/>
      <c r="E38" s="683"/>
      <c r="F38" s="683"/>
      <c r="G38" s="308"/>
      <c r="H38" s="309">
        <f>ROUND(H37/A36/12,2)</f>
        <v>50.78</v>
      </c>
    </row>
  </sheetData>
  <sheetProtection algorithmName="SHA-512" hashValue="9IIiQ6w+KP651wQRbOb2Qu4a6H7ZDr4Zd3dVbUa01G2UA2Cp/bqSciPewk20IZYEDQaqn+zRxjyxIyO8r/A8Ww==" saltValue="AzvU0qLqDKeuzJpUs0vcqQ==" spinCount="100000" sheet="1" objects="1" scenarios="1"/>
  <mergeCells count="22">
    <mergeCell ref="A9:A10"/>
    <mergeCell ref="A14:G14"/>
    <mergeCell ref="A15:F15"/>
    <mergeCell ref="B20:G20"/>
    <mergeCell ref="J1:O4"/>
    <mergeCell ref="A4:H4"/>
    <mergeCell ref="A5:H5"/>
    <mergeCell ref="J5:J8"/>
    <mergeCell ref="K5:K8"/>
    <mergeCell ref="L5:L8"/>
    <mergeCell ref="M5:M8"/>
    <mergeCell ref="N5:N8"/>
    <mergeCell ref="O5:O8"/>
    <mergeCell ref="A6:H6"/>
    <mergeCell ref="A31:H31"/>
    <mergeCell ref="A37:G37"/>
    <mergeCell ref="A38:F38"/>
    <mergeCell ref="A21:F21"/>
    <mergeCell ref="A29:G29"/>
    <mergeCell ref="A30:F30"/>
    <mergeCell ref="A33:A34"/>
    <mergeCell ref="A24:A2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58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7"/>
  <sheetViews>
    <sheetView showGridLines="0" view="pageBreakPreview" zoomScale="140" zoomScaleNormal="100" zoomScalePageLayoutView="140" workbookViewId="0">
      <selection activeCell="G12" sqref="G12"/>
    </sheetView>
  </sheetViews>
  <sheetFormatPr defaultColWidth="8.6640625" defaultRowHeight="14.4"/>
  <cols>
    <col min="1" max="1" width="10.5546875" style="69" customWidth="1"/>
    <col min="2" max="2" width="27.6640625" style="69" customWidth="1"/>
    <col min="3" max="3" width="14.44140625" style="69" customWidth="1"/>
    <col min="4" max="5" width="15" style="69" customWidth="1"/>
    <col min="6" max="6" width="16.6640625" style="329" customWidth="1"/>
    <col min="7" max="8" width="13.109375" style="329" customWidth="1"/>
    <col min="9" max="10" width="12.5546875" style="329" customWidth="1"/>
    <col min="11" max="257" width="9.109375" style="69" customWidth="1"/>
    <col min="258" max="258" width="10.5546875" style="69" customWidth="1"/>
    <col min="259" max="259" width="27.6640625" style="69" customWidth="1"/>
    <col min="260" max="260" width="14.44140625" style="69" customWidth="1"/>
    <col min="261" max="262" width="15" style="69" customWidth="1"/>
    <col min="263" max="263" width="16.6640625" style="69" customWidth="1"/>
    <col min="264" max="264" width="13.109375" style="69" customWidth="1"/>
    <col min="265" max="266" width="12.5546875" style="69" customWidth="1"/>
    <col min="267" max="513" width="9.109375" style="69" customWidth="1"/>
    <col min="514" max="514" width="10.5546875" style="69" customWidth="1"/>
    <col min="515" max="515" width="27.6640625" style="69" customWidth="1"/>
    <col min="516" max="516" width="14.44140625" style="69" customWidth="1"/>
    <col min="517" max="518" width="15" style="69" customWidth="1"/>
    <col min="519" max="519" width="16.6640625" style="69" customWidth="1"/>
    <col min="520" max="520" width="13.109375" style="69" customWidth="1"/>
    <col min="521" max="522" width="12.5546875" style="69" customWidth="1"/>
    <col min="523" max="769" width="9.109375" style="69" customWidth="1"/>
    <col min="770" max="770" width="10.5546875" style="69" customWidth="1"/>
    <col min="771" max="771" width="27.6640625" style="69" customWidth="1"/>
    <col min="772" max="772" width="14.44140625" style="69" customWidth="1"/>
    <col min="773" max="774" width="15" style="69" customWidth="1"/>
    <col min="775" max="775" width="16.6640625" style="69" customWidth="1"/>
    <col min="776" max="776" width="13.109375" style="69" customWidth="1"/>
    <col min="777" max="778" width="12.5546875" style="69" customWidth="1"/>
    <col min="779" max="1025" width="9.109375" style="69" customWidth="1"/>
  </cols>
  <sheetData>
    <row r="1" spans="1:10">
      <c r="A1" s="330"/>
      <c r="B1" s="99" t="str">
        <f>INSTRUÇÕES!B1</f>
        <v>Tribunal Regional Federal da 6ª Região</v>
      </c>
      <c r="C1" s="331"/>
      <c r="D1" s="331"/>
      <c r="E1" s="331"/>
      <c r="F1" s="332"/>
      <c r="G1" s="333"/>
      <c r="H1" s="333"/>
      <c r="I1" s="332"/>
      <c r="J1" s="334"/>
    </row>
    <row r="2" spans="1:10">
      <c r="A2" s="335"/>
      <c r="B2" s="101" t="str">
        <f>INSTRUÇÕES!B2</f>
        <v>Seção Judiciária de Minas Gerais</v>
      </c>
      <c r="C2" s="58"/>
      <c r="D2" s="58"/>
      <c r="E2" s="58"/>
      <c r="F2" s="336"/>
      <c r="I2" s="336"/>
      <c r="J2" s="337"/>
    </row>
    <row r="3" spans="1:10">
      <c r="A3" s="169"/>
      <c r="B3" s="338" t="str">
        <f>INSTRUÇÕES!B3</f>
        <v>Subseção Judiciária de Poços de Caldas</v>
      </c>
      <c r="C3" s="58"/>
      <c r="D3" s="58"/>
      <c r="E3" s="58"/>
      <c r="F3" s="336"/>
      <c r="I3" s="336"/>
      <c r="J3" s="337"/>
    </row>
    <row r="4" spans="1:10" ht="19.5" customHeight="1">
      <c r="A4" s="722" t="s">
        <v>426</v>
      </c>
      <c r="B4" s="722"/>
      <c r="C4" s="722"/>
      <c r="D4" s="722"/>
      <c r="E4" s="722"/>
      <c r="F4" s="722"/>
      <c r="G4" s="722"/>
      <c r="H4" s="722"/>
      <c r="I4" s="722"/>
      <c r="J4" s="722"/>
    </row>
    <row r="5" spans="1:10" ht="19.5" customHeight="1">
      <c r="A5" s="723" t="s">
        <v>696</v>
      </c>
      <c r="B5" s="723"/>
      <c r="C5" s="723"/>
      <c r="D5" s="723"/>
      <c r="E5" s="723"/>
      <c r="F5" s="723"/>
      <c r="G5" s="723"/>
      <c r="H5" s="723"/>
      <c r="I5" s="723"/>
      <c r="J5" s="723"/>
    </row>
    <row r="6" spans="1:10" ht="36" customHeight="1">
      <c r="A6" s="724" t="str">
        <f>Dados!A4</f>
        <v>Sindicato utilizado - SINTAPPI/MG. Vigência: 01/04/2024 à 31/03/2025. Sendo a data base da categoria 01º de Abril. Com número de registro no MTE MG002103/2024.</v>
      </c>
      <c r="B6" s="724"/>
      <c r="C6" s="724"/>
      <c r="D6" s="724"/>
      <c r="E6" s="724"/>
      <c r="F6" s="724"/>
      <c r="G6" s="724"/>
      <c r="H6" s="724"/>
      <c r="I6" s="724"/>
      <c r="J6" s="724"/>
    </row>
    <row r="7" spans="1:10" ht="19.5" customHeight="1">
      <c r="A7" s="725" t="str">
        <f>Dados!C7</f>
        <v>Servente de Limpeza 40% Insalubridade</v>
      </c>
      <c r="B7" s="725"/>
      <c r="C7" s="725"/>
      <c r="D7" s="725"/>
      <c r="E7" s="725"/>
      <c r="F7" s="726" t="s">
        <v>427</v>
      </c>
      <c r="G7" s="726" t="s">
        <v>428</v>
      </c>
      <c r="H7" s="726" t="s">
        <v>429</v>
      </c>
      <c r="I7" s="726" t="s">
        <v>430</v>
      </c>
      <c r="J7" s="726" t="s">
        <v>431</v>
      </c>
    </row>
    <row r="8" spans="1:10" ht="19.5" customHeight="1">
      <c r="A8" s="727" t="s">
        <v>432</v>
      </c>
      <c r="B8" s="727"/>
      <c r="C8" s="727"/>
      <c r="D8" s="727"/>
      <c r="E8" s="507" t="s">
        <v>395</v>
      </c>
      <c r="F8" s="726"/>
      <c r="G8" s="726"/>
      <c r="H8" s="726"/>
      <c r="I8" s="726"/>
      <c r="J8" s="726"/>
    </row>
    <row r="9" spans="1:10" ht="19.5" customHeight="1">
      <c r="A9" s="706" t="s">
        <v>433</v>
      </c>
      <c r="B9" s="706"/>
      <c r="C9" s="706"/>
      <c r="D9" s="706"/>
      <c r="E9" s="706"/>
      <c r="F9" s="706"/>
      <c r="G9" s="706"/>
      <c r="H9" s="706"/>
      <c r="I9" s="706"/>
      <c r="J9" s="706"/>
    </row>
    <row r="10" spans="1:10" ht="24" customHeight="1">
      <c r="A10" s="508" t="s">
        <v>396</v>
      </c>
      <c r="B10" s="716" t="s">
        <v>434</v>
      </c>
      <c r="C10" s="716"/>
      <c r="D10" s="509" t="s">
        <v>435</v>
      </c>
      <c r="E10" s="510" t="s">
        <v>436</v>
      </c>
      <c r="F10" s="717" t="s">
        <v>399</v>
      </c>
      <c r="G10" s="717"/>
      <c r="H10" s="717"/>
      <c r="I10" s="717"/>
      <c r="J10" s="717"/>
    </row>
    <row r="11" spans="1:10" ht="19.5" customHeight="1">
      <c r="A11" s="718">
        <v>1</v>
      </c>
      <c r="B11" s="719" t="str">
        <f>A7</f>
        <v>Servente de Limpeza 40% Insalubridade</v>
      </c>
      <c r="C11" s="719"/>
      <c r="D11" s="511">
        <f>Dados!D7</f>
        <v>220</v>
      </c>
      <c r="E11" s="339">
        <f>Dados!E7</f>
        <v>1526.8</v>
      </c>
      <c r="F11" s="224">
        <f>ROUND(E11/220*D11,2)</f>
        <v>1526.8</v>
      </c>
      <c r="G11" s="224">
        <f>F11</f>
        <v>1526.8</v>
      </c>
      <c r="H11" s="224"/>
      <c r="I11" s="224"/>
      <c r="J11" s="340"/>
    </row>
    <row r="12" spans="1:10" ht="19.5" customHeight="1">
      <c r="A12" s="718"/>
      <c r="B12" s="719" t="s">
        <v>437</v>
      </c>
      <c r="C12" s="719"/>
      <c r="D12" s="512">
        <f>Dados!G7</f>
        <v>0.4</v>
      </c>
      <c r="E12" s="339">
        <f>Dados!G27</f>
        <v>1412</v>
      </c>
      <c r="F12" s="224">
        <f>D12*E12</f>
        <v>564.80000000000007</v>
      </c>
      <c r="G12" s="224">
        <f>F12</f>
        <v>564.80000000000007</v>
      </c>
      <c r="H12" s="224"/>
      <c r="I12" s="224"/>
      <c r="J12" s="340">
        <f>F12</f>
        <v>564.80000000000007</v>
      </c>
    </row>
    <row r="13" spans="1:10" ht="20.25" customHeight="1">
      <c r="A13" s="718"/>
      <c r="B13" s="513" t="s">
        <v>438</v>
      </c>
      <c r="C13" s="514">
        <f>Dados!I7</f>
        <v>0</v>
      </c>
      <c r="D13" s="514">
        <f>Dados!J7</f>
        <v>0</v>
      </c>
      <c r="E13" s="341">
        <f>Dados!K9</f>
        <v>0</v>
      </c>
      <c r="F13" s="342">
        <f>ROUND((E13*D13*C13),2)</f>
        <v>0</v>
      </c>
      <c r="G13" s="342">
        <f>F13</f>
        <v>0</v>
      </c>
      <c r="H13" s="342"/>
      <c r="I13" s="342"/>
      <c r="J13" s="343"/>
    </row>
    <row r="14" spans="1:10" ht="19.5" customHeight="1">
      <c r="A14" s="718"/>
      <c r="B14" s="720" t="s">
        <v>439</v>
      </c>
      <c r="C14" s="720"/>
      <c r="D14" s="720"/>
      <c r="E14" s="720"/>
      <c r="F14" s="344">
        <f>SUM(F11:F13)</f>
        <v>2091.6</v>
      </c>
      <c r="G14" s="344">
        <f>SUM(G11:G13)</f>
        <v>2091.6</v>
      </c>
      <c r="H14" s="344">
        <f>SUM(H11:H13)</f>
        <v>0</v>
      </c>
      <c r="I14" s="344">
        <f>SUM(I11:I13)</f>
        <v>0</v>
      </c>
      <c r="J14" s="345">
        <f>SUM(J11:J13)</f>
        <v>564.80000000000007</v>
      </c>
    </row>
    <row r="15" spans="1:10" ht="19.5" customHeight="1">
      <c r="A15" s="718"/>
      <c r="B15" s="721" t="s">
        <v>440</v>
      </c>
      <c r="C15" s="721"/>
      <c r="D15" s="721"/>
      <c r="E15" s="515">
        <f>Encargos!$C$57</f>
        <v>0.76400000000000001</v>
      </c>
      <c r="F15" s="224">
        <f>ROUND((E15*F14),2)</f>
        <v>1597.98</v>
      </c>
      <c r="G15" s="224">
        <f>F15</f>
        <v>1597.98</v>
      </c>
      <c r="H15" s="224"/>
      <c r="I15" s="224"/>
      <c r="J15" s="340">
        <f>ROUND((E15*J14),2)</f>
        <v>431.51</v>
      </c>
    </row>
    <row r="16" spans="1:10" ht="19.5" customHeight="1">
      <c r="A16" s="712" t="s">
        <v>441</v>
      </c>
      <c r="B16" s="712"/>
      <c r="C16" s="712"/>
      <c r="D16" s="712"/>
      <c r="E16" s="712"/>
      <c r="F16" s="346">
        <f>SUM(F14:F15)</f>
        <v>3689.58</v>
      </c>
      <c r="G16" s="346">
        <f>SUM(G14:G15)</f>
        <v>3689.58</v>
      </c>
      <c r="H16" s="346">
        <f>SUM(H14:H15)</f>
        <v>0</v>
      </c>
      <c r="I16" s="346">
        <f>SUM(I14:I15)</f>
        <v>0</v>
      </c>
      <c r="J16" s="347">
        <f>SUM(J14:J15)</f>
        <v>996.31000000000006</v>
      </c>
    </row>
    <row r="17" spans="1:12" ht="19.5" customHeight="1">
      <c r="A17" s="713" t="s">
        <v>442</v>
      </c>
      <c r="B17" s="713"/>
      <c r="C17" s="713"/>
      <c r="D17" s="713"/>
      <c r="E17" s="713"/>
      <c r="F17" s="713"/>
      <c r="G17" s="713"/>
      <c r="H17" s="713"/>
      <c r="I17" s="713"/>
      <c r="J17" s="713"/>
    </row>
    <row r="18" spans="1:12" ht="19.5" customHeight="1">
      <c r="A18" s="707" t="s">
        <v>443</v>
      </c>
      <c r="B18" s="707"/>
      <c r="C18" s="38" t="s">
        <v>398</v>
      </c>
      <c r="D18" s="714" t="s">
        <v>444</v>
      </c>
      <c r="E18" s="714"/>
      <c r="F18" s="715" t="s">
        <v>399</v>
      </c>
      <c r="G18" s="715"/>
      <c r="H18" s="715"/>
      <c r="I18" s="715"/>
      <c r="J18" s="715"/>
    </row>
    <row r="19" spans="1:12" ht="19.5" customHeight="1">
      <c r="A19" s="698" t="s">
        <v>445</v>
      </c>
      <c r="B19" s="698"/>
      <c r="C19" s="349"/>
      <c r="D19" s="349"/>
      <c r="E19" s="349"/>
      <c r="F19" s="224">
        <f>Dados!$N$7</f>
        <v>64</v>
      </c>
      <c r="G19" s="224">
        <f t="shared" ref="G19:G24" si="0">F19</f>
        <v>64</v>
      </c>
      <c r="H19" s="224"/>
      <c r="I19" s="224"/>
      <c r="J19" s="340"/>
    </row>
    <row r="20" spans="1:12" ht="19.5" customHeight="1">
      <c r="A20" s="698" t="s">
        <v>446</v>
      </c>
      <c r="B20" s="698"/>
      <c r="C20" s="349"/>
      <c r="D20" s="349"/>
      <c r="E20" s="349"/>
      <c r="F20" s="224">
        <f>Dados!$G$30</f>
        <v>7.2</v>
      </c>
      <c r="G20" s="224">
        <f t="shared" si="0"/>
        <v>7.2</v>
      </c>
      <c r="H20" s="224"/>
      <c r="I20" s="224"/>
      <c r="J20" s="340"/>
    </row>
    <row r="21" spans="1:12" ht="23.25" customHeight="1">
      <c r="A21" s="711" t="s">
        <v>225</v>
      </c>
      <c r="B21" s="711"/>
      <c r="C21" s="349"/>
      <c r="D21" s="349"/>
      <c r="E21" s="349"/>
      <c r="F21" s="224">
        <f>Dados!G31</f>
        <v>0</v>
      </c>
      <c r="G21" s="224">
        <f t="shared" si="0"/>
        <v>0</v>
      </c>
      <c r="H21" s="224"/>
      <c r="I21" s="224"/>
      <c r="J21" s="340"/>
    </row>
    <row r="22" spans="1:12" ht="19.5" customHeight="1">
      <c r="A22" s="698" t="s">
        <v>226</v>
      </c>
      <c r="B22" s="698"/>
      <c r="C22" s="348">
        <f>Dados!$G$34</f>
        <v>22</v>
      </c>
      <c r="D22" s="348">
        <f>Dados!$G$33</f>
        <v>2</v>
      </c>
      <c r="E22" s="349">
        <f>Dados!$G$32</f>
        <v>6</v>
      </c>
      <c r="F22" s="224">
        <f>IF(ROUND((E22*D22*C22)-(F11*Dados!$G$35),2)&lt;0,0,ROUND((E22*D22*C22)-(F11*Dados!$G$35),2))</f>
        <v>172.39</v>
      </c>
      <c r="G22" s="224">
        <f t="shared" si="0"/>
        <v>172.39</v>
      </c>
      <c r="H22" s="224"/>
      <c r="I22" s="224">
        <f>F22</f>
        <v>172.39</v>
      </c>
      <c r="J22" s="340"/>
    </row>
    <row r="23" spans="1:12" ht="19.5" customHeight="1">
      <c r="A23" s="698" t="s">
        <v>235</v>
      </c>
      <c r="B23" s="698"/>
      <c r="C23" s="348">
        <f>Dados!$G$37</f>
        <v>22</v>
      </c>
      <c r="D23" s="350">
        <f>Dados!$G$38</f>
        <v>0.2</v>
      </c>
      <c r="E23" s="349">
        <f>Dados!$G$36</f>
        <v>27</v>
      </c>
      <c r="F23" s="258">
        <f>ROUND((IF(D11&gt;150,((C23*E23)-(C23*(D23*E23))),0)),2)</f>
        <v>475.2</v>
      </c>
      <c r="G23" s="224">
        <f t="shared" si="0"/>
        <v>475.2</v>
      </c>
      <c r="H23" s="224">
        <f>$F$23</f>
        <v>475.2</v>
      </c>
      <c r="I23" s="258"/>
      <c r="J23" s="340"/>
    </row>
    <row r="24" spans="1:12" ht="19.5" customHeight="1">
      <c r="A24" s="698" t="s">
        <v>687</v>
      </c>
      <c r="B24" s="698"/>
      <c r="C24" s="348"/>
      <c r="D24" s="348"/>
      <c r="E24" s="349"/>
      <c r="F24" s="258">
        <f>Dados!Q7</f>
        <v>8.4550000000000001</v>
      </c>
      <c r="G24" s="224">
        <f t="shared" si="0"/>
        <v>8.4550000000000001</v>
      </c>
      <c r="H24" s="224"/>
      <c r="I24" s="258"/>
      <c r="J24" s="340"/>
    </row>
    <row r="25" spans="1:12" ht="19.5" customHeight="1">
      <c r="A25" s="698" t="s">
        <v>238</v>
      </c>
      <c r="B25" s="698"/>
      <c r="C25" s="348"/>
      <c r="D25" s="348"/>
      <c r="E25" s="349"/>
      <c r="F25" s="258">
        <f>Dados!$G$40</f>
        <v>0</v>
      </c>
      <c r="G25" s="224"/>
      <c r="H25" s="224"/>
      <c r="I25" s="258"/>
      <c r="J25" s="340"/>
    </row>
    <row r="26" spans="1:12" ht="19.5" customHeight="1">
      <c r="A26" s="698" t="s">
        <v>447</v>
      </c>
      <c r="B26" s="698"/>
      <c r="C26" s="348"/>
      <c r="D26" s="349"/>
      <c r="E26" s="349"/>
      <c r="F26" s="224">
        <f>Dados!$O$7</f>
        <v>783.22</v>
      </c>
      <c r="G26" s="224"/>
      <c r="H26" s="224"/>
      <c r="I26" s="224"/>
      <c r="J26" s="340"/>
      <c r="L26" s="351"/>
    </row>
    <row r="27" spans="1:12" ht="19.5" customHeight="1">
      <c r="A27" s="516" t="s">
        <v>448</v>
      </c>
      <c r="B27" s="517"/>
      <c r="C27" s="348"/>
      <c r="D27" s="349"/>
      <c r="E27" s="349"/>
      <c r="F27" s="224"/>
      <c r="G27" s="224"/>
      <c r="H27" s="224"/>
      <c r="I27" s="224"/>
      <c r="J27" s="340"/>
    </row>
    <row r="28" spans="1:12" ht="19.5" customHeight="1">
      <c r="A28" s="710" t="s">
        <v>449</v>
      </c>
      <c r="B28" s="710"/>
      <c r="C28" s="352"/>
      <c r="D28" s="353"/>
      <c r="E28" s="353"/>
      <c r="F28" s="342">
        <f>Dados!$R$7</f>
        <v>0</v>
      </c>
      <c r="G28" s="342">
        <f>F28</f>
        <v>0</v>
      </c>
      <c r="H28" s="342"/>
      <c r="I28" s="342"/>
      <c r="J28" s="343"/>
    </row>
    <row r="29" spans="1:12" ht="19.5" customHeight="1">
      <c r="A29" s="705" t="s">
        <v>450</v>
      </c>
      <c r="B29" s="705"/>
      <c r="C29" s="705"/>
      <c r="D29" s="705"/>
      <c r="E29" s="705"/>
      <c r="F29" s="346">
        <f>SUM(F19:F28)</f>
        <v>1510.4650000000001</v>
      </c>
      <c r="G29" s="346">
        <f>SUM(G19:G28)</f>
        <v>727.245</v>
      </c>
      <c r="H29" s="346">
        <f>SUM(H19:H28)</f>
        <v>475.2</v>
      </c>
      <c r="I29" s="346">
        <f>SUM(I19:I28)</f>
        <v>172.39</v>
      </c>
      <c r="J29" s="347">
        <f>SUM(J19:J28)</f>
        <v>0</v>
      </c>
    </row>
    <row r="30" spans="1:12" ht="19.5" customHeight="1">
      <c r="A30" s="705" t="s">
        <v>451</v>
      </c>
      <c r="B30" s="705"/>
      <c r="C30" s="705"/>
      <c r="D30" s="705"/>
      <c r="E30" s="705"/>
      <c r="F30" s="346">
        <f>F16+F29</f>
        <v>5200.0450000000001</v>
      </c>
      <c r="G30" s="346">
        <f>G16+G29</f>
        <v>4416.8249999999998</v>
      </c>
      <c r="H30" s="346">
        <f>H16+H29</f>
        <v>475.2</v>
      </c>
      <c r="I30" s="346">
        <f>I16+I29</f>
        <v>172.39</v>
      </c>
      <c r="J30" s="347">
        <f>J16+J29</f>
        <v>996.31000000000006</v>
      </c>
    </row>
    <row r="31" spans="1:12" ht="19.5" customHeight="1">
      <c r="A31" s="706" t="s">
        <v>452</v>
      </c>
      <c r="B31" s="706"/>
      <c r="C31" s="706"/>
      <c r="D31" s="706"/>
      <c r="E31" s="706"/>
      <c r="F31" s="706"/>
      <c r="G31" s="706"/>
      <c r="H31" s="706"/>
      <c r="I31" s="706"/>
      <c r="J31" s="706"/>
    </row>
    <row r="32" spans="1:12" ht="19.5" customHeight="1">
      <c r="A32" s="707" t="s">
        <v>453</v>
      </c>
      <c r="B32" s="707"/>
      <c r="C32" s="707"/>
      <c r="D32" s="518" t="s">
        <v>454</v>
      </c>
      <c r="E32" s="708" t="s">
        <v>399</v>
      </c>
      <c r="F32" s="708"/>
      <c r="G32" s="708"/>
      <c r="H32" s="708"/>
      <c r="I32" s="708"/>
      <c r="J32" s="708"/>
    </row>
    <row r="33" spans="1:12" ht="19.5" customHeight="1">
      <c r="A33" s="519" t="s">
        <v>455</v>
      </c>
      <c r="B33" s="520"/>
      <c r="C33" s="520"/>
      <c r="D33" s="512">
        <f>Dados!$G$43</f>
        <v>0.03</v>
      </c>
      <c r="E33" s="521"/>
      <c r="F33" s="224">
        <f>ROUND((F30*$D$33),2)</f>
        <v>156</v>
      </c>
      <c r="G33" s="224">
        <f>ROUND((G30*$D$33),2)</f>
        <v>132.5</v>
      </c>
      <c r="H33" s="224">
        <f>ROUND((H30*$D$33),2)</f>
        <v>14.26</v>
      </c>
      <c r="I33" s="224">
        <f>ROUND((I30*$D$33),2)</f>
        <v>5.17</v>
      </c>
      <c r="J33" s="340">
        <f>ROUND((J30*$D$33),2)</f>
        <v>29.89</v>
      </c>
    </row>
    <row r="34" spans="1:12" ht="19.5" customHeight="1">
      <c r="A34" s="709" t="s">
        <v>456</v>
      </c>
      <c r="B34" s="709"/>
      <c r="C34" s="709"/>
      <c r="D34" s="512"/>
      <c r="E34" s="521"/>
      <c r="F34" s="224">
        <f>F30+F33</f>
        <v>5356.0450000000001</v>
      </c>
      <c r="G34" s="224">
        <f>G30+G33</f>
        <v>4549.3249999999998</v>
      </c>
      <c r="H34" s="224">
        <f>H30+H33</f>
        <v>489.46</v>
      </c>
      <c r="I34" s="224">
        <f>I30+I33</f>
        <v>177.55999999999997</v>
      </c>
      <c r="J34" s="340">
        <f>J30+J33</f>
        <v>1026.2</v>
      </c>
    </row>
    <row r="35" spans="1:12" ht="19.5" customHeight="1">
      <c r="A35" s="522" t="s">
        <v>243</v>
      </c>
      <c r="B35" s="523"/>
      <c r="C35" s="523"/>
      <c r="D35" s="524">
        <f>Dados!$G$44</f>
        <v>6.7900000000000002E-2</v>
      </c>
      <c r="E35" s="525"/>
      <c r="F35" s="342">
        <f>ROUND((F34*$D$35),2)</f>
        <v>363.68</v>
      </c>
      <c r="G35" s="342">
        <f>ROUND((G34*$D$35),2)</f>
        <v>308.89999999999998</v>
      </c>
      <c r="H35" s="342">
        <f>ROUND((H34*$D$35),2)</f>
        <v>33.229999999999997</v>
      </c>
      <c r="I35" s="342">
        <f>ROUND((I34*$D$35),2)</f>
        <v>12.06</v>
      </c>
      <c r="J35" s="343">
        <f>ROUND((J34*$D$35),2)</f>
        <v>69.680000000000007</v>
      </c>
    </row>
    <row r="36" spans="1:12" ht="19.5" customHeight="1">
      <c r="A36" s="526" t="s">
        <v>457</v>
      </c>
      <c r="B36" s="527"/>
      <c r="C36" s="527"/>
      <c r="D36" s="528">
        <f>SUM(D33:D35)</f>
        <v>9.7900000000000001E-2</v>
      </c>
      <c r="E36" s="529"/>
      <c r="F36" s="346">
        <f>F33+F35</f>
        <v>519.68000000000006</v>
      </c>
      <c r="G36" s="346">
        <f>G33+G35</f>
        <v>441.4</v>
      </c>
      <c r="H36" s="346">
        <f>H33+H35</f>
        <v>47.489999999999995</v>
      </c>
      <c r="I36" s="346">
        <f>I33+I35</f>
        <v>17.23</v>
      </c>
      <c r="J36" s="347">
        <f>J33+J35</f>
        <v>99.570000000000007</v>
      </c>
    </row>
    <row r="37" spans="1:12" ht="19.5" customHeight="1">
      <c r="A37" s="703" t="s">
        <v>458</v>
      </c>
      <c r="B37" s="703"/>
      <c r="C37" s="703"/>
      <c r="D37" s="703"/>
      <c r="E37" s="703"/>
      <c r="F37" s="354">
        <f>F30+F36</f>
        <v>5719.7250000000004</v>
      </c>
      <c r="G37" s="354">
        <f>G30+G36</f>
        <v>4858.2249999999995</v>
      </c>
      <c r="H37" s="354">
        <f>H30+H36</f>
        <v>522.68999999999994</v>
      </c>
      <c r="I37" s="354">
        <f>I30+I36</f>
        <v>189.61999999999998</v>
      </c>
      <c r="J37" s="355">
        <f>J30+J36</f>
        <v>1095.8800000000001</v>
      </c>
    </row>
    <row r="38" spans="1:12" ht="19.5" customHeight="1">
      <c r="A38" s="704" t="s">
        <v>459</v>
      </c>
      <c r="B38" s="704"/>
      <c r="C38" s="704"/>
      <c r="D38" s="704"/>
      <c r="E38" s="704"/>
      <c r="F38" s="704"/>
      <c r="G38" s="704"/>
      <c r="H38" s="704"/>
      <c r="I38" s="704"/>
      <c r="J38" s="704"/>
    </row>
    <row r="39" spans="1:12" ht="19.5" customHeight="1">
      <c r="A39" s="698" t="s">
        <v>249</v>
      </c>
      <c r="B39" s="698"/>
      <c r="C39" s="698"/>
      <c r="D39" s="512">
        <f>Dados!G51</f>
        <v>7.5999999999999998E-2</v>
      </c>
      <c r="E39" s="224"/>
      <c r="F39" s="224">
        <f>ROUND(($F$45*D39),2)</f>
        <v>506.94</v>
      </c>
      <c r="G39" s="224">
        <f>ROUND((G45*$D$39),2)</f>
        <v>430.58</v>
      </c>
      <c r="H39" s="224">
        <f>ROUND((H45*$D$39),2)</f>
        <v>46.33</v>
      </c>
      <c r="I39" s="224">
        <f>ROUND((I45*$D$39),2)</f>
        <v>16.809999999999999</v>
      </c>
      <c r="J39" s="340">
        <f>ROUND((J45*$D$39),2)</f>
        <v>97.13</v>
      </c>
    </row>
    <row r="40" spans="1:12" ht="19.5" customHeight="1">
      <c r="A40" s="698" t="s">
        <v>251</v>
      </c>
      <c r="B40" s="698"/>
      <c r="C40" s="698"/>
      <c r="D40" s="512">
        <f>Dados!G52</f>
        <v>1.6500000000000001E-2</v>
      </c>
      <c r="E40" s="224"/>
      <c r="F40" s="224">
        <f>ROUND((F45*$D$40),2)</f>
        <v>110.06</v>
      </c>
      <c r="G40" s="224">
        <f>ROUND((G45*$D$40),2)</f>
        <v>93.48</v>
      </c>
      <c r="H40" s="224">
        <f>ROUND((H45*$D$40),2)</f>
        <v>10.06</v>
      </c>
      <c r="I40" s="224">
        <f>ROUND((I45*$D$40),2)</f>
        <v>3.65</v>
      </c>
      <c r="J40" s="340">
        <f>ROUND((J45*$D$40),2)</f>
        <v>21.09</v>
      </c>
    </row>
    <row r="41" spans="1:12" ht="19.5" customHeight="1">
      <c r="A41" s="698" t="s">
        <v>252</v>
      </c>
      <c r="B41" s="698"/>
      <c r="C41" s="698"/>
      <c r="D41" s="512">
        <f>Dados!G53</f>
        <v>0.05</v>
      </c>
      <c r="E41" s="224"/>
      <c r="F41" s="224">
        <f>ROUND((F45*$D$41),2)</f>
        <v>333.51</v>
      </c>
      <c r="G41" s="224">
        <f>ROUND((G45*$D$41),2)</f>
        <v>283.27999999999997</v>
      </c>
      <c r="H41" s="224">
        <f>ROUND((H45*$D$41),2)</f>
        <v>30.48</v>
      </c>
      <c r="I41" s="224">
        <f>ROUND((I45*$D$41),2)</f>
        <v>11.06</v>
      </c>
      <c r="J41" s="340">
        <f>ROUND((J45*$D$41),2)</f>
        <v>63.9</v>
      </c>
    </row>
    <row r="42" spans="1:12" ht="19.5" customHeight="1">
      <c r="A42" s="698" t="s">
        <v>238</v>
      </c>
      <c r="B42" s="698"/>
      <c r="C42" s="698"/>
      <c r="D42" s="512">
        <f>Dados!G54</f>
        <v>0</v>
      </c>
      <c r="E42" s="224"/>
      <c r="F42" s="224">
        <f>ROUND((F45*$D$42),2)</f>
        <v>0</v>
      </c>
      <c r="G42" s="224">
        <f>ROUND((G45*$D$42),2)</f>
        <v>0</v>
      </c>
      <c r="H42" s="224">
        <f>ROUND((H45*$D$42),2)</f>
        <v>0</v>
      </c>
      <c r="I42" s="224">
        <f>ROUND((I45*$D$42),2)</f>
        <v>0</v>
      </c>
      <c r="J42" s="340">
        <f>ROUND((J45*$D$42),2)</f>
        <v>0</v>
      </c>
    </row>
    <row r="43" spans="1:12" ht="19.5" customHeight="1">
      <c r="A43" s="699" t="s">
        <v>460</v>
      </c>
      <c r="B43" s="699"/>
      <c r="C43" s="699"/>
      <c r="D43" s="530">
        <f>SUM(D39:D42)</f>
        <v>0.14250000000000002</v>
      </c>
      <c r="E43" s="531"/>
      <c r="F43" s="356">
        <f>SUM(F39:F42)</f>
        <v>950.51</v>
      </c>
      <c r="G43" s="356">
        <f>SUM(G39:G42)</f>
        <v>807.33999999999992</v>
      </c>
      <c r="H43" s="356">
        <f>SUM(H39:H42)</f>
        <v>86.87</v>
      </c>
      <c r="I43" s="356">
        <f>SUM(I39:I42)</f>
        <v>31.519999999999996</v>
      </c>
      <c r="J43" s="357">
        <f>SUM(J39:J41)</f>
        <v>182.12</v>
      </c>
    </row>
    <row r="44" spans="1:12" ht="19.5" customHeight="1">
      <c r="A44" s="700" t="str">
        <f>CONCATENATE("Custo Mensal - ",A7)</f>
        <v>Custo Mensal - Servente de Limpeza 40% Insalubridade</v>
      </c>
      <c r="B44" s="700"/>
      <c r="C44" s="700"/>
      <c r="D44" s="700"/>
      <c r="E44" s="700"/>
      <c r="F44" s="358">
        <f>ROUND(F37/(1-D43),2)</f>
        <v>6670.23</v>
      </c>
      <c r="G44" s="358">
        <f>ROUND(G37/(1-D43),2)</f>
        <v>5665.57</v>
      </c>
      <c r="H44" s="358">
        <f>ROUND(H37/(1-D43),2)</f>
        <v>609.54999999999995</v>
      </c>
      <c r="I44" s="358">
        <f>ROUND(I37/(1-D43),2)</f>
        <v>221.13</v>
      </c>
      <c r="J44" s="359">
        <f>ROUND(J37/(1-D43),2)</f>
        <v>1277.99</v>
      </c>
    </row>
    <row r="45" spans="1:12" ht="19.5" customHeight="1">
      <c r="A45" s="701" t="str">
        <f>CONCATENATE("Valor do Custo Mensal - ",A7)</f>
        <v>Valor do Custo Mensal - Servente de Limpeza 40% Insalubridade</v>
      </c>
      <c r="B45" s="701"/>
      <c r="C45" s="701"/>
      <c r="D45" s="701"/>
      <c r="E45" s="701"/>
      <c r="F45" s="358">
        <f>F44</f>
        <v>6670.23</v>
      </c>
      <c r="G45" s="358">
        <f>G44</f>
        <v>5665.57</v>
      </c>
      <c r="H45" s="358">
        <f>H44</f>
        <v>609.54999999999995</v>
      </c>
      <c r="I45" s="358">
        <f>I44</f>
        <v>221.13</v>
      </c>
      <c r="J45" s="359">
        <f>J44</f>
        <v>1277.99</v>
      </c>
      <c r="K45" s="360"/>
      <c r="L45" s="360"/>
    </row>
    <row r="46" spans="1:12" ht="27.75" customHeight="1">
      <c r="A46" s="702" t="s">
        <v>461</v>
      </c>
      <c r="B46" s="702"/>
      <c r="C46" s="702"/>
      <c r="D46" s="702"/>
      <c r="E46" s="702"/>
      <c r="F46" s="361">
        <f>(F45/F14)</f>
        <v>3.1890562248995984</v>
      </c>
      <c r="G46" s="361">
        <f>(G45/G14)</f>
        <v>2.7087253777012812</v>
      </c>
      <c r="H46" s="697" t="s">
        <v>462</v>
      </c>
      <c r="I46" s="697"/>
      <c r="J46" s="362">
        <f>ROUND((J45/30),2)</f>
        <v>42.6</v>
      </c>
    </row>
    <row r="47" spans="1:12" ht="19.5" customHeight="1"/>
  </sheetData>
  <sheetProtection algorithmName="SHA-512" hashValue="EFbzTSrizjJN9zx8sU7nkurvkQuiGwbmwypabLQd5o6QFe650jrjvmOcBZ5GXkTk/SPVf1ZWHC5bn+cksJTSuA==" saltValue="dFVPeQHcWhCoLZQf9F0xuw==" spinCount="100000" sheet="1" objects="1" scenarios="1"/>
  <mergeCells count="49">
    <mergeCell ref="A4:J4"/>
    <mergeCell ref="A5:J5"/>
    <mergeCell ref="A6:J6"/>
    <mergeCell ref="A7:E7"/>
    <mergeCell ref="F7:F8"/>
    <mergeCell ref="G7:G8"/>
    <mergeCell ref="H7:H8"/>
    <mergeCell ref="I7:I8"/>
    <mergeCell ref="J7:J8"/>
    <mergeCell ref="A8:D8"/>
    <mergeCell ref="A9:J9"/>
    <mergeCell ref="B10:C10"/>
    <mergeCell ref="F10:J10"/>
    <mergeCell ref="A11:A15"/>
    <mergeCell ref="B11:C11"/>
    <mergeCell ref="B12:C12"/>
    <mergeCell ref="B14:E14"/>
    <mergeCell ref="B15:D15"/>
    <mergeCell ref="A16:E16"/>
    <mergeCell ref="A17:J17"/>
    <mergeCell ref="A18:B18"/>
    <mergeCell ref="D18:E18"/>
    <mergeCell ref="F18:J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E29"/>
    <mergeCell ref="A30:E30"/>
    <mergeCell ref="A31:J31"/>
    <mergeCell ref="A32:C32"/>
    <mergeCell ref="E32:J32"/>
    <mergeCell ref="A34:C34"/>
    <mergeCell ref="A37:E37"/>
    <mergeCell ref="A38:J38"/>
    <mergeCell ref="A39:C39"/>
    <mergeCell ref="A40:C40"/>
    <mergeCell ref="A41:C41"/>
    <mergeCell ref="H46:I46"/>
    <mergeCell ref="A42:C42"/>
    <mergeCell ref="A43:C43"/>
    <mergeCell ref="A44:E44"/>
    <mergeCell ref="A45:E45"/>
    <mergeCell ref="A46:E46"/>
  </mergeCells>
  <printOptions horizontalCentered="1" verticalCentered="1"/>
  <pageMargins left="0.51180555555555596" right="0.51180555555555596" top="0.78749999999999998" bottom="0.78749999999999998" header="0.511811023622047" footer="0.511811023622047"/>
  <pageSetup paperSize="9" scale="61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17</vt:i4>
      </vt:variant>
    </vt:vector>
  </HeadingPairs>
  <TitlesOfParts>
    <vt:vector size="32" baseType="lpstr">
      <vt:lpstr>Ocorrências Mensais - FAT</vt:lpstr>
      <vt:lpstr>INSTRUÇÕES</vt:lpstr>
      <vt:lpstr>Dados</vt:lpstr>
      <vt:lpstr>Encargos</vt:lpstr>
      <vt:lpstr>Mat</vt:lpstr>
      <vt:lpstr>EPI</vt:lpstr>
      <vt:lpstr>Equip</vt:lpstr>
      <vt:lpstr>Unif</vt:lpstr>
      <vt:lpstr>Serv Ins</vt:lpstr>
      <vt:lpstr>Serv Copeira</vt:lpstr>
      <vt:lpstr>Zel</vt:lpstr>
      <vt:lpstr>Aux Adm</vt:lpstr>
      <vt:lpstr>Resumo</vt:lpstr>
      <vt:lpstr>Custo Estimado Substituto</vt:lpstr>
      <vt:lpstr>IPCA</vt:lpstr>
      <vt:lpstr>'Aux Adm'!Area_de_impressao</vt:lpstr>
      <vt:lpstr>Dados!Area_de_impressao</vt:lpstr>
      <vt:lpstr>Encargos!Area_de_impressao</vt:lpstr>
      <vt:lpstr>INSTRUÇÕES!Area_de_impressao</vt:lpstr>
      <vt:lpstr>Mat!Area_de_impressao</vt:lpstr>
      <vt:lpstr>'Serv Copeira'!Area_de_impressao</vt:lpstr>
      <vt:lpstr>'Serv Ins'!Area_de_impressao</vt:lpstr>
      <vt:lpstr>Unif!Area_de_impressao</vt:lpstr>
      <vt:lpstr>Zel!Area_de_impressao</vt:lpstr>
      <vt:lpstr>'Aux Adm'!Print_Area_0</vt:lpstr>
      <vt:lpstr>Dados!Print_Area_0</vt:lpstr>
      <vt:lpstr>Encargos!Print_Area_0</vt:lpstr>
      <vt:lpstr>Mat!Print_Area_0</vt:lpstr>
      <vt:lpstr>'Serv Copeira'!Print_Area_0</vt:lpstr>
      <vt:lpstr>'Serv Ins'!Print_Area_0</vt:lpstr>
      <vt:lpstr>Unif!Print_Area_0</vt:lpstr>
      <vt:lpstr>Zel!Print_Area_0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Lucas Gouveia dos Santos</dc:creator>
  <cp:lastModifiedBy>Rita Bruno</cp:lastModifiedBy>
  <cp:revision>13</cp:revision>
  <dcterms:created xsi:type="dcterms:W3CDTF">2015-06-05T18:17:20Z</dcterms:created>
  <dcterms:modified xsi:type="dcterms:W3CDTF">2024-12-03T16:17:21Z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ProgId">
    <vt:lpwstr>Excel.Sheet</vt:lpwstr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