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D:\Users\JFMG\Downloads\"/>
    </mc:Choice>
  </mc:AlternateContent>
  <xr:revisionPtr revIDLastSave="0" documentId="13_ncr:1_{60B385E4-079D-48FC-80DA-6BBB90BBB89C}" xr6:coauthVersionLast="47" xr6:coauthVersionMax="47" xr10:uidLastSave="{00000000-0000-0000-0000-000000000000}"/>
  <bookViews>
    <workbookView xWindow="-120" yWindow="-120" windowWidth="21840" windowHeight="13140" tabRatio="672" firstSheet="1" activeTab="6" xr2:uid="{00000000-000D-0000-FFFF-FFFF00000000}"/>
  </bookViews>
  <sheets>
    <sheet name="Ocorrências Mensais - FAT" sheetId="1" state="hidden" r:id="rId1"/>
    <sheet name="INSTRUÇÕES" sheetId="2" r:id="rId2"/>
    <sheet name="Dados" sheetId="3" r:id="rId3"/>
    <sheet name="Encargos" sheetId="4" r:id="rId4"/>
    <sheet name="Materiais" sheetId="5" r:id="rId5"/>
    <sheet name="Equipamentos" sheetId="6" r:id="rId6"/>
    <sheet name="Uniformes" sheetId="7" r:id="rId7"/>
    <sheet name="Custo Substituto" sheetId="13" r:id="rId8"/>
    <sheet name="Resumo" sheetId="12" r:id="rId9"/>
    <sheet name="Auxiliar Administrativo" sheetId="17" r:id="rId10"/>
    <sheet name="Zelador" sheetId="16" r:id="rId11"/>
    <sheet name="Serv Ins 220" sheetId="9" r:id="rId12"/>
    <sheet name="Servente 150" sheetId="10" r:id="rId13"/>
    <sheet name="IPCA" sheetId="14" state="hidden" r:id="rId14"/>
  </sheets>
  <definedNames>
    <definedName name="_xlnm.Print_Area" localSheetId="9">'Auxiliar Administrativo'!$A$1:$J$46</definedName>
    <definedName name="_xlnm.Print_Area" localSheetId="2">Dados!$A$1:$Q$55</definedName>
    <definedName name="_xlnm.Print_Area" localSheetId="3">Encargos!$A$1:$C$59</definedName>
    <definedName name="_xlnm.Print_Area" localSheetId="4">Materiais!$A$1:$L$38</definedName>
    <definedName name="_xlnm.Print_Area" localSheetId="8">Resumo!$A$1:$W$21</definedName>
    <definedName name="_xlnm.Print_Area" localSheetId="11">'Serv Ins 220'!$A$1:$J$46</definedName>
    <definedName name="_xlnm.Print_Area" localSheetId="12">'Servente 150'!$A$1:$J$46</definedName>
    <definedName name="_xlnm.Print_Area" localSheetId="6">Uniformes!$A$1:$H$29</definedName>
    <definedName name="_xlnm.Print_Area" localSheetId="10">Zelador!$A$1:$J$46</definedName>
    <definedName name="BS">NA()</definedName>
    <definedName name="BT">NA()</definedName>
    <definedName name="CIDADE">NA()</definedName>
    <definedName name="CIDADES">NA()</definedName>
    <definedName name="CPMF">NA()</definedName>
    <definedName name="d">NA()</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ISS">NA()</definedName>
    <definedName name="Jornada">NA()</definedName>
    <definedName name="TERRIT">NA()</definedName>
    <definedName name="Tipo_de_Joranda_de_Trabalho">NA()</definedName>
    <definedName name="TP_SERV">NA()</definedName>
    <definedName name="TP_SERVPERC">NA()</definedName>
    <definedName name="VRSELEC">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0" i="1" l="1"/>
  <c r="V51" i="1"/>
  <c r="V52" i="1"/>
  <c r="V53" i="1"/>
  <c r="Q50" i="1"/>
  <c r="R50" i="1" s="1"/>
  <c r="S50" i="1" s="1"/>
  <c r="T50" i="1" s="1"/>
  <c r="U50" i="1" s="1"/>
  <c r="Q51" i="1"/>
  <c r="R51" i="1" s="1"/>
  <c r="S51" i="1" s="1"/>
  <c r="T51" i="1" s="1"/>
  <c r="U51" i="1" s="1"/>
  <c r="Q52" i="1"/>
  <c r="R52" i="1" s="1"/>
  <c r="S52" i="1" s="1"/>
  <c r="T52" i="1" s="1"/>
  <c r="U52" i="1" s="1"/>
  <c r="Q53" i="1"/>
  <c r="R53" i="1" s="1"/>
  <c r="S53" i="1" s="1"/>
  <c r="T53" i="1" s="1"/>
  <c r="U53" i="1" s="1"/>
  <c r="O35" i="1"/>
  <c r="O36" i="1"/>
  <c r="O37" i="1"/>
  <c r="O47" i="1"/>
  <c r="O48" i="1"/>
  <c r="O49" i="1"/>
  <c r="N27" i="1"/>
  <c r="O27" i="1" s="1"/>
  <c r="N28" i="1"/>
  <c r="O28" i="1" s="1"/>
  <c r="N29" i="1"/>
  <c r="O29" i="1" s="1"/>
  <c r="N30" i="1"/>
  <c r="O30" i="1" s="1"/>
  <c r="N31" i="1"/>
  <c r="O31" i="1" s="1"/>
  <c r="N32" i="1"/>
  <c r="O32" i="1" s="1"/>
  <c r="N33" i="1"/>
  <c r="O33" i="1" s="1"/>
  <c r="N34" i="1"/>
  <c r="O34" i="1" s="1"/>
  <c r="N35" i="1"/>
  <c r="N36" i="1"/>
  <c r="N37" i="1"/>
  <c r="N38" i="1"/>
  <c r="O38" i="1" s="1"/>
  <c r="N39" i="1"/>
  <c r="O39" i="1" s="1"/>
  <c r="N40" i="1"/>
  <c r="O40" i="1" s="1"/>
  <c r="N41" i="1"/>
  <c r="O41" i="1" s="1"/>
  <c r="N42" i="1"/>
  <c r="O42" i="1" s="1"/>
  <c r="N43" i="1"/>
  <c r="O43" i="1" s="1"/>
  <c r="N44" i="1"/>
  <c r="O44" i="1" s="1"/>
  <c r="N45" i="1"/>
  <c r="O45" i="1" s="1"/>
  <c r="N46" i="1"/>
  <c r="O46" i="1" s="1"/>
  <c r="N47" i="1"/>
  <c r="N48" i="1"/>
  <c r="N49" i="1"/>
  <c r="N50" i="1"/>
  <c r="O50" i="1" s="1"/>
  <c r="N51" i="1"/>
  <c r="O51" i="1" s="1"/>
  <c r="L51" i="1" s="1"/>
  <c r="N52" i="1"/>
  <c r="O52" i="1" s="1"/>
  <c r="L52" i="1" s="1"/>
  <c r="G52" i="1" s="1"/>
  <c r="N53" i="1"/>
  <c r="O53" i="1" s="1"/>
  <c r="L53" i="1" s="1"/>
  <c r="G53" i="1" s="1"/>
  <c r="M27" i="1"/>
  <c r="M28" i="1"/>
  <c r="M29" i="1"/>
  <c r="M30" i="1"/>
  <c r="M31" i="1"/>
  <c r="M32" i="1"/>
  <c r="M33" i="1"/>
  <c r="M34" i="1"/>
  <c r="M35" i="1"/>
  <c r="M36" i="1"/>
  <c r="M37" i="1"/>
  <c r="M38" i="1"/>
  <c r="M39" i="1"/>
  <c r="M40" i="1"/>
  <c r="M41" i="1"/>
  <c r="M42" i="1"/>
  <c r="M43" i="1"/>
  <c r="M44" i="1"/>
  <c r="M45" i="1"/>
  <c r="M46" i="1"/>
  <c r="M47" i="1"/>
  <c r="M48" i="1"/>
  <c r="M49" i="1"/>
  <c r="M50" i="1"/>
  <c r="M51" i="1"/>
  <c r="M52" i="1"/>
  <c r="M53" i="1"/>
  <c r="L15" i="5"/>
  <c r="L20" i="5"/>
  <c r="L25" i="5"/>
  <c r="L18" i="5"/>
  <c r="L50" i="1" l="1"/>
  <c r="G50" i="1" s="1"/>
  <c r="H52" i="1"/>
  <c r="E35" i="5"/>
  <c r="E33" i="5"/>
  <c r="H50" i="1"/>
  <c r="I50" i="1"/>
  <c r="E36" i="5"/>
  <c r="H53" i="1"/>
  <c r="I53" i="1"/>
  <c r="G51" i="1"/>
  <c r="I51" i="1" s="1"/>
  <c r="I52" i="1"/>
  <c r="A7" i="17"/>
  <c r="B11" i="17" s="1"/>
  <c r="E14" i="6"/>
  <c r="F14" i="6" s="1"/>
  <c r="G14" i="6" s="1"/>
  <c r="E15" i="6"/>
  <c r="F15" i="6" s="1"/>
  <c r="G15" i="6" s="1"/>
  <c r="M26" i="1"/>
  <c r="R11" i="1"/>
  <c r="A26" i="7"/>
  <c r="A19" i="7"/>
  <c r="A12" i="7"/>
  <c r="F25" i="7" l="1"/>
  <c r="F27" i="7"/>
  <c r="H27" i="7" s="1"/>
  <c r="E34" i="5"/>
  <c r="H51" i="1"/>
  <c r="F26" i="7"/>
  <c r="F24" i="7"/>
  <c r="L30" i="1"/>
  <c r="G30" i="1" s="1"/>
  <c r="L31" i="1"/>
  <c r="G31" i="1" s="1"/>
  <c r="L34" i="1"/>
  <c r="G34" i="1" s="1"/>
  <c r="L35" i="1"/>
  <c r="G35" i="1" s="1"/>
  <c r="L38" i="1"/>
  <c r="G38" i="1" s="1"/>
  <c r="L39" i="1"/>
  <c r="G39" i="1" s="1"/>
  <c r="L42" i="1"/>
  <c r="G42" i="1" s="1"/>
  <c r="L43" i="1"/>
  <c r="G43" i="1" s="1"/>
  <c r="L46" i="1"/>
  <c r="G46" i="1" s="1"/>
  <c r="L47" i="1"/>
  <c r="G47" i="1" s="1"/>
  <c r="D12" i="16"/>
  <c r="D12" i="17"/>
  <c r="U14" i="12"/>
  <c r="Q12" i="12"/>
  <c r="Q13" i="12"/>
  <c r="Q14" i="12"/>
  <c r="Q15" i="12"/>
  <c r="N12" i="12"/>
  <c r="N13" i="12"/>
  <c r="N14" i="12"/>
  <c r="N15" i="12"/>
  <c r="I5" i="13"/>
  <c r="H5" i="13"/>
  <c r="G5" i="13"/>
  <c r="F5" i="13"/>
  <c r="E13" i="17"/>
  <c r="D13" i="17"/>
  <c r="C13" i="17"/>
  <c r="E11" i="17"/>
  <c r="D11" i="17"/>
  <c r="E13" i="16"/>
  <c r="D13" i="16"/>
  <c r="C13" i="16"/>
  <c r="E11" i="16"/>
  <c r="D11" i="16"/>
  <c r="A7" i="16"/>
  <c r="E13" i="10"/>
  <c r="D13" i="10"/>
  <c r="C13" i="10"/>
  <c r="E11" i="10"/>
  <c r="D12" i="10"/>
  <c r="D11" i="10"/>
  <c r="A7" i="10"/>
  <c r="E13" i="9"/>
  <c r="C13" i="9"/>
  <c r="D13" i="9"/>
  <c r="D12" i="9"/>
  <c r="E11" i="9"/>
  <c r="D11" i="9"/>
  <c r="A7" i="9"/>
  <c r="P6" i="3"/>
  <c r="O6" i="3"/>
  <c r="E13" i="6"/>
  <c r="F13" i="6" s="1"/>
  <c r="G13" i="6" s="1"/>
  <c r="G16" i="6" s="1"/>
  <c r="V27" i="1"/>
  <c r="V28" i="1"/>
  <c r="V29" i="1"/>
  <c r="V30" i="1"/>
  <c r="V31" i="1"/>
  <c r="V32" i="1"/>
  <c r="V33" i="1"/>
  <c r="V34" i="1"/>
  <c r="V35" i="1"/>
  <c r="V36" i="1"/>
  <c r="V37" i="1"/>
  <c r="V38" i="1"/>
  <c r="V39" i="1"/>
  <c r="V40" i="1"/>
  <c r="V41" i="1"/>
  <c r="V42" i="1"/>
  <c r="V43" i="1"/>
  <c r="V44" i="1"/>
  <c r="V45" i="1"/>
  <c r="V46" i="1"/>
  <c r="V47" i="1"/>
  <c r="V48" i="1"/>
  <c r="V49" i="1"/>
  <c r="Q27" i="1"/>
  <c r="R27" i="1" s="1"/>
  <c r="S27" i="1" s="1"/>
  <c r="T27" i="1" s="1"/>
  <c r="U27" i="1" s="1"/>
  <c r="Q28" i="1"/>
  <c r="R28" i="1" s="1"/>
  <c r="S28" i="1" s="1"/>
  <c r="T28" i="1" s="1"/>
  <c r="U28" i="1" s="1"/>
  <c r="Q29" i="1"/>
  <c r="R29" i="1" s="1"/>
  <c r="S29" i="1" s="1"/>
  <c r="T29" i="1" s="1"/>
  <c r="U29" i="1" s="1"/>
  <c r="Q30" i="1"/>
  <c r="R30" i="1" s="1"/>
  <c r="S30" i="1" s="1"/>
  <c r="T30" i="1" s="1"/>
  <c r="U30" i="1" s="1"/>
  <c r="Q31" i="1"/>
  <c r="R31" i="1" s="1"/>
  <c r="S31" i="1" s="1"/>
  <c r="T31" i="1" s="1"/>
  <c r="U31" i="1" s="1"/>
  <c r="Q32" i="1"/>
  <c r="R32" i="1" s="1"/>
  <c r="S32" i="1" s="1"/>
  <c r="T32" i="1" s="1"/>
  <c r="U32" i="1" s="1"/>
  <c r="Q33" i="1"/>
  <c r="R33" i="1" s="1"/>
  <c r="S33" i="1" s="1"/>
  <c r="T33" i="1" s="1"/>
  <c r="U33" i="1" s="1"/>
  <c r="Q34" i="1"/>
  <c r="R34" i="1" s="1"/>
  <c r="S34" i="1" s="1"/>
  <c r="T34" i="1" s="1"/>
  <c r="U34" i="1" s="1"/>
  <c r="Q35" i="1"/>
  <c r="R35" i="1" s="1"/>
  <c r="S35" i="1" s="1"/>
  <c r="T35" i="1" s="1"/>
  <c r="U35" i="1" s="1"/>
  <c r="Q36" i="1"/>
  <c r="R36" i="1" s="1"/>
  <c r="S36" i="1" s="1"/>
  <c r="T36" i="1" s="1"/>
  <c r="U36" i="1" s="1"/>
  <c r="Q37" i="1"/>
  <c r="R37" i="1" s="1"/>
  <c r="S37" i="1" s="1"/>
  <c r="T37" i="1" s="1"/>
  <c r="U37" i="1" s="1"/>
  <c r="Q38" i="1"/>
  <c r="R38" i="1" s="1"/>
  <c r="S38" i="1" s="1"/>
  <c r="T38" i="1" s="1"/>
  <c r="U38" i="1" s="1"/>
  <c r="Q39" i="1"/>
  <c r="R39" i="1" s="1"/>
  <c r="S39" i="1" s="1"/>
  <c r="T39" i="1" s="1"/>
  <c r="U39" i="1" s="1"/>
  <c r="Q40" i="1"/>
  <c r="R40" i="1" s="1"/>
  <c r="S40" i="1" s="1"/>
  <c r="T40" i="1" s="1"/>
  <c r="U40" i="1" s="1"/>
  <c r="Q41" i="1"/>
  <c r="R41" i="1" s="1"/>
  <c r="S41" i="1" s="1"/>
  <c r="T41" i="1" s="1"/>
  <c r="U41" i="1" s="1"/>
  <c r="Q42" i="1"/>
  <c r="R42" i="1" s="1"/>
  <c r="S42" i="1" s="1"/>
  <c r="T42" i="1" s="1"/>
  <c r="U42" i="1" s="1"/>
  <c r="Q43" i="1"/>
  <c r="R43" i="1" s="1"/>
  <c r="S43" i="1" s="1"/>
  <c r="T43" i="1" s="1"/>
  <c r="U43" i="1" s="1"/>
  <c r="Q44" i="1"/>
  <c r="R44" i="1" s="1"/>
  <c r="S44" i="1" s="1"/>
  <c r="T44" i="1" s="1"/>
  <c r="U44" i="1" s="1"/>
  <c r="Q45" i="1"/>
  <c r="R45" i="1" s="1"/>
  <c r="S45" i="1" s="1"/>
  <c r="T45" i="1" s="1"/>
  <c r="U45" i="1" s="1"/>
  <c r="Q46" i="1"/>
  <c r="R46" i="1" s="1"/>
  <c r="S46" i="1" s="1"/>
  <c r="T46" i="1" s="1"/>
  <c r="U46" i="1" s="1"/>
  <c r="Q47" i="1"/>
  <c r="R47" i="1" s="1"/>
  <c r="S47" i="1" s="1"/>
  <c r="T47" i="1" s="1"/>
  <c r="U47" i="1" s="1"/>
  <c r="Q48" i="1"/>
  <c r="R48" i="1" s="1"/>
  <c r="S48" i="1" s="1"/>
  <c r="T48" i="1" s="1"/>
  <c r="U48" i="1" s="1"/>
  <c r="Q49" i="1"/>
  <c r="R49" i="1" s="1"/>
  <c r="S49" i="1" s="1"/>
  <c r="T49" i="1" s="1"/>
  <c r="U49" i="1" s="1"/>
  <c r="L27" i="1"/>
  <c r="G27" i="1" s="1"/>
  <c r="L28" i="1"/>
  <c r="G28" i="1" s="1"/>
  <c r="L29" i="1"/>
  <c r="G29" i="1" s="1"/>
  <c r="L32" i="1"/>
  <c r="G32" i="1" s="1"/>
  <c r="L33" i="1"/>
  <c r="G33" i="1" s="1"/>
  <c r="L36" i="1"/>
  <c r="G36" i="1" s="1"/>
  <c r="L37" i="1"/>
  <c r="G37" i="1" s="1"/>
  <c r="L40" i="1"/>
  <c r="G40" i="1" s="1"/>
  <c r="L41" i="1"/>
  <c r="G41" i="1" s="1"/>
  <c r="L44" i="1"/>
  <c r="G44" i="1" s="1"/>
  <c r="L45" i="1"/>
  <c r="G45" i="1" s="1"/>
  <c r="L48" i="1"/>
  <c r="G48" i="1" s="1"/>
  <c r="L49" i="1"/>
  <c r="G49" i="1" s="1"/>
  <c r="H28" i="1" l="1"/>
  <c r="E11" i="5"/>
  <c r="E13" i="5"/>
  <c r="H30" i="1"/>
  <c r="E20" i="5"/>
  <c r="G20" i="5" s="1"/>
  <c r="H37" i="1"/>
  <c r="H29" i="1"/>
  <c r="E12" i="5"/>
  <c r="H47" i="1"/>
  <c r="E30" i="5"/>
  <c r="H39" i="1"/>
  <c r="E22" i="5"/>
  <c r="H31" i="1"/>
  <c r="E14" i="5"/>
  <c r="H44" i="1"/>
  <c r="E27" i="5"/>
  <c r="H40" i="1"/>
  <c r="E23" i="5"/>
  <c r="H32" i="1"/>
  <c r="E15" i="5"/>
  <c r="G15" i="5" s="1"/>
  <c r="E25" i="5"/>
  <c r="G25" i="5" s="1"/>
  <c r="H42" i="1"/>
  <c r="E17" i="5"/>
  <c r="H34" i="1"/>
  <c r="H36" i="1"/>
  <c r="E19" i="5"/>
  <c r="E29" i="5"/>
  <c r="H46" i="1"/>
  <c r="E21" i="5"/>
  <c r="H38" i="1"/>
  <c r="E28" i="5"/>
  <c r="H45" i="1"/>
  <c r="H48" i="1"/>
  <c r="E31" i="5"/>
  <c r="E32" i="5"/>
  <c r="H49" i="1"/>
  <c r="E24" i="5"/>
  <c r="H41" i="1"/>
  <c r="E16" i="5"/>
  <c r="H33" i="1"/>
  <c r="H27" i="1"/>
  <c r="E10" i="5"/>
  <c r="H43" i="1"/>
  <c r="E26" i="5"/>
  <c r="E18" i="5"/>
  <c r="G18" i="5" s="1"/>
  <c r="H35" i="1"/>
  <c r="K11" i="1"/>
  <c r="K12" i="12" s="1"/>
  <c r="K12" i="1"/>
  <c r="K13" i="12" s="1"/>
  <c r="K13" i="1"/>
  <c r="K14" i="12" s="1"/>
  <c r="K14" i="1"/>
  <c r="K15" i="12" s="1"/>
  <c r="F11" i="1"/>
  <c r="H12" i="12" s="1"/>
  <c r="F12" i="1"/>
  <c r="H13" i="12" s="1"/>
  <c r="F13" i="1"/>
  <c r="H14" i="12" s="1"/>
  <c r="F14" i="1"/>
  <c r="H15" i="12" s="1"/>
  <c r="A11" i="1"/>
  <c r="A12" i="1"/>
  <c r="A13" i="1"/>
  <c r="A14" i="1"/>
  <c r="B11" i="1"/>
  <c r="B12" i="1"/>
  <c r="B13" i="1"/>
  <c r="B14" i="1"/>
  <c r="C11" i="1"/>
  <c r="C12" i="1"/>
  <c r="C13" i="1"/>
  <c r="C14" i="1"/>
  <c r="F11" i="7"/>
  <c r="H11" i="7" s="1"/>
  <c r="H10" i="3"/>
  <c r="F7" i="3"/>
  <c r="M7" i="3" s="1"/>
  <c r="F8" i="3"/>
  <c r="M8" i="3" s="1"/>
  <c r="F9" i="3"/>
  <c r="M9" i="3" s="1"/>
  <c r="F10" i="3"/>
  <c r="M10" i="3" l="1"/>
  <c r="T13" i="1"/>
  <c r="H7" i="13"/>
  <c r="T12" i="1"/>
  <c r="G7" i="13"/>
  <c r="T11" i="1"/>
  <c r="W11" i="1" s="1"/>
  <c r="F7" i="13"/>
  <c r="F18" i="7"/>
  <c r="H18" i="7" s="1"/>
  <c r="F12" i="7"/>
  <c r="H12" i="7" s="1"/>
  <c r="F10" i="7"/>
  <c r="H10" i="7" s="1"/>
  <c r="F17" i="7"/>
  <c r="H17" i="7" s="1"/>
  <c r="F19" i="7"/>
  <c r="W12" i="1" l="1"/>
  <c r="T14" i="1"/>
  <c r="I7" i="13"/>
  <c r="D12" i="12" l="1"/>
  <c r="D13" i="12"/>
  <c r="D14" i="12"/>
  <c r="D15" i="12"/>
  <c r="C12" i="12"/>
  <c r="C13" i="12"/>
  <c r="C14" i="12"/>
  <c r="C15" i="12"/>
  <c r="B12" i="12"/>
  <c r="B13" i="12"/>
  <c r="B14" i="12"/>
  <c r="B15" i="12"/>
  <c r="D42" i="17"/>
  <c r="D41" i="17"/>
  <c r="D40" i="17"/>
  <c r="D39" i="17"/>
  <c r="D35" i="17"/>
  <c r="D33" i="17"/>
  <c r="J29" i="17"/>
  <c r="F25" i="17"/>
  <c r="F24" i="17"/>
  <c r="E23" i="17"/>
  <c r="D23" i="17"/>
  <c r="E22" i="17"/>
  <c r="D22" i="17"/>
  <c r="C22" i="17"/>
  <c r="F21" i="17"/>
  <c r="G21" i="17" s="1"/>
  <c r="F20" i="17"/>
  <c r="G20" i="17" s="1"/>
  <c r="I14" i="17"/>
  <c r="I16" i="17" s="1"/>
  <c r="H14" i="17"/>
  <c r="H16" i="17" s="1"/>
  <c r="E12" i="17"/>
  <c r="B3" i="17"/>
  <c r="B2" i="17"/>
  <c r="B1" i="17"/>
  <c r="D42" i="16"/>
  <c r="D41" i="16"/>
  <c r="D40" i="16"/>
  <c r="D39" i="16"/>
  <c r="D35" i="16"/>
  <c r="D33" i="16"/>
  <c r="J29" i="16"/>
  <c r="F25" i="16"/>
  <c r="F24" i="16"/>
  <c r="E23" i="16"/>
  <c r="D23" i="16"/>
  <c r="E22" i="16"/>
  <c r="D22" i="16"/>
  <c r="C22" i="16"/>
  <c r="F21" i="16"/>
  <c r="G21" i="16" s="1"/>
  <c r="F20" i="16"/>
  <c r="G20" i="16" s="1"/>
  <c r="I14" i="16"/>
  <c r="I16" i="16" s="1"/>
  <c r="H14" i="16"/>
  <c r="H16" i="16" s="1"/>
  <c r="E12" i="16"/>
  <c r="B3" i="16"/>
  <c r="B2" i="16"/>
  <c r="B1" i="16"/>
  <c r="AG22" i="14"/>
  <c r="AH22" i="14" s="1"/>
  <c r="AE22" i="14"/>
  <c r="Z22" i="14"/>
  <c r="AA22" i="14" s="1"/>
  <c r="X22" i="14"/>
  <c r="S22" i="14"/>
  <c r="T22" i="14" s="1"/>
  <c r="Q22" i="14"/>
  <c r="L22" i="14"/>
  <c r="M22" i="14" s="1"/>
  <c r="J22" i="14"/>
  <c r="I22" i="14"/>
  <c r="P22" i="14" s="1"/>
  <c r="W22" i="14" s="1"/>
  <c r="AD22" i="14" s="1"/>
  <c r="F22" i="14"/>
  <c r="AH21" i="14"/>
  <c r="AE21" i="14"/>
  <c r="AA21" i="14"/>
  <c r="X21" i="14"/>
  <c r="T21" i="14"/>
  <c r="Q21" i="14"/>
  <c r="M21" i="14"/>
  <c r="J21" i="14"/>
  <c r="I21" i="14"/>
  <c r="P21" i="14" s="1"/>
  <c r="W21" i="14" s="1"/>
  <c r="AD21" i="14" s="1"/>
  <c r="F21" i="14"/>
  <c r="AH20" i="14"/>
  <c r="AE20" i="14"/>
  <c r="AA20" i="14"/>
  <c r="X20" i="14"/>
  <c r="T20" i="14"/>
  <c r="Q20" i="14"/>
  <c r="M20" i="14"/>
  <c r="J20" i="14"/>
  <c r="I20" i="14"/>
  <c r="P20" i="14" s="1"/>
  <c r="W20" i="14" s="1"/>
  <c r="AD20" i="14" s="1"/>
  <c r="F20" i="14"/>
  <c r="AH19" i="14"/>
  <c r="AE19" i="14"/>
  <c r="AA19" i="14"/>
  <c r="X19" i="14"/>
  <c r="T19" i="14"/>
  <c r="Q19" i="14"/>
  <c r="M19" i="14"/>
  <c r="J19" i="14"/>
  <c r="I19" i="14"/>
  <c r="P19" i="14" s="1"/>
  <c r="W19" i="14" s="1"/>
  <c r="AD19" i="14" s="1"/>
  <c r="F19" i="14"/>
  <c r="AH18" i="14"/>
  <c r="AE18" i="14"/>
  <c r="AA18" i="14"/>
  <c r="X18" i="14"/>
  <c r="T18" i="14"/>
  <c r="Q18" i="14"/>
  <c r="M18" i="14"/>
  <c r="J18" i="14"/>
  <c r="I18" i="14"/>
  <c r="P18" i="14" s="1"/>
  <c r="W18" i="14" s="1"/>
  <c r="AD18" i="14" s="1"/>
  <c r="F18" i="14"/>
  <c r="AH17" i="14"/>
  <c r="AE17" i="14"/>
  <c r="AA17" i="14"/>
  <c r="X17" i="14"/>
  <c r="T17" i="14"/>
  <c r="Q17" i="14"/>
  <c r="M17" i="14"/>
  <c r="J17" i="14"/>
  <c r="I17" i="14"/>
  <c r="P17" i="14" s="1"/>
  <c r="W17" i="14" s="1"/>
  <c r="AD17" i="14" s="1"/>
  <c r="F17" i="14"/>
  <c r="AH16" i="14"/>
  <c r="AE16" i="14"/>
  <c r="AA16" i="14"/>
  <c r="X16" i="14"/>
  <c r="T16" i="14"/>
  <c r="Q16" i="14"/>
  <c r="M16" i="14"/>
  <c r="J16" i="14"/>
  <c r="I16" i="14"/>
  <c r="P16" i="14" s="1"/>
  <c r="W16" i="14" s="1"/>
  <c r="AD16" i="14" s="1"/>
  <c r="F16" i="14"/>
  <c r="AH15" i="14"/>
  <c r="AE15" i="14"/>
  <c r="AA15" i="14"/>
  <c r="X15" i="14"/>
  <c r="T15" i="14"/>
  <c r="Q15" i="14"/>
  <c r="M15" i="14"/>
  <c r="J15" i="14"/>
  <c r="I15" i="14"/>
  <c r="P15" i="14" s="1"/>
  <c r="W15" i="14" s="1"/>
  <c r="AD15" i="14" s="1"/>
  <c r="F15" i="14"/>
  <c r="AH14" i="14"/>
  <c r="AE14" i="14"/>
  <c r="AA14" i="14"/>
  <c r="X14" i="14"/>
  <c r="T14" i="14"/>
  <c r="Q14" i="14"/>
  <c r="M14" i="14"/>
  <c r="J14" i="14"/>
  <c r="I14" i="14"/>
  <c r="P14" i="14" s="1"/>
  <c r="W14" i="14" s="1"/>
  <c r="AD14" i="14" s="1"/>
  <c r="F14" i="14"/>
  <c r="AH13" i="14"/>
  <c r="AE13" i="14"/>
  <c r="AA13" i="14"/>
  <c r="X13" i="14"/>
  <c r="T13" i="14"/>
  <c r="Q13" i="14"/>
  <c r="M13" i="14"/>
  <c r="J13" i="14"/>
  <c r="I13" i="14"/>
  <c r="P13" i="14" s="1"/>
  <c r="W13" i="14" s="1"/>
  <c r="AD13" i="14" s="1"/>
  <c r="F13" i="14"/>
  <c r="AH12" i="14"/>
  <c r="AE12" i="14"/>
  <c r="AA12" i="14"/>
  <c r="X12" i="14"/>
  <c r="T12" i="14"/>
  <c r="Q12" i="14"/>
  <c r="M12" i="14"/>
  <c r="J12" i="14"/>
  <c r="I12" i="14"/>
  <c r="P12" i="14" s="1"/>
  <c r="W12" i="14" s="1"/>
  <c r="AD12" i="14" s="1"/>
  <c r="F12" i="14"/>
  <c r="AH11" i="14"/>
  <c r="AE11" i="14"/>
  <c r="AA11" i="14"/>
  <c r="X11" i="14"/>
  <c r="T11" i="14"/>
  <c r="Q11" i="14"/>
  <c r="M11" i="14"/>
  <c r="J11" i="14"/>
  <c r="I11" i="14"/>
  <c r="P11" i="14" s="1"/>
  <c r="W11" i="14" s="1"/>
  <c r="AD11" i="14" s="1"/>
  <c r="F11" i="14"/>
  <c r="AG10" i="14"/>
  <c r="AH10" i="14" s="1"/>
  <c r="AI10" i="14" s="1"/>
  <c r="AE10" i="14"/>
  <c r="Z10" i="14"/>
  <c r="AA10" i="14" s="1"/>
  <c r="AB10" i="14" s="1"/>
  <c r="X10" i="14"/>
  <c r="S10" i="14"/>
  <c r="T10" i="14" s="1"/>
  <c r="U10" i="14" s="1"/>
  <c r="Q10" i="14"/>
  <c r="L10" i="14"/>
  <c r="M10" i="14" s="1"/>
  <c r="N10" i="14" s="1"/>
  <c r="N11" i="14" s="1"/>
  <c r="J10" i="14"/>
  <c r="I10" i="14"/>
  <c r="P10" i="14" s="1"/>
  <c r="W10" i="14" s="1"/>
  <c r="AD10" i="14" s="1"/>
  <c r="F10" i="14"/>
  <c r="G10" i="14" s="1"/>
  <c r="G11" i="14" s="1"/>
  <c r="G12" i="14" s="1"/>
  <c r="B3" i="14"/>
  <c r="E24" i="13"/>
  <c r="B24" i="13"/>
  <c r="E23" i="13"/>
  <c r="E21" i="13"/>
  <c r="E19" i="13"/>
  <c r="E18" i="13"/>
  <c r="B3" i="13"/>
  <c r="B2" i="13"/>
  <c r="B1" i="13"/>
  <c r="U16" i="12"/>
  <c r="B3" i="12"/>
  <c r="A5" i="12" s="1"/>
  <c r="B2" i="12"/>
  <c r="B1" i="12"/>
  <c r="D42" i="10"/>
  <c r="D41" i="10"/>
  <c r="D40" i="10"/>
  <c r="D39" i="10"/>
  <c r="D35" i="10"/>
  <c r="D33" i="10"/>
  <c r="J29" i="10"/>
  <c r="F25" i="10"/>
  <c r="F24" i="10"/>
  <c r="E23" i="10"/>
  <c r="D23" i="10"/>
  <c r="E22" i="10"/>
  <c r="D22" i="10"/>
  <c r="C22" i="10"/>
  <c r="F21" i="10"/>
  <c r="G21" i="10" s="1"/>
  <c r="F20" i="10"/>
  <c r="G20" i="10" s="1"/>
  <c r="I14" i="10"/>
  <c r="I16" i="10" s="1"/>
  <c r="H14" i="10"/>
  <c r="H16" i="10" s="1"/>
  <c r="E12" i="10"/>
  <c r="A45" i="10"/>
  <c r="B3" i="10"/>
  <c r="B2" i="10"/>
  <c r="B1" i="10"/>
  <c r="D42" i="9"/>
  <c r="D41" i="9"/>
  <c r="D40" i="9"/>
  <c r="D39" i="9"/>
  <c r="D35" i="9"/>
  <c r="D33" i="9"/>
  <c r="J29" i="9"/>
  <c r="F25" i="9"/>
  <c r="F24" i="9"/>
  <c r="E23" i="9"/>
  <c r="D23" i="9"/>
  <c r="E22" i="9"/>
  <c r="D22" i="9"/>
  <c r="C22" i="9"/>
  <c r="F21" i="9"/>
  <c r="G21" i="9" s="1"/>
  <c r="F20" i="9"/>
  <c r="G20" i="9" s="1"/>
  <c r="I14" i="9"/>
  <c r="I16" i="9" s="1"/>
  <c r="H14" i="9"/>
  <c r="H16" i="9" s="1"/>
  <c r="E12" i="9"/>
  <c r="A45" i="9"/>
  <c r="B3" i="9"/>
  <c r="B2" i="9"/>
  <c r="B1" i="9"/>
  <c r="H26" i="7"/>
  <c r="R25" i="7"/>
  <c r="M25" i="7"/>
  <c r="N25" i="7" s="1"/>
  <c r="O25" i="7" s="1"/>
  <c r="P25" i="7" s="1"/>
  <c r="Q25" i="7" s="1"/>
  <c r="R24" i="7"/>
  <c r="M24" i="7"/>
  <c r="N24" i="7" s="1"/>
  <c r="O24" i="7" s="1"/>
  <c r="P24" i="7" s="1"/>
  <c r="Q24" i="7" s="1"/>
  <c r="R19" i="7"/>
  <c r="M19" i="7"/>
  <c r="N19" i="7" s="1"/>
  <c r="O19" i="7" s="1"/>
  <c r="P19" i="7" s="1"/>
  <c r="Q19" i="7" s="1"/>
  <c r="R12" i="7"/>
  <c r="M12" i="7"/>
  <c r="N12" i="7" s="1"/>
  <c r="O12" i="7" s="1"/>
  <c r="P12" i="7" s="1"/>
  <c r="Q12" i="7" s="1"/>
  <c r="R10" i="7"/>
  <c r="M10" i="7"/>
  <c r="N10" i="7" s="1"/>
  <c r="O10" i="7" s="1"/>
  <c r="P10" i="7" s="1"/>
  <c r="Q10" i="7" s="1"/>
  <c r="R9" i="7"/>
  <c r="M9" i="7"/>
  <c r="N9" i="7" s="1"/>
  <c r="O9" i="7" s="1"/>
  <c r="P9" i="7" s="1"/>
  <c r="Q9" i="7" s="1"/>
  <c r="B3" i="7"/>
  <c r="B2" i="7"/>
  <c r="B1" i="7"/>
  <c r="E9" i="6"/>
  <c r="F9" i="6" s="1"/>
  <c r="G9" i="6" s="1"/>
  <c r="B3" i="6"/>
  <c r="B2" i="6"/>
  <c r="B1" i="6"/>
  <c r="L36" i="5"/>
  <c r="L35" i="5"/>
  <c r="L34" i="5"/>
  <c r="L33" i="5"/>
  <c r="L32" i="5"/>
  <c r="L31" i="5"/>
  <c r="L30" i="5"/>
  <c r="L29" i="5"/>
  <c r="L28" i="5"/>
  <c r="L27" i="5"/>
  <c r="L26" i="5"/>
  <c r="L24" i="5"/>
  <c r="L23" i="5"/>
  <c r="L22" i="5"/>
  <c r="L21" i="5"/>
  <c r="L19" i="5"/>
  <c r="L17" i="5"/>
  <c r="L16" i="5"/>
  <c r="L14" i="5"/>
  <c r="L13" i="5"/>
  <c r="L12" i="5"/>
  <c r="L11" i="5"/>
  <c r="L10" i="5"/>
  <c r="L9" i="5"/>
  <c r="B3" i="5"/>
  <c r="B2" i="5"/>
  <c r="B1" i="5"/>
  <c r="C48" i="4"/>
  <c r="C49" i="4" s="1"/>
  <c r="C56" i="4" s="1"/>
  <c r="C43" i="4"/>
  <c r="C42" i="4"/>
  <c r="C41" i="4"/>
  <c r="C40" i="4"/>
  <c r="C39" i="4"/>
  <c r="E8" i="13" s="1"/>
  <c r="C36" i="4"/>
  <c r="C34" i="4"/>
  <c r="C33" i="4"/>
  <c r="C31" i="4"/>
  <c r="C32" i="4" s="1"/>
  <c r="C27" i="4"/>
  <c r="C21" i="4"/>
  <c r="C22" i="4" s="1"/>
  <c r="F53" i="4" s="1"/>
  <c r="H53" i="4" s="1"/>
  <c r="B3" i="4"/>
  <c r="B2" i="4"/>
  <c r="B1" i="4"/>
  <c r="E73" i="3"/>
  <c r="K73" i="3" s="1"/>
  <c r="G55" i="3"/>
  <c r="B47" i="3"/>
  <c r="G37" i="3"/>
  <c r="G22" i="3"/>
  <c r="C16" i="4" s="1"/>
  <c r="A4" i="3"/>
  <c r="A6" i="12" s="1"/>
  <c r="B3" i="3"/>
  <c r="B2" i="3"/>
  <c r="B1" i="3"/>
  <c r="G56" i="1"/>
  <c r="G55" i="1"/>
  <c r="V26" i="1"/>
  <c r="Q26" i="1"/>
  <c r="R26" i="1" s="1"/>
  <c r="S26" i="1" s="1"/>
  <c r="T26" i="1" s="1"/>
  <c r="U26" i="1" s="1"/>
  <c r="N26" i="1"/>
  <c r="O26" i="1" s="1"/>
  <c r="F19" i="1"/>
  <c r="F5" i="1"/>
  <c r="E5" i="1"/>
  <c r="B3" i="1"/>
  <c r="B2" i="1"/>
  <c r="B1" i="1"/>
  <c r="AB11" i="14" l="1"/>
  <c r="AB12" i="14"/>
  <c r="AB13" i="14" s="1"/>
  <c r="AB14" i="14" s="1"/>
  <c r="AB15" i="14" s="1"/>
  <c r="AB16" i="14" s="1"/>
  <c r="AB17" i="14" s="1"/>
  <c r="AB18" i="14" s="1"/>
  <c r="AB19" i="14" s="1"/>
  <c r="AB20" i="14" s="1"/>
  <c r="AB21" i="14" s="1"/>
  <c r="AB22" i="14" s="1"/>
  <c r="AB23" i="14" s="1"/>
  <c r="D63" i="3" s="1"/>
  <c r="M63" i="3" s="1"/>
  <c r="G13" i="14"/>
  <c r="G14" i="14" s="1"/>
  <c r="G15" i="14" s="1"/>
  <c r="G16" i="14" s="1"/>
  <c r="G17" i="14" s="1"/>
  <c r="G18" i="14" s="1"/>
  <c r="G19" i="14" s="1"/>
  <c r="G20" i="14" s="1"/>
  <c r="G21" i="14" s="1"/>
  <c r="G22" i="14" s="1"/>
  <c r="G23" i="14" s="1"/>
  <c r="D60" i="3" s="1"/>
  <c r="M60" i="3" s="1"/>
  <c r="G8" i="13"/>
  <c r="F8" i="13"/>
  <c r="H8" i="13"/>
  <c r="I8" i="13"/>
  <c r="D16" i="12"/>
  <c r="N16" i="12"/>
  <c r="G11" i="5"/>
  <c r="G22" i="5"/>
  <c r="G27" i="5"/>
  <c r="G10" i="5"/>
  <c r="G14" i="5"/>
  <c r="G21" i="5"/>
  <c r="G19" i="5"/>
  <c r="G29" i="5"/>
  <c r="G33" i="5"/>
  <c r="G12" i="5"/>
  <c r="G23" i="5"/>
  <c r="Q16" i="12"/>
  <c r="H16" i="12"/>
  <c r="K16" i="12"/>
  <c r="I33" i="1"/>
  <c r="L26" i="1"/>
  <c r="G26" i="1" s="1"/>
  <c r="E9" i="5" s="1"/>
  <c r="G9" i="5" s="1"/>
  <c r="I45" i="1"/>
  <c r="I44" i="1"/>
  <c r="F9" i="7"/>
  <c r="H9" i="7" s="1"/>
  <c r="D36" i="17"/>
  <c r="H25" i="7"/>
  <c r="H24" i="7"/>
  <c r="D36" i="10"/>
  <c r="H19" i="7"/>
  <c r="F11" i="17"/>
  <c r="F22" i="17" s="1"/>
  <c r="F14" i="13" s="1"/>
  <c r="E20" i="13"/>
  <c r="A44" i="17"/>
  <c r="F12" i="17"/>
  <c r="J12" i="17" s="1"/>
  <c r="J14" i="17" s="1"/>
  <c r="F12" i="9"/>
  <c r="G12" i="9" s="1"/>
  <c r="F13" i="9"/>
  <c r="G13" i="9" s="1"/>
  <c r="A6" i="16"/>
  <c r="F11" i="16"/>
  <c r="F22" i="16" s="1"/>
  <c r="G14" i="13" s="1"/>
  <c r="D36" i="16"/>
  <c r="C23" i="10"/>
  <c r="F23" i="10" s="1"/>
  <c r="H13" i="13" s="1"/>
  <c r="D43" i="10"/>
  <c r="A44" i="10"/>
  <c r="F12" i="16"/>
  <c r="G12" i="16" s="1"/>
  <c r="D43" i="17"/>
  <c r="F12" i="10"/>
  <c r="G12" i="10" s="1"/>
  <c r="D43" i="16"/>
  <c r="A6" i="17"/>
  <c r="C23" i="16"/>
  <c r="F23" i="16" s="1"/>
  <c r="G13" i="13" s="1"/>
  <c r="C23" i="17"/>
  <c r="F23" i="17" s="1"/>
  <c r="F13" i="13" s="1"/>
  <c r="G10" i="6"/>
  <c r="G53" i="4"/>
  <c r="U11" i="14"/>
  <c r="U12" i="14" s="1"/>
  <c r="U13" i="14" s="1"/>
  <c r="U14" i="14" s="1"/>
  <c r="U15" i="14" s="1"/>
  <c r="U16" i="14" s="1"/>
  <c r="U17" i="14" s="1"/>
  <c r="U18" i="14" s="1"/>
  <c r="U19" i="14" s="1"/>
  <c r="U20" i="14" s="1"/>
  <c r="U21" i="14" s="1"/>
  <c r="U22" i="14" s="1"/>
  <c r="U23" i="14" s="1"/>
  <c r="D62" i="3" s="1"/>
  <c r="M62" i="3" s="1"/>
  <c r="C23" i="9"/>
  <c r="F23" i="9" s="1"/>
  <c r="I13" i="13" s="1"/>
  <c r="D43" i="9"/>
  <c r="N12" i="14"/>
  <c r="N13" i="14" s="1"/>
  <c r="N14" i="14" s="1"/>
  <c r="N15" i="14" s="1"/>
  <c r="N16" i="14" s="1"/>
  <c r="N17" i="14" s="1"/>
  <c r="N18" i="14" s="1"/>
  <c r="N19" i="14" s="1"/>
  <c r="N20" i="14" s="1"/>
  <c r="N21" i="14" s="1"/>
  <c r="N22" i="14" s="1"/>
  <c r="N23" i="14" s="1"/>
  <c r="D61" i="3" s="1"/>
  <c r="M61" i="3" s="1"/>
  <c r="AI11" i="14"/>
  <c r="AI12" i="14" s="1"/>
  <c r="AI13" i="14" s="1"/>
  <c r="AI14" i="14" s="1"/>
  <c r="AI15" i="14" s="1"/>
  <c r="AI16" i="14" s="1"/>
  <c r="AI17" i="14" s="1"/>
  <c r="AI18" i="14" s="1"/>
  <c r="AI19" i="14" s="1"/>
  <c r="AI20" i="14" s="1"/>
  <c r="AI21" i="14" s="1"/>
  <c r="AI22" i="14" s="1"/>
  <c r="AI23" i="14" s="1"/>
  <c r="D64" i="3" s="1"/>
  <c r="M64" i="3" s="1"/>
  <c r="I32" i="1"/>
  <c r="I38" i="1"/>
  <c r="F73" i="3"/>
  <c r="C23" i="4"/>
  <c r="I28" i="1"/>
  <c r="F11" i="10"/>
  <c r="F22" i="10" s="1"/>
  <c r="H14" i="13" s="1"/>
  <c r="F11" i="9"/>
  <c r="F22" i="9" s="1"/>
  <c r="I14" i="13" s="1"/>
  <c r="P8" i="3"/>
  <c r="G57" i="1"/>
  <c r="H50" i="4"/>
  <c r="C18" i="4"/>
  <c r="E9" i="13" s="1"/>
  <c r="D36" i="9"/>
  <c r="C44" i="4"/>
  <c r="F51" i="4"/>
  <c r="F52" i="4"/>
  <c r="B11" i="9"/>
  <c r="A44" i="9"/>
  <c r="B11" i="10"/>
  <c r="A6" i="9"/>
  <c r="A6" i="10"/>
  <c r="H28" i="7" l="1"/>
  <c r="R12" i="1"/>
  <c r="F28" i="16"/>
  <c r="G28" i="16" s="1"/>
  <c r="I16" i="13"/>
  <c r="I30" i="13" s="1"/>
  <c r="H16" i="13"/>
  <c r="H30" i="13" s="1"/>
  <c r="H9" i="13"/>
  <c r="H10" i="13" s="1"/>
  <c r="H11" i="13" s="1"/>
  <c r="H29" i="13" s="1"/>
  <c r="F9" i="13"/>
  <c r="F10" i="13" s="1"/>
  <c r="F11" i="13" s="1"/>
  <c r="F29" i="13" s="1"/>
  <c r="I9" i="13"/>
  <c r="I10" i="13" s="1"/>
  <c r="I11" i="13" s="1"/>
  <c r="I29" i="13" s="1"/>
  <c r="I31" i="13" s="1"/>
  <c r="I18" i="13" s="1"/>
  <c r="I19" i="13" s="1"/>
  <c r="G9" i="13"/>
  <c r="G10" i="13" s="1"/>
  <c r="G11" i="13" s="1"/>
  <c r="G29" i="13" s="1"/>
  <c r="P9" i="3"/>
  <c r="P10" i="3"/>
  <c r="G16" i="13"/>
  <c r="G30" i="13" s="1"/>
  <c r="F16" i="13"/>
  <c r="F30" i="13" s="1"/>
  <c r="H20" i="7"/>
  <c r="H21" i="7" s="1"/>
  <c r="N7" i="3" s="1"/>
  <c r="F19" i="17" s="1"/>
  <c r="M11" i="3"/>
  <c r="G35" i="5"/>
  <c r="I42" i="1"/>
  <c r="I48" i="1"/>
  <c r="I26" i="1"/>
  <c r="G32" i="5"/>
  <c r="I29" i="1"/>
  <c r="I34" i="1"/>
  <c r="I27" i="1"/>
  <c r="I37" i="1"/>
  <c r="G17" i="5"/>
  <c r="I40" i="1"/>
  <c r="I31" i="1"/>
  <c r="G16" i="5"/>
  <c r="I35" i="1"/>
  <c r="G36" i="5"/>
  <c r="I46" i="1"/>
  <c r="I36" i="1"/>
  <c r="I49" i="1"/>
  <c r="I41" i="1"/>
  <c r="G31" i="5"/>
  <c r="H26" i="1"/>
  <c r="H54" i="1" s="1"/>
  <c r="G28" i="5"/>
  <c r="I39" i="1"/>
  <c r="G24" i="5"/>
  <c r="G11" i="16"/>
  <c r="G12" i="17"/>
  <c r="J12" i="16"/>
  <c r="J14" i="16" s="1"/>
  <c r="H13" i="7"/>
  <c r="H14" i="7" s="1"/>
  <c r="N9" i="3" s="1"/>
  <c r="F19" i="10" s="1"/>
  <c r="J12" i="9"/>
  <c r="J14" i="9" s="1"/>
  <c r="G73" i="3"/>
  <c r="H73" i="3" s="1"/>
  <c r="I73" i="3" s="1"/>
  <c r="J73" i="3" s="1"/>
  <c r="G11" i="17"/>
  <c r="J12" i="10"/>
  <c r="J14" i="10" s="1"/>
  <c r="A45" i="17"/>
  <c r="G23" i="16"/>
  <c r="H23" i="16"/>
  <c r="H29" i="16" s="1"/>
  <c r="H30" i="16" s="1"/>
  <c r="H33" i="16" s="1"/>
  <c r="G23" i="17"/>
  <c r="H23" i="17"/>
  <c r="H29" i="17" s="1"/>
  <c r="H30" i="17" s="1"/>
  <c r="H33" i="17" s="1"/>
  <c r="F13" i="17"/>
  <c r="F13" i="16"/>
  <c r="A45" i="16"/>
  <c r="A44" i="16"/>
  <c r="B11" i="16"/>
  <c r="G22" i="17"/>
  <c r="I22" i="17"/>
  <c r="I29" i="17" s="1"/>
  <c r="I30" i="17" s="1"/>
  <c r="I22" i="16"/>
  <c r="I29" i="16" s="1"/>
  <c r="I30" i="16" s="1"/>
  <c r="G22" i="16"/>
  <c r="H29" i="7"/>
  <c r="N8" i="3" s="1"/>
  <c r="F13" i="10"/>
  <c r="G13" i="10" s="1"/>
  <c r="G26" i="5"/>
  <c r="I47" i="1"/>
  <c r="G34" i="5"/>
  <c r="G22" i="9"/>
  <c r="I22" i="9"/>
  <c r="I29" i="9" s="1"/>
  <c r="I30" i="9" s="1"/>
  <c r="H23" i="9"/>
  <c r="H29" i="9" s="1"/>
  <c r="H30" i="9" s="1"/>
  <c r="G23" i="9"/>
  <c r="H52" i="4"/>
  <c r="G52" i="4"/>
  <c r="G22" i="10"/>
  <c r="I22" i="10"/>
  <c r="I29" i="10" s="1"/>
  <c r="I30" i="10" s="1"/>
  <c r="H23" i="10"/>
  <c r="H29" i="10" s="1"/>
  <c r="H30" i="10" s="1"/>
  <c r="G23" i="10"/>
  <c r="I43" i="1"/>
  <c r="G30" i="5"/>
  <c r="E10" i="13"/>
  <c r="F14" i="9"/>
  <c r="G11" i="9"/>
  <c r="G14" i="9" s="1"/>
  <c r="H51" i="4"/>
  <c r="F54" i="4"/>
  <c r="F55" i="4" s="1"/>
  <c r="G51" i="4"/>
  <c r="C28" i="4"/>
  <c r="C29" i="4" s="1"/>
  <c r="C53" i="4" s="1"/>
  <c r="C51" i="4"/>
  <c r="C24" i="4"/>
  <c r="C25" i="4" s="1"/>
  <c r="C52" i="4" s="1"/>
  <c r="C45" i="4"/>
  <c r="C46" i="4" s="1"/>
  <c r="C55" i="4" s="1"/>
  <c r="H49" i="4"/>
  <c r="G11" i="10"/>
  <c r="G13" i="5"/>
  <c r="I30" i="1"/>
  <c r="C35" i="4"/>
  <c r="C37" i="4" s="1"/>
  <c r="C54" i="4" s="1"/>
  <c r="F28" i="9" l="1"/>
  <c r="G28" i="9" s="1"/>
  <c r="F28" i="10"/>
  <c r="G28" i="10" s="1"/>
  <c r="G54" i="4"/>
  <c r="G55" i="4" s="1"/>
  <c r="H31" i="13"/>
  <c r="H18" i="13" s="1"/>
  <c r="H19" i="13" s="1"/>
  <c r="H20" i="13" s="1"/>
  <c r="H25" i="13" s="1"/>
  <c r="H32" i="13" s="1"/>
  <c r="H33" i="13" s="1"/>
  <c r="F31" i="13"/>
  <c r="F18" i="13" s="1"/>
  <c r="F19" i="13" s="1"/>
  <c r="G31" i="13"/>
  <c r="G18" i="13" s="1"/>
  <c r="G19" i="13" s="1"/>
  <c r="G20" i="13" s="1"/>
  <c r="G25" i="13" s="1"/>
  <c r="G32" i="13" s="1"/>
  <c r="G33" i="13" s="1"/>
  <c r="F28" i="17"/>
  <c r="G28" i="17" s="1"/>
  <c r="I20" i="13"/>
  <c r="I25" i="13" s="1"/>
  <c r="I32" i="13" s="1"/>
  <c r="I33" i="13" s="1"/>
  <c r="N10" i="3"/>
  <c r="G19" i="10"/>
  <c r="F19" i="16"/>
  <c r="G37" i="5"/>
  <c r="G13" i="16"/>
  <c r="G14" i="16" s="1"/>
  <c r="F14" i="16"/>
  <c r="H34" i="17"/>
  <c r="H35" i="17" s="1"/>
  <c r="H36" i="17" s="1"/>
  <c r="H37" i="17" s="1"/>
  <c r="H44" i="17" s="1"/>
  <c r="H45" i="17" s="1"/>
  <c r="P12" i="12" s="1"/>
  <c r="R12" i="12" s="1"/>
  <c r="G13" i="17"/>
  <c r="G14" i="17" s="1"/>
  <c r="F14" i="17"/>
  <c r="I33" i="17"/>
  <c r="I34" i="17" s="1"/>
  <c r="I35" i="17" s="1"/>
  <c r="I33" i="16"/>
  <c r="I34" i="16" s="1"/>
  <c r="I35" i="16" s="1"/>
  <c r="H34" i="16"/>
  <c r="H35" i="16" s="1"/>
  <c r="H36" i="16" s="1"/>
  <c r="H37" i="16" s="1"/>
  <c r="H44" i="16" s="1"/>
  <c r="H45" i="16" s="1"/>
  <c r="P13" i="12" s="1"/>
  <c r="R13" i="12" s="1"/>
  <c r="G14" i="10"/>
  <c r="F14" i="10"/>
  <c r="H55" i="1"/>
  <c r="H33" i="10"/>
  <c r="H34" i="10" s="1"/>
  <c r="H35" i="10" s="1"/>
  <c r="I33" i="10"/>
  <c r="H33" i="9"/>
  <c r="H34" i="9" s="1"/>
  <c r="H35" i="9" s="1"/>
  <c r="I33" i="9"/>
  <c r="I34" i="9" s="1"/>
  <c r="I35" i="9" s="1"/>
  <c r="C57" i="4"/>
  <c r="H54" i="4"/>
  <c r="H55" i="4" s="1"/>
  <c r="F19" i="9" l="1"/>
  <c r="G19" i="9" s="1"/>
  <c r="G29" i="9" s="1"/>
  <c r="G29" i="10"/>
  <c r="F20" i="13"/>
  <c r="F25" i="13" s="1"/>
  <c r="F32" i="13" s="1"/>
  <c r="F33" i="13" s="1"/>
  <c r="M12" i="12" s="1"/>
  <c r="O12" i="12" s="1"/>
  <c r="G23" i="13"/>
  <c r="G22" i="13"/>
  <c r="G24" i="13"/>
  <c r="M13" i="12"/>
  <c r="O13" i="12" s="1"/>
  <c r="G21" i="13"/>
  <c r="W17" i="12"/>
  <c r="O10" i="3"/>
  <c r="O9" i="3"/>
  <c r="M14" i="12"/>
  <c r="O14" i="12" s="1"/>
  <c r="H23" i="13"/>
  <c r="H22" i="13"/>
  <c r="H21" i="13"/>
  <c r="H24" i="13"/>
  <c r="M15" i="12"/>
  <c r="O15" i="12" s="1"/>
  <c r="I23" i="13"/>
  <c r="I21" i="13"/>
  <c r="I24" i="13"/>
  <c r="I22" i="13"/>
  <c r="G19" i="16"/>
  <c r="G29" i="16" s="1"/>
  <c r="F29" i="16"/>
  <c r="E15" i="17"/>
  <c r="E15" i="16"/>
  <c r="G19" i="17"/>
  <c r="G29" i="17" s="1"/>
  <c r="F29" i="17"/>
  <c r="H41" i="17"/>
  <c r="H39" i="17"/>
  <c r="H40" i="17"/>
  <c r="H42" i="17"/>
  <c r="I36" i="17"/>
  <c r="I37" i="17" s="1"/>
  <c r="I44" i="17" s="1"/>
  <c r="I45" i="17" s="1"/>
  <c r="G12" i="12" s="1"/>
  <c r="I12" i="12" s="1"/>
  <c r="H41" i="16"/>
  <c r="H39" i="16"/>
  <c r="H42" i="16"/>
  <c r="H40" i="16"/>
  <c r="I36" i="16"/>
  <c r="I37" i="16" s="1"/>
  <c r="I44" i="16" s="1"/>
  <c r="I45" i="16" s="1"/>
  <c r="G13" i="12" s="1"/>
  <c r="I13" i="12" s="1"/>
  <c r="W15" i="1"/>
  <c r="T15" i="1"/>
  <c r="H56" i="1"/>
  <c r="H58" i="1" s="1"/>
  <c r="H57" i="1" s="1"/>
  <c r="H36" i="9"/>
  <c r="H37" i="9" s="1"/>
  <c r="H44" i="9" s="1"/>
  <c r="H45" i="9" s="1"/>
  <c r="P15" i="12" s="1"/>
  <c r="R15" i="12" s="1"/>
  <c r="I34" i="10"/>
  <c r="I35" i="10" s="1"/>
  <c r="I36" i="10" s="1"/>
  <c r="I37" i="10" s="1"/>
  <c r="I44" i="10" s="1"/>
  <c r="I45" i="10" s="1"/>
  <c r="G14" i="12" s="1"/>
  <c r="I14" i="12" s="1"/>
  <c r="E15" i="10"/>
  <c r="E15" i="9"/>
  <c r="G20" i="3"/>
  <c r="H36" i="10"/>
  <c r="H37" i="10" s="1"/>
  <c r="H44" i="10" s="1"/>
  <c r="H45" i="10" s="1"/>
  <c r="P14" i="12" s="1"/>
  <c r="R14" i="12" s="1"/>
  <c r="I36" i="9"/>
  <c r="I37" i="9" s="1"/>
  <c r="I44" i="9" s="1"/>
  <c r="I45" i="9" s="1"/>
  <c r="G15" i="12" s="1"/>
  <c r="I15" i="12" s="1"/>
  <c r="F26" i="9" l="1"/>
  <c r="F29" i="9" s="1"/>
  <c r="R14" i="1"/>
  <c r="F26" i="10"/>
  <c r="F29" i="10" s="1"/>
  <c r="R13" i="1"/>
  <c r="F24" i="13"/>
  <c r="F21" i="13"/>
  <c r="F22" i="13"/>
  <c r="F23" i="13"/>
  <c r="H43" i="17"/>
  <c r="F15" i="17"/>
  <c r="J15" i="17"/>
  <c r="J16" i="17" s="1"/>
  <c r="J30" i="17" s="1"/>
  <c r="F15" i="16"/>
  <c r="J15" i="16"/>
  <c r="J16" i="16" s="1"/>
  <c r="J30" i="16" s="1"/>
  <c r="J33" i="16" s="1"/>
  <c r="I41" i="17"/>
  <c r="I39" i="17"/>
  <c r="I42" i="17"/>
  <c r="I40" i="17"/>
  <c r="I42" i="16"/>
  <c r="I40" i="16"/>
  <c r="I41" i="16"/>
  <c r="I39" i="16"/>
  <c r="H43" i="16"/>
  <c r="I41" i="10"/>
  <c r="I39" i="10"/>
  <c r="I42" i="10"/>
  <c r="I40" i="10"/>
  <c r="J15" i="10"/>
  <c r="J16" i="10" s="1"/>
  <c r="J30" i="10" s="1"/>
  <c r="F15" i="10"/>
  <c r="J15" i="9"/>
  <c r="J16" i="9" s="1"/>
  <c r="J30" i="9" s="1"/>
  <c r="F15" i="9"/>
  <c r="H42" i="9"/>
  <c r="H40" i="9"/>
  <c r="H39" i="9"/>
  <c r="H41" i="9"/>
  <c r="H41" i="10"/>
  <c r="H39" i="10"/>
  <c r="H42" i="10"/>
  <c r="H40" i="10"/>
  <c r="I41" i="9"/>
  <c r="I39" i="9"/>
  <c r="I42" i="9"/>
  <c r="I40" i="9"/>
  <c r="R15" i="1" l="1"/>
  <c r="I16" i="12"/>
  <c r="H15" i="1" s="1"/>
  <c r="R16" i="12"/>
  <c r="M15" i="1" s="1"/>
  <c r="J34" i="16"/>
  <c r="J35" i="16" s="1"/>
  <c r="J36" i="16" s="1"/>
  <c r="J37" i="16" s="1"/>
  <c r="J44" i="16" s="1"/>
  <c r="J45" i="16" s="1"/>
  <c r="J33" i="17"/>
  <c r="I43" i="16"/>
  <c r="G15" i="16"/>
  <c r="G16" i="16" s="1"/>
  <c r="G30" i="16" s="1"/>
  <c r="G33" i="16" s="1"/>
  <c r="F16" i="16"/>
  <c r="F30" i="16" s="1"/>
  <c r="G15" i="17"/>
  <c r="G16" i="17" s="1"/>
  <c r="G30" i="17" s="1"/>
  <c r="F16" i="17"/>
  <c r="F30" i="17" s="1"/>
  <c r="I43" i="17"/>
  <c r="H43" i="9"/>
  <c r="H43" i="10"/>
  <c r="J33" i="10"/>
  <c r="G15" i="10"/>
  <c r="G16" i="10" s="1"/>
  <c r="G30" i="10" s="1"/>
  <c r="F16" i="10"/>
  <c r="F30" i="10" s="1"/>
  <c r="G15" i="9"/>
  <c r="G16" i="9" s="1"/>
  <c r="G30" i="9" s="1"/>
  <c r="F16" i="9"/>
  <c r="F30" i="9" s="1"/>
  <c r="I43" i="9"/>
  <c r="I43" i="10"/>
  <c r="J33" i="9"/>
  <c r="J34" i="9" s="1"/>
  <c r="J35" i="9" s="1"/>
  <c r="F33" i="16" l="1"/>
  <c r="F34" i="16" s="1"/>
  <c r="F35" i="16" s="1"/>
  <c r="F36" i="16" s="1"/>
  <c r="F37" i="16" s="1"/>
  <c r="F44" i="16" s="1"/>
  <c r="F45" i="16" s="1"/>
  <c r="E13" i="12" s="1"/>
  <c r="F13" i="12" s="1"/>
  <c r="G34" i="16"/>
  <c r="G35" i="16" s="1"/>
  <c r="G36" i="16" s="1"/>
  <c r="G37" i="16" s="1"/>
  <c r="G44" i="16" s="1"/>
  <c r="G45" i="16" s="1"/>
  <c r="J13" i="12" s="1"/>
  <c r="L13" i="12" s="1"/>
  <c r="S13" i="12" s="1"/>
  <c r="O12" i="1" s="1"/>
  <c r="J34" i="17"/>
  <c r="J35" i="17" s="1"/>
  <c r="J36" i="17" s="1"/>
  <c r="J37" i="17" s="1"/>
  <c r="J44" i="17" s="1"/>
  <c r="J45" i="17" s="1"/>
  <c r="F33" i="17"/>
  <c r="F34" i="17" s="1"/>
  <c r="F35" i="17" s="1"/>
  <c r="J39" i="16"/>
  <c r="J42" i="16"/>
  <c r="J41" i="16"/>
  <c r="J40" i="16"/>
  <c r="G33" i="17"/>
  <c r="G34" i="17" s="1"/>
  <c r="G35" i="17" s="1"/>
  <c r="G36" i="17" s="1"/>
  <c r="G37" i="17" s="1"/>
  <c r="G44" i="17" s="1"/>
  <c r="G45" i="17" s="1"/>
  <c r="J12" i="12" s="1"/>
  <c r="L12" i="12" s="1"/>
  <c r="S12" i="12" s="1"/>
  <c r="O11" i="1" s="1"/>
  <c r="F33" i="10"/>
  <c r="F34" i="10" s="1"/>
  <c r="F35" i="10" s="1"/>
  <c r="G33" i="9"/>
  <c r="F33" i="9"/>
  <c r="J34" i="10"/>
  <c r="J35" i="10" s="1"/>
  <c r="J36" i="10" s="1"/>
  <c r="J37" i="10" s="1"/>
  <c r="J44" i="10" s="1"/>
  <c r="J45" i="10" s="1"/>
  <c r="G33" i="10"/>
  <c r="J36" i="9"/>
  <c r="J37" i="9" s="1"/>
  <c r="J44" i="9" s="1"/>
  <c r="J45" i="9" s="1"/>
  <c r="W13" i="12" l="1"/>
  <c r="Q12" i="1" s="1"/>
  <c r="M16" i="12"/>
  <c r="J40" i="17"/>
  <c r="J42" i="17"/>
  <c r="J41" i="17"/>
  <c r="J39" i="17"/>
  <c r="G40" i="17"/>
  <c r="G41" i="17"/>
  <c r="G42" i="17"/>
  <c r="G46" i="17"/>
  <c r="G39" i="17"/>
  <c r="F36" i="17"/>
  <c r="F37" i="17" s="1"/>
  <c r="F44" i="17" s="1"/>
  <c r="F45" i="17" s="1"/>
  <c r="E12" i="12" s="1"/>
  <c r="F12" i="12" s="1"/>
  <c r="W12" i="12" s="1"/>
  <c r="Q11" i="1" s="1"/>
  <c r="V11" i="1" s="1"/>
  <c r="F42" i="16"/>
  <c r="F39" i="16"/>
  <c r="F41" i="16"/>
  <c r="F40" i="16"/>
  <c r="F46" i="16"/>
  <c r="G46" i="16"/>
  <c r="G40" i="16"/>
  <c r="G39" i="16"/>
  <c r="G42" i="16"/>
  <c r="G41" i="16"/>
  <c r="J43" i="16"/>
  <c r="J42" i="10"/>
  <c r="J40" i="10"/>
  <c r="J41" i="10"/>
  <c r="J39" i="10"/>
  <c r="J46" i="9"/>
  <c r="T14" i="12" s="1"/>
  <c r="J41" i="9"/>
  <c r="J39" i="9"/>
  <c r="J40" i="9"/>
  <c r="J42" i="9"/>
  <c r="F34" i="9"/>
  <c r="F35" i="9" s="1"/>
  <c r="F36" i="9" s="1"/>
  <c r="F37" i="9" s="1"/>
  <c r="F44" i="9" s="1"/>
  <c r="F45" i="9" s="1"/>
  <c r="E15" i="12" s="1"/>
  <c r="F15" i="12" s="1"/>
  <c r="G34" i="10"/>
  <c r="G35" i="10" s="1"/>
  <c r="G36" i="10" s="1"/>
  <c r="G37" i="10" s="1"/>
  <c r="G44" i="10" s="1"/>
  <c r="G45" i="10" s="1"/>
  <c r="J14" i="12" s="1"/>
  <c r="L14" i="12" s="1"/>
  <c r="S14" i="12" s="1"/>
  <c r="O13" i="1" s="1"/>
  <c r="G34" i="9"/>
  <c r="G35" i="9" s="1"/>
  <c r="G36" i="9" s="1"/>
  <c r="G37" i="9" s="1"/>
  <c r="G44" i="9" s="1"/>
  <c r="G45" i="9" s="1"/>
  <c r="J15" i="12" s="1"/>
  <c r="L15" i="12" s="1"/>
  <c r="S15" i="12" s="1"/>
  <c r="O14" i="1" s="1"/>
  <c r="F36" i="10"/>
  <c r="F37" i="10" s="1"/>
  <c r="F44" i="10" s="1"/>
  <c r="F45" i="10" s="1"/>
  <c r="E14" i="12" s="1"/>
  <c r="F14" i="12" s="1"/>
  <c r="A20" i="12" l="1"/>
  <c r="V14" i="12"/>
  <c r="P14" i="1" s="1"/>
  <c r="W15" i="12"/>
  <c r="Q14" i="1" s="1"/>
  <c r="O16" i="12"/>
  <c r="L15" i="1" s="1"/>
  <c r="F40" i="17"/>
  <c r="F42" i="17"/>
  <c r="F39" i="17"/>
  <c r="F46" i="17"/>
  <c r="F41" i="17"/>
  <c r="F43" i="16"/>
  <c r="G43" i="17"/>
  <c r="J43" i="17"/>
  <c r="G43" i="16"/>
  <c r="G42" i="9"/>
  <c r="G40" i="9"/>
  <c r="G41" i="9"/>
  <c r="G39" i="9"/>
  <c r="G46" i="9"/>
  <c r="G46" i="10"/>
  <c r="G42" i="10"/>
  <c r="G40" i="10"/>
  <c r="G41" i="10"/>
  <c r="G39" i="10"/>
  <c r="F42" i="10"/>
  <c r="F40" i="10"/>
  <c r="F41" i="10"/>
  <c r="F39" i="10"/>
  <c r="F46" i="10"/>
  <c r="F41" i="9"/>
  <c r="F39" i="9"/>
  <c r="F46" i="9"/>
  <c r="F42" i="9"/>
  <c r="F40" i="9"/>
  <c r="J43" i="9"/>
  <c r="J43" i="10"/>
  <c r="V16" i="12" l="1"/>
  <c r="W14" i="12"/>
  <c r="Q13" i="1" s="1"/>
  <c r="V12" i="1" s="1"/>
  <c r="J16" i="12"/>
  <c r="F16" i="12"/>
  <c r="F43" i="17"/>
  <c r="G43" i="9"/>
  <c r="G43" i="10"/>
  <c r="L16" i="12"/>
  <c r="F43" i="9"/>
  <c r="F43" i="10"/>
  <c r="K15" i="1" l="1"/>
  <c r="O15" i="1" s="1"/>
  <c r="S16" i="12"/>
  <c r="P15" i="1"/>
  <c r="N15" i="1"/>
  <c r="W16" i="12" l="1"/>
  <c r="W18" i="12" l="1"/>
  <c r="Q15" i="1" l="1"/>
  <c r="V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 Santos</author>
    <author>mg62603</author>
  </authors>
  <commentList>
    <comment ref="B30" authorId="0" shapeId="0" xr:uid="{00000000-0006-0000-0000-000001000000}">
      <text>
        <r>
          <rPr>
            <sz val="9"/>
            <color indexed="81"/>
            <rFont val="Tahoma"/>
            <family val="2"/>
          </rPr>
          <t>SB Flex Desinfetante Geral Lavanda</t>
        </r>
      </text>
    </comment>
    <comment ref="B31" authorId="1" shapeId="0" xr:uid="{00000000-0006-0000-0000-000002000000}">
      <text>
        <r>
          <rPr>
            <sz val="9"/>
            <color indexed="81"/>
            <rFont val="Tahoma"/>
            <family val="2"/>
          </rPr>
          <t>Pastilha sanitária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Adriana Santos</author>
    <author>mg62603</author>
  </authors>
  <commentList>
    <comment ref="B13" authorId="0" shapeId="0" xr:uid="{00000000-0006-0000-0400-000001000000}">
      <text>
        <r>
          <rPr>
            <sz val="9"/>
            <color indexed="81"/>
            <rFont val="Tahoma"/>
            <family val="2"/>
          </rPr>
          <t>SB Flex Desinfetante Geral Lavanda</t>
        </r>
      </text>
    </comment>
    <comment ref="B14" authorId="1" shapeId="0" xr:uid="{00000000-0006-0000-0400-000002000000}">
      <text>
        <r>
          <rPr>
            <sz val="9"/>
            <color indexed="81"/>
            <rFont val="Tahoma"/>
            <family val="2"/>
          </rPr>
          <t>Pastilha sanitária</t>
        </r>
      </text>
    </comment>
  </commentList>
</comments>
</file>

<file path=xl/sharedStrings.xml><?xml version="1.0" encoding="utf-8"?>
<sst xmlns="http://schemas.openxmlformats.org/spreadsheetml/2006/main" count="1145" uniqueCount="626">
  <si>
    <t xml:space="preserve">OCORRÊNCIAS MENSAIS DO FATURAMENTO </t>
  </si>
  <si>
    <t>UTILIZAÇÃO DO GESTOR CONTRATUAL PARA REALIZAÇÃO DO FATURAMENTO MENSAL</t>
  </si>
  <si>
    <t>DEFINIR VERSÃO DE APRESENTAÇÃO:</t>
  </si>
  <si>
    <t>PLANILHA PARA LICITAÇÃO (PRECIFICAÇÃO)</t>
  </si>
  <si>
    <t>DEFINIR BASE DE DESCONTOS/GLOSAS:</t>
  </si>
  <si>
    <t>MÊS CONTÁBIL</t>
  </si>
  <si>
    <r>
      <rPr>
        <b/>
        <sz val="10"/>
        <rFont val="Calibri"/>
        <family val="2"/>
        <charset val="1"/>
      </rPr>
      <t xml:space="preserve">INSTRUÇÕES DE PREENCHIMENTO
UTILIZAÇÃO EXCLUSIVA FISCAL/GESTOR
PARA AUXILIAR NO VALOR DE FATURAMENTO
Preencher as células destacadas na cor </t>
    </r>
    <r>
      <rPr>
        <b/>
        <sz val="10"/>
        <color rgb="FFFF0000"/>
        <rFont val="Calibri"/>
        <family val="2"/>
        <charset val="1"/>
      </rPr>
      <t>vermelha</t>
    </r>
    <r>
      <rPr>
        <b/>
        <sz val="10"/>
        <rFont val="Calibri"/>
        <family val="2"/>
        <charset val="1"/>
      </rPr>
      <t xml:space="preserve"> para realização dos cálculos das demais abas.
Não é necessário preenchimento de outras abas.</t>
    </r>
  </si>
  <si>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</si>
  <si>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</si>
  <si>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</si>
  <si>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</si>
  <si>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</si>
  <si>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</si>
  <si>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Conversão das horas de ausência em dias de ausência
(Coluna "J")</t>
  </si>
  <si>
    <t>Nº dias de faltas comuns sem substituição.
(Coluna "K")</t>
  </si>
  <si>
    <t>Informar número de dias por férias no mês (dias)
(Coluna "L")</t>
  </si>
  <si>
    <t>Desconto de V.A. por dias de recesso forense e/ou ponto facultativo.
(Coluna "M")</t>
  </si>
  <si>
    <t>Nº de dias corridos de férias sem substituição quando o adicional de insalubridade é passado para outra servente do quadro.
(Coluna "N")</t>
  </si>
  <si>
    <t>Somatório de glosas.
(Coluna "O")</t>
  </si>
  <si>
    <t>Somatório de acrésimo por substituição do posto insalubre por outro profissional do quadro.
(Coluna "P")</t>
  </si>
  <si>
    <t>Informativo sobre valor faturado por tipo de função.
(Coluna "Q")</t>
  </si>
  <si>
    <t>Valores correspondentes ao fornecimento de materiais e epis.
(incluindo impostos)
(Coluna "R")</t>
  </si>
  <si>
    <t>Informar código de elemento de despesa
(Coluna "S")</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</si>
  <si>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</si>
  <si>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</si>
  <si>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</si>
  <si>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</si>
  <si>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</si>
  <si>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</si>
  <si>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</si>
  <si>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</si>
  <si>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de Home Office OU Recesso para os postos Optantes de V.T.</t>
  </si>
  <si>
    <t>Dias de faltas após conversão das horas
(planilha auxiliar)</t>
  </si>
  <si>
    <t>Quant. Atrasos e Faltas</t>
  </si>
  <si>
    <t>Dias de Férias</t>
  </si>
  <si>
    <t>Dias de Glosas de V.A no Mês</t>
  </si>
  <si>
    <t>*1 Dias de Deslocamento de Insalubridade</t>
  </si>
  <si>
    <t>VALOR TOTAL GLOSADO</t>
  </si>
  <si>
    <t>VALOR TOTAL ACRESCIDO</t>
  </si>
  <si>
    <t>Valor Mensal 
Faturado com aplicação de descontos</t>
  </si>
  <si>
    <t>VALOR TOTAL INSUMOS FORNECIDOS NO MÊS.</t>
  </si>
  <si>
    <t xml:space="preserve">Elemento de Despesa </t>
  </si>
  <si>
    <t>VALOR DE RETENÇÃO CONTA VINCULADA</t>
  </si>
  <si>
    <t>CÓDIGOS ELEMENTO DE DESPESA</t>
  </si>
  <si>
    <t>FATURAMENTO MENSAL</t>
  </si>
  <si>
    <t>RETENÇÃO 
GLOSA CONTA VINCULADA
(VERIFICAR NECESSIDADE)</t>
  </si>
  <si>
    <t>SIM</t>
  </si>
  <si>
    <t>ELEMENTO 2</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</si>
  <si>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</si>
  <si>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</si>
  <si>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</si>
  <si>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</si>
  <si>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</si>
  <si>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</si>
  <si>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</si>
  <si>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</si>
  <si>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ITEM</t>
  </si>
  <si>
    <t>DESCRIÇÃO DO MATERIAL DE IMPEZA
SERVENTES DE LIMPEZA</t>
  </si>
  <si>
    <t>GASTO MENSAL</t>
  </si>
  <si>
    <r>
      <rPr>
        <b/>
        <u/>
        <sz val="10"/>
        <rFont val="Calibri"/>
        <family val="2"/>
        <charset val="1"/>
      </rPr>
      <t xml:space="preserve">ANÁLISE CRÍTICA </t>
    </r>
    <r>
      <rPr>
        <b/>
        <sz val="10"/>
        <rFont val="Calibri"/>
        <family val="2"/>
        <charset val="1"/>
      </rPr>
      <t>SOBRE O FORNECIMENTO DOS MATERIAIS
ESTIMATIVA MENSAL x FORNECIMENTO EFETIVO
(INFORMAÇÃO COMO PARÂMETRO DE INDICATIVO)</t>
    </r>
  </si>
  <si>
    <t>REFERÊNCIA MENSAL PARA FORNECIMENTO</t>
  </si>
  <si>
    <t>VALORES UNITÁRIOS DO CONTRATO, CORRIGIDOS PELO REAJUSTE DE IPCA.
(SUBSTITUIR/IGUALAR MANUALMENTE OS PREÇOS UNITÁRIOS DA COLUNA "R" NA PLANILHA DE MATERIAIS - QUANDO HOUVER PLANIHA INICIAL DO CONTRATO)</t>
  </si>
  <si>
    <t>Material</t>
  </si>
  <si>
    <t>Unid.</t>
  </si>
  <si>
    <t>Marcas de Referência</t>
  </si>
  <si>
    <t>QNTDE "REAL" FORNECIDA
NO MÊS</t>
  </si>
  <si>
    <t>Custo Mensal</t>
  </si>
  <si>
    <t>Quantidade Mensal</t>
  </si>
  <si>
    <t>Quantidade Total</t>
  </si>
  <si>
    <t>Periodicidade</t>
  </si>
  <si>
    <t>Divisor</t>
  </si>
  <si>
    <t>VALOR INICIAL DO CONTRATO
(Informar após o término da licitação)</t>
  </si>
  <si>
    <t>1º REAJUSTE POR IPCA</t>
  </si>
  <si>
    <t>2º REAJUSTE POR IPCA</t>
  </si>
  <si>
    <t>3º REAJUSTE POR IPCA</t>
  </si>
  <si>
    <t>4º REAJUSTE POR IPCA</t>
  </si>
  <si>
    <t>5º REAJUSTE POR IPCA</t>
  </si>
  <si>
    <t>Fórmula SE, para inclusão após o término do processo licitatório. (INSERIR NA CÉLULA "G9" em diante)</t>
  </si>
  <si>
    <t>unid.</t>
  </si>
  <si>
    <t>DESPESA MENSAL</t>
  </si>
  <si>
    <t>TAXA ADMINISTRATIVA</t>
  </si>
  <si>
    <t>LUCRO</t>
  </si>
  <si>
    <t>TRIBUTOS</t>
  </si>
  <si>
    <t>VALOR TOTAL COM MATERIAIS DE LIMPEZA</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</si>
  <si>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</si>
  <si>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</si>
  <si>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</si>
  <si>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</si>
  <si>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</si>
  <si>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</si>
  <si>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</si>
  <si>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</si>
  <si>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</si>
  <si>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</si>
  <si>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Tribunal Regional Federal da 6ª Região</t>
  </si>
  <si>
    <t>Seção Judiciária de Minas Gerais</t>
  </si>
  <si>
    <t>INSTRUÇÕES DE PREENCHIMENTO - ANEXO II - PLANILHAS DE COMPOSIÇÃO DE CUSTOS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</si>
  <si>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</si>
  <si>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</si>
  <si>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</si>
  <si>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</si>
  <si>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</si>
  <si>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</si>
  <si>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As Abas necessárias para o preenchimento estão organizadas em uma sequência lógica, sendo Dados; Encargos; Materiais (limpeza, copa, etc.); Equipamentos; Uniforme.</t>
  </si>
  <si>
    <t>Os nomes das abas estarão abreviados para otimização da planilha.</t>
  </si>
  <si>
    <r>
      <rPr>
        <b/>
        <sz val="10"/>
        <rFont val="Calibri"/>
        <family val="2"/>
        <charset val="1"/>
      </rPr>
      <t xml:space="preserve">Sugere-se o preenchimento das seguintes abas em sequência: </t>
    </r>
    <r>
      <rPr>
        <sz val="10"/>
        <rFont val="Calibri"/>
        <family val="2"/>
        <charset val="1"/>
      </rPr>
      <t>Dados, Encargos, Materiais, EPI, Equipamentos e Uniforme, para a realização de cálculos completa da planilha de composição de custos.</t>
    </r>
  </si>
  <si>
    <t>3.1</t>
  </si>
  <si>
    <t>Estas Abas estarão destacadas na Cor Amarela.</t>
  </si>
  <si>
    <t>3.2</t>
  </si>
  <si>
    <t>PREENCHIMENTO ABA "DADOS"</t>
  </si>
  <si>
    <t xml:space="preserve"> - Alterar SOMENTE aqueles destacados na COR AMARELA.</t>
  </si>
  <si>
    <t>3.3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</si>
  <si>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</si>
  <si>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</si>
  <si>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</si>
  <si>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3.4</t>
  </si>
  <si>
    <t>PREENCHIMENTO ABA "MATERIAIS"</t>
  </si>
  <si>
    <t xml:space="preserve"> - Informar os valores unitários de cada item nas células destacadas em amarelo dispostas na "Coluna F", de acordo com sua descrição "Colunas B:E".</t>
  </si>
  <si>
    <t xml:space="preserve"> - Atentar-se para o preenchimento de todos os quadros dispostos nesta Aba, sendo:</t>
  </si>
  <si>
    <t xml:space="preserve"> - O preenchimento das células da Coluna "H" está permitida somente para inserção de Observações, caso necessário.</t>
  </si>
  <si>
    <t>3.6</t>
  </si>
  <si>
    <t>PREENCHIMENTO ABA "EQUIPAMENTOS"</t>
  </si>
  <si>
    <t xml:space="preserve"> - Informar os valores unitários de cada item nas células destacadas em amarelo dispostas na "Coluna D", de acordo com sua descrição "Colunas B:C".</t>
  </si>
  <si>
    <t>3.7</t>
  </si>
  <si>
    <t>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</si>
  <si>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</si>
  <si>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 ABA "Especificações" que visam melhor entendimento dos itens de uniforme solicitados.</t>
  </si>
  <si>
    <t xml:space="preserve"> - Atentar-se às observações adicionais dispostas na ABA "Especificações", ao final do quadro com o detalhamento dos uniformes. (OBSERVAÇÕES)</t>
  </si>
  <si>
    <t>4.</t>
  </si>
  <si>
    <r>
      <rPr>
        <sz val="10"/>
        <rFont val="Calibri"/>
        <family val="2"/>
        <charset val="1"/>
      </rPr>
      <t xml:space="preserve">Destaca-se que após o preenchimento destas Abas (de acordo com as instruções contidas no item 3), os preços individuais das </t>
    </r>
    <r>
      <rPr>
        <b/>
        <sz val="10"/>
        <rFont val="Calibri"/>
        <family val="2"/>
        <charset val="1"/>
      </rPr>
      <t>categorias</t>
    </r>
    <r>
      <rPr>
        <sz val="10"/>
        <rFont val="Calibri"/>
        <family val="2"/>
        <charset val="1"/>
      </rPr>
      <t xml:space="preserve"> profissionais serão refletidos automaticamente para as suas abas correspondentes (Serv Ins, Serv, Copeira, Zel ac. e Aux).</t>
    </r>
  </si>
  <si>
    <t>4.1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</si>
  <si>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</si>
  <si>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4.2</t>
  </si>
  <si>
    <t>Estas abas estão destacadas na Cor Cinza.</t>
  </si>
  <si>
    <t>5.</t>
  </si>
  <si>
    <r>
      <rPr>
        <sz val="10"/>
        <rFont val="Calibri"/>
        <family val="2"/>
        <charset val="1"/>
      </rPr>
      <t>A Aba "</t>
    </r>
    <r>
      <rPr>
        <b/>
        <sz val="10"/>
        <rFont val="Calibri"/>
        <family val="2"/>
        <charset val="1"/>
      </rPr>
      <t>Resumo</t>
    </r>
    <r>
      <rPr>
        <sz val="10"/>
        <rFont val="Calibri"/>
        <family val="2"/>
        <charset val="1"/>
      </rPr>
      <t>" contém o detalhamento dos custos unitários por categoria profissional, além de conter o preço final da proposta.</t>
    </r>
  </si>
  <si>
    <t>5.1</t>
  </si>
  <si>
    <r>
      <t xml:space="preserve">Para efeitos de lance/oferta, as licitantes devem considerar o valor da célula "W24", da Aba "Resumo", correspondente ao </t>
    </r>
    <r>
      <rPr>
        <b/>
        <sz val="10"/>
        <rFont val="Calibri"/>
        <family val="2"/>
        <charset val="1"/>
      </rPr>
      <t>VALOR MENSAL.</t>
    </r>
  </si>
  <si>
    <t>5.2</t>
  </si>
  <si>
    <t>Esta aba está destacada na Cor Azul.</t>
  </si>
  <si>
    <t>6.</t>
  </si>
  <si>
    <r>
      <rPr>
        <sz val="10"/>
        <rFont val="Calibri"/>
        <family val="2"/>
        <charset val="1"/>
      </rPr>
      <t>A Aba "</t>
    </r>
    <r>
      <rPr>
        <b/>
        <sz val="10"/>
        <rFont val="Calibri"/>
        <family val="2"/>
        <charset val="1"/>
      </rPr>
      <t>Custo Estimado Substituto</t>
    </r>
    <r>
      <rPr>
        <sz val="10"/>
        <rFont val="Calibri"/>
        <family val="2"/>
        <charset val="1"/>
      </rPr>
      <t>" contém valores estimados com os profissionais substitutos do titular em férias.</t>
    </r>
  </si>
  <si>
    <t>6.1</t>
  </si>
  <si>
    <t>Não será necessário realizar nenhuma alteração nesta aba, pois conterá apenas o reflexo dos dados preenchidos nas abas anteriores (conforme explicação nº 3).</t>
  </si>
  <si>
    <t>6.2</t>
  </si>
  <si>
    <t>ANEXO II - PLANILHA DE CUSTO E FORMAÇÃO DE PREÇO MENSAL ESTIMATIVO - PLANILHA DE DADOS</t>
  </si>
  <si>
    <t>Elemento de Despesa</t>
  </si>
  <si>
    <t>Quantidade de Postos</t>
  </si>
  <si>
    <t>Carga Horária
(Horas)</t>
  </si>
  <si>
    <t>*OBS 1 -
Salário Base I (Piso Para 220h/m)
(R$)</t>
  </si>
  <si>
    <t>Salário Base II
(Conforme Jornada Contratada)
(R$)</t>
  </si>
  <si>
    <t xml:space="preserve">
Insalubridade
Grau de Risco
(%)</t>
  </si>
  <si>
    <t>Valor Insalubridade
(R$)</t>
  </si>
  <si>
    <t>*OBS 2 -
Acúmulo de Função / Acréscimo Salarial
(%)</t>
  </si>
  <si>
    <t>*OBS 3 -
Tempo de Execução de Atividades em Acúmulo
(%)</t>
  </si>
  <si>
    <t>*OBS 4 -
Base Para Cálculo de Acúmulo de Função
(R$)</t>
  </si>
  <si>
    <t>Valor Acúmulo de Função
(R$)</t>
  </si>
  <si>
    <t>Remuneração Total
(Grupo A)
(R$)</t>
  </si>
  <si>
    <t>Uniforme
(R$)</t>
  </si>
  <si>
    <t>Material de Limpeza Rateado
(R$)</t>
  </si>
  <si>
    <t>Depreciação Rateada
(R$)</t>
  </si>
  <si>
    <t>CÓDIGO DE ELEMENTO DE DESPESA
(CONTROLE DA CONTRATANTE)</t>
  </si>
  <si>
    <t>RATEIO
INSUMOS</t>
  </si>
  <si>
    <t>Servente de Limpeza</t>
  </si>
  <si>
    <t>Servente de Limpeza (40%)</t>
  </si>
  <si>
    <t>OBS 1: Inserir piso salarial correspondente à jornada de 220h mensais.      OBS 2: Informar % de acúmulo de função.</t>
  </si>
  <si>
    <t>OBS 3: Informar % do tempo de acúmulo de função.   OBS 4: Informar salário base.</t>
  </si>
  <si>
    <t>TOTAL</t>
  </si>
  <si>
    <t>DADOS DA PROPOSTA</t>
  </si>
  <si>
    <t>Data de apresentação da proposta</t>
  </si>
  <si>
    <t>ABERTURA DA PROPOSTA</t>
  </si>
  <si>
    <t>Informar data de abertura do certame / data final para cadastro da proposta comercial.</t>
  </si>
  <si>
    <t>Sindicato utilizado</t>
  </si>
  <si>
    <t>Informar o sindicato utilizado pela Licitante.</t>
  </si>
  <si>
    <t>Número de registro da CCT - Código MTE</t>
  </si>
  <si>
    <t>Informar o número de registro da Convenção Coletiva de Tralbalho utilizada no processo licitatório, junto ao Ministério do Trabalho e Emprego.</t>
  </si>
  <si>
    <t>Vigência da CCT utilizada</t>
  </si>
  <si>
    <t>01/01/2023 à 31/12/2023</t>
  </si>
  <si>
    <t>Informar a vigência da Convenção Coletiva de Trabalho utilizada no processo licitatório.</t>
  </si>
  <si>
    <t>Data base da categoria</t>
  </si>
  <si>
    <t>01º Janeiro</t>
  </si>
  <si>
    <t>Informar a data base da Convenção Coletiva de Trabalho utilizada no processo licitatório.</t>
  </si>
  <si>
    <t>ENCARGOS SOCIAIS E TRABALHISTAS</t>
  </si>
  <si>
    <t>-</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</si>
  <si>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</si>
  <si>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</si>
  <si>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</si>
  <si>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</si>
  <si>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</si>
  <si>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</si>
  <si>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SALÁRIO BASE PARE CÁLCULO DE INSALUBRIDADE</t>
  </si>
  <si>
    <t>SALÁRIO MINÍMO NACIONAL – 2023</t>
  </si>
  <si>
    <t>Informar base salarial para fins de cálculo de Insalubridade.</t>
  </si>
  <si>
    <t>BENEFÍCIOS</t>
  </si>
  <si>
    <t>Seguro de Vida em Grupo</t>
  </si>
  <si>
    <t>Inserir valor unitário mensal.</t>
  </si>
  <si>
    <t>Programa de Assistência Familiar - PAF</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</si>
  <si>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</si>
  <si>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</si>
  <si>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</si>
  <si>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</si>
  <si>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</si>
  <si>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</si>
  <si>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</si>
  <si>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</si>
  <si>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</si>
  <si>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</si>
  <si>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Valor Unitário do Ticket</t>
  </si>
  <si>
    <t>Inserir valor unitário do Ticket.</t>
  </si>
  <si>
    <t>Outros (inserir somente com a justificativa legal)</t>
  </si>
  <si>
    <t>Inserir valor unitário mensal, quando preenchido, e apresentar as justificativas legais para inclusão.</t>
  </si>
  <si>
    <t>MONTANTE C</t>
  </si>
  <si>
    <t>Despesas Administrativas</t>
  </si>
  <si>
    <t>Informar percentual da Licitante.</t>
  </si>
  <si>
    <t>Lucro</t>
  </si>
  <si>
    <t>MONTANTE D</t>
  </si>
  <si>
    <t>OBS:</t>
  </si>
  <si>
    <t>Opção Tributária</t>
  </si>
  <si>
    <t>LUCRO REAL</t>
  </si>
  <si>
    <t>Informar opção tributária da Licitante. Atentar-se às observações do "Montante D".</t>
  </si>
  <si>
    <t>COFINS</t>
  </si>
  <si>
    <t>Informar percentual da Licitante. Atentar-se às observações do "Montante D".</t>
  </si>
  <si>
    <t>PIS/PASEP</t>
  </si>
  <si>
    <t>ISSQN</t>
  </si>
  <si>
    <t>Informar percentual do código tributário municipal, local da execução das atividades.</t>
  </si>
  <si>
    <t>Informar o tipo de tributo e apresentar as justificativas legais para inclusão. Informar percentual da Licitante. Atentar-se às observações do "Montante D".</t>
  </si>
  <si>
    <t>Soma dos tributos</t>
  </si>
  <si>
    <t>PREVISÃO DE REAJUSTE IPCA - 12 (DOZE) MESES DE CONTRATO - INFORMATIVO PARA SER UTILIZADO DURANTE A GESTÃO CONTRATUAL</t>
  </si>
  <si>
    <t>UNIFORME</t>
  </si>
  <si>
    <t>MATERIAIS
DIVERSOS</t>
  </si>
  <si>
    <t>SEG VIDA</t>
  </si>
  <si>
    <t>FATOR DE APLICAÇÃO
(2 CASAS DECIMAIS)</t>
  </si>
  <si>
    <t>DATA DE APROVAÇÃO IPCA</t>
  </si>
  <si>
    <t>DOCUMENTO RELACIONADO ID</t>
  </si>
  <si>
    <t>1º REAJUSTE IPCA</t>
  </si>
  <si>
    <t>Percentual (%) aprovado</t>
  </si>
  <si>
    <t>Aplicar reajuste após solicitação da contratada?</t>
  </si>
  <si>
    <t>NÃO</t>
  </si>
  <si>
    <t>2º REAJUSTE IPCA</t>
  </si>
  <si>
    <t>3º REAJUSTE IPCA</t>
  </si>
  <si>
    <t>4º REAJUSTE IPCA</t>
  </si>
  <si>
    <t>5º REAJUSTE IPCA</t>
  </si>
  <si>
    <t>CONTROLE DE REAJUSTE IPCA - UNIFORME</t>
  </si>
  <si>
    <t>APLICAR
VALOR</t>
  </si>
  <si>
    <t>INICIAL</t>
  </si>
  <si>
    <t>CONTROLE DE REAJUSTE IPCA - MATERIAIS DIVERSOS</t>
  </si>
  <si>
    <t>CONTROLE DE REAJUSTE IPCA - EPI COVID</t>
  </si>
  <si>
    <t>CONTROLE DE REAJUSTE IPCA - SEGURO DE VIDA</t>
  </si>
  <si>
    <t>VALOR INICIAL DO CONTRATO</t>
  </si>
  <si>
    <t>Fórmula SE, para inclusão após o término do processo licitatório. (INSERIR NA CÉLULA "G31")</t>
  </si>
  <si>
    <t>HISTÓRICO - CONTROLE DE CONTRATO - VERSÃO DE PLANILHA DE CUSTOS</t>
  </si>
  <si>
    <t>Planilha / Proposta comercial - Início do contrato (Licitação)</t>
  </si>
  <si>
    <t>PLANILHA - ID</t>
  </si>
  <si>
    <t>Obs: Planiha apresentada e aceita durante a fase de lances.</t>
  </si>
  <si>
    <t>1º Termo Aditivo</t>
  </si>
  <si>
    <t>Obs: Planilha ajustada com o acréscimo de 1 posto "X" - 200h.</t>
  </si>
  <si>
    <t>1º Termo de Apostilamento</t>
  </si>
  <si>
    <t>Obs: Repactuação CCT 2024 / Alteração do salário mínimo nacional.</t>
  </si>
  <si>
    <t>INFORMAR TERMO ADITIVO / APOSTILAMENTO / ALTERAÇÃO CONTRATUAL</t>
  </si>
  <si>
    <t>Obs: Descrever alerações. EX: Como é realizado no Extrato.</t>
  </si>
  <si>
    <t>Planilha de Encargos Sociais e Trabalhistas</t>
  </si>
  <si>
    <t>ANEXO II</t>
  </si>
  <si>
    <t>INSTRUÇÕES DE PREENCHIMENTO - Informar/Alterar somente as células destacadas na Cor Amarela, de acordo com o percentual da Licitante.</t>
  </si>
  <si>
    <t>QUADRO RESUMO</t>
  </si>
  <si>
    <t>DESCRIÇÃO</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</si>
  <si>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</si>
  <si>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</si>
  <si>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</si>
  <si>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</si>
  <si>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</si>
  <si>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</si>
  <si>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</si>
  <si>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</si>
  <si>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</si>
  <si>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</si>
  <si>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</si>
  <si>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</si>
  <si>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</si>
  <si>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</si>
  <si>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</si>
  <si>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</si>
  <si>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</si>
  <si>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</si>
  <si>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</si>
  <si>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</si>
  <si>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</si>
  <si>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</si>
  <si>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</si>
  <si>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</si>
  <si>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</si>
  <si>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</si>
  <si>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</si>
  <si>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</si>
  <si>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</si>
  <si>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</si>
  <si>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</si>
  <si>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</si>
  <si>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</si>
  <si>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</si>
  <si>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</si>
  <si>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</si>
  <si>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</si>
  <si>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</si>
  <si>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</si>
  <si>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</si>
  <si>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</si>
  <si>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</si>
  <si>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</si>
  <si>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</si>
  <si>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</si>
  <si>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</si>
  <si>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</si>
  <si>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</si>
  <si>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</si>
  <si>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</si>
  <si>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</si>
  <si>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</si>
  <si>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</si>
  <si>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</si>
  <si>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</si>
  <si>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</si>
  <si>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</si>
  <si>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</si>
  <si>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</si>
  <si>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</si>
  <si>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</si>
  <si>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</si>
  <si>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</si>
  <si>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</si>
  <si>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</si>
  <si>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</si>
  <si>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</si>
  <si>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</si>
  <si>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Taxa da conta-corrente vinculada (inciso II art. 2º IN 001/2013</t>
  </si>
  <si>
    <t>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</si>
  <si>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Total a contingenciar</t>
  </si>
  <si>
    <t>ANEXO II - CUSTO ESTIMATIVO DE MATERIAIS DE LIMPEZA</t>
  </si>
  <si>
    <t>DESCRIÇÃO DO MATERIAL</t>
  </si>
  <si>
    <t>REFERÊNCIA</t>
  </si>
  <si>
    <t>Preço Unitário</t>
  </si>
  <si>
    <t>Quantidade</t>
  </si>
  <si>
    <t>DIVISOR</t>
  </si>
  <si>
    <t>Mensal</t>
  </si>
  <si>
    <t>Semestral</t>
  </si>
  <si>
    <t>Trimestral</t>
  </si>
  <si>
    <t>Anual</t>
  </si>
  <si>
    <t>PREÇO UNITÁRIO</t>
  </si>
  <si>
    <t>ANEXO II - CUSTO ESTIMATIVO DE PREÇOS DE EQUIPAMENTOS</t>
  </si>
  <si>
    <t>Valores em R$</t>
  </si>
  <si>
    <t>Item</t>
  </si>
  <si>
    <t>Especificação</t>
  </si>
  <si>
    <t>Quant.</t>
  </si>
  <si>
    <t>Valor Unitário</t>
  </si>
  <si>
    <t>Valor Total</t>
  </si>
  <si>
    <t>Depreciação 10% ao Ano</t>
  </si>
  <si>
    <t>Repasse Mensal</t>
  </si>
  <si>
    <t xml:space="preserve">RELAÇÃO DE MÁQUINAS E EQUIPAMENTOS SERVENTE </t>
  </si>
  <si>
    <t xml:space="preserve">Total da Depreciação de Máquinas e Equipamentos de Servente </t>
  </si>
  <si>
    <t>ANEXO II - CUSTO ESTIMATIVO DE PREÇOS DOS UNIFORMES</t>
  </si>
  <si>
    <t>Serviços de Limpeza e Conservação</t>
  </si>
  <si>
    <t>CATEGORIA</t>
  </si>
  <si>
    <t>DESCRIÇÃO DE UNIFORME</t>
  </si>
  <si>
    <t>CORES</t>
  </si>
  <si>
    <t>TOTAL DO QUANTITATIVO</t>
  </si>
  <si>
    <t>Calça</t>
  </si>
  <si>
    <t>Azul marinho</t>
  </si>
  <si>
    <t>Camisa</t>
  </si>
  <si>
    <t>Calçado</t>
  </si>
  <si>
    <t>preto</t>
  </si>
  <si>
    <t>TOTAL DE POSTOS</t>
  </si>
  <si>
    <t>Bota</t>
  </si>
  <si>
    <t>Soma</t>
  </si>
  <si>
    <t>Preto</t>
  </si>
  <si>
    <t xml:space="preserve">ANEXO II - PLANILHA DE CUSTO E FORMAÇÃO DE PREÇO MENSAL ESTIMATIVO DO PROFISSIONAL SUBSTITUTO DO TITULAR EM FÉRIAS </t>
  </si>
  <si>
    <t xml:space="preserve">DESCRIÇÃO </t>
  </si>
  <si>
    <t>Percentual</t>
  </si>
  <si>
    <t>4.5</t>
  </si>
  <si>
    <t>Módulo 1 - Total da Remuneração</t>
  </si>
  <si>
    <t>A</t>
  </si>
  <si>
    <t>G</t>
  </si>
  <si>
    <t>Total do Custo MENSAL de Reposição do Profissional Ausente em Férias</t>
  </si>
  <si>
    <t>Total do Custo ANUAL de Reposição do Profissional Ausente em Férias</t>
  </si>
  <si>
    <t>Módulo 2 - Benefícios Mensais e Diários</t>
  </si>
  <si>
    <t>Vale-Alimentação</t>
  </si>
  <si>
    <t>B</t>
  </si>
  <si>
    <t>Vale-Transporte</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</si>
  <si>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</si>
  <si>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</si>
  <si>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</si>
  <si>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</si>
  <si>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</si>
  <si>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</si>
  <si>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</si>
  <si>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</si>
  <si>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</si>
  <si>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</si>
  <si>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</si>
  <si>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Tributos Municipais (ISS)</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</si>
  <si>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</si>
  <si>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</si>
  <si>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</si>
  <si>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</si>
  <si>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</si>
  <si>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</si>
  <si>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</si>
  <si>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</si>
  <si>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</si>
  <si>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</si>
  <si>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ANEXO II - PLANILHA DE CUSTO E FORMAÇÃO DE PREÇO MENSAL ESTIMATIVO INTEGRAL - RESUMO</t>
  </si>
  <si>
    <t xml:space="preserve">MÊS: </t>
  </si>
  <si>
    <t>VALORES EM R$</t>
  </si>
  <si>
    <t>ELEMENTO DE DESPESA</t>
  </si>
  <si>
    <t>CATEGORIA PROFISSIONAL</t>
  </si>
  <si>
    <t>TOTAL DO FATURAMENTO MENSAL</t>
  </si>
  <si>
    <t>CUSTO MENSAL</t>
  </si>
  <si>
    <t>GLOSA VALE TRANSPORTE</t>
  </si>
  <si>
    <t>GLOSA DE ATRASOS, FALTAS E DESCONTO DO TITULAR EM FÉRIAS (sem material)</t>
  </si>
  <si>
    <t>GLOSA VALE ALIMENTAÇÃO</t>
  </si>
  <si>
    <t>TOTAL GLOSAS</t>
  </si>
  <si>
    <t>ACRÉSCIMO DE INSALUBRIDADE</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</si>
  <si>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</si>
  <si>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</si>
  <si>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</si>
  <si>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</si>
  <si>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</si>
  <si>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</si>
  <si>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e Desconto de V.A para recessos.</t>
  </si>
  <si>
    <t>PAGAMENTO INSALUBRIDADE EM SUBSTITUIÇÃO</t>
  </si>
  <si>
    <t>Custo Unitário da categoria</t>
  </si>
  <si>
    <t>Custo Mensal da categoria</t>
  </si>
  <si>
    <t>Dias de afastamento</t>
  </si>
  <si>
    <t>Valor da Glosa do vale transporte da categoria</t>
  </si>
  <si>
    <t>Custo Homem-Mês               (sem material)</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</si>
  <si>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</si>
  <si>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</si>
  <si>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</si>
  <si>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</si>
  <si>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</si>
  <si>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</si>
  <si>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Insalubridade por dia</t>
  </si>
  <si>
    <t>Quantidade de Dias</t>
  </si>
  <si>
    <t>Valor Devido</t>
  </si>
  <si>
    <t xml:space="preserve">TOTAL DO FATURAMENTO MENSAL </t>
  </si>
  <si>
    <t>Valor para Lance - Registro de oferta</t>
  </si>
  <si>
    <t>VALOR DO MATERIAL</t>
  </si>
  <si>
    <t>TOTAL DO FATURAMENTO ANUAL</t>
  </si>
  <si>
    <t>Planilha de Custo e Formação de Preço Mensal Por Categoria Profissional</t>
  </si>
  <si>
    <t>COM MATERIAL</t>
  </si>
  <si>
    <t>SEM MATERIAL</t>
  </si>
  <si>
    <t>CUSTO DE VALE ALIMENTAÇÃO</t>
  </si>
  <si>
    <t>CUSTO DE VALE-TRANSPORTE</t>
  </si>
  <si>
    <t>CUSTO INSALUBRIDADE</t>
  </si>
  <si>
    <t>33390.37.02 - Limpeza e Conservação</t>
  </si>
  <si>
    <t>MONTANTE "A" - Mão de Obra</t>
  </si>
  <si>
    <t>Função</t>
  </si>
  <si>
    <t>Carga Horária Mensal</t>
  </si>
  <si>
    <t xml:space="preserve"> Salário Base</t>
  </si>
  <si>
    <t>Adicional de Insalubridade</t>
  </si>
  <si>
    <t>Adicional Acúmulo de Função</t>
  </si>
  <si>
    <t>TOTAL DA REMUNERAÇÃO</t>
  </si>
  <si>
    <t xml:space="preserve">Encargos sociais e trabalhistas                         </t>
  </si>
  <si>
    <t>Total do Montante "A" ( Mão de Obra)</t>
  </si>
  <si>
    <t>MONTANTE "B" - INSUMOS</t>
  </si>
  <si>
    <t>Itens</t>
  </si>
  <si>
    <t>Valores Unitarios</t>
  </si>
  <si>
    <t>Uniforme</t>
  </si>
  <si>
    <t xml:space="preserve">Seguro de vida  </t>
  </si>
  <si>
    <t>Material de Limpeza</t>
  </si>
  <si>
    <t>Material de Copa</t>
  </si>
  <si>
    <t>Depreciação de Equipamentos</t>
  </si>
  <si>
    <t>Total do Montante "B" (Insumos)</t>
  </si>
  <si>
    <t>Montante "A" + Montante "B"</t>
  </si>
  <si>
    <t>MONTANTE "C" - DEMAIS COMPONENTES</t>
  </si>
  <si>
    <t>ITENS</t>
  </si>
  <si>
    <t>Despesas administrativas/operacionais</t>
  </si>
  <si>
    <t>Base de cálculo do lucro</t>
  </si>
  <si>
    <t>Total do Montante "C" (Demais componentes)</t>
  </si>
  <si>
    <t>Montante "A" + Montante "B" + Montante "C"</t>
  </si>
  <si>
    <t>MONTANTE "D" - TRIBUTOS</t>
  </si>
  <si>
    <t>Total do Montante "D" (Tributos)</t>
  </si>
  <si>
    <t>FATOR K</t>
  </si>
  <si>
    <t>Deslocamento Insalubridade</t>
  </si>
  <si>
    <t>Material de Jardinagem</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</si>
  <si>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</si>
  <si>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</si>
  <si>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</si>
  <si>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</si>
  <si>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</si>
  <si>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</si>
  <si>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</si>
  <si>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</si>
  <si>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</si>
  <si>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</si>
  <si>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</si>
  <si>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</si>
  <si>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</si>
  <si>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</si>
  <si>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</si>
  <si>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</si>
  <si>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</si>
  <si>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</si>
  <si>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</si>
  <si>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</si>
  <si>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</si>
  <si>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</si>
  <si>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</si>
  <si>
    <t>Subseção Judiciária de Janaúba</t>
  </si>
  <si>
    <t>Zelador</t>
  </si>
  <si>
    <t>Álcool  gel , frasco 500 ml</t>
  </si>
  <si>
    <t xml:space="preserve">Balde preto de pedreiro de 12 litros </t>
  </si>
  <si>
    <t xml:space="preserve">Desentupidor de pia </t>
  </si>
  <si>
    <t xml:space="preserve">Desentupidor de vaso sanitário </t>
  </si>
  <si>
    <t>Desinfetante concentrado - fragrância Floral  Galão de 5 Litros</t>
  </si>
  <si>
    <t>Galão</t>
  </si>
  <si>
    <t>Desinfetante sanitário em pedra - 35 gramas</t>
  </si>
  <si>
    <t>Unid</t>
  </si>
  <si>
    <t>Escova sanitária, com suporte</t>
  </si>
  <si>
    <t>Esponja dupla face (banheiros)</t>
  </si>
  <si>
    <t>Flanela branca, de boa qualidade - Largura de 60 cm.</t>
  </si>
  <si>
    <t>Limpa Vidros, 500 ml</t>
  </si>
  <si>
    <t>Limpador Geral, concentrado -  Galão de 5 Litros</t>
  </si>
  <si>
    <t xml:space="preserve">Luva de látex forrada </t>
  </si>
  <si>
    <t>Mangueira reforçada, 1/2", anti torção -  50 m</t>
  </si>
  <si>
    <t xml:space="preserve">Pá para lixo - cabo longo, de 70 a 80 cm </t>
  </si>
  <si>
    <t>Rolo</t>
  </si>
  <si>
    <t>Papel toalha, branco, 2D, com 2.000 fls.</t>
  </si>
  <si>
    <t>Fardo</t>
  </si>
  <si>
    <t xml:space="preserve">Rodo de plástico 60 cm com cabo longo, boa qualidade </t>
  </si>
  <si>
    <t>Sabão em barra Ypê ou similar - de 200 gramas</t>
  </si>
  <si>
    <t>Quilo</t>
  </si>
  <si>
    <t>Sabonete líquido, erva-doce, galão de 5 litros</t>
  </si>
  <si>
    <t>Saco de algodão alvejado (pano de chão)</t>
  </si>
  <si>
    <t>Cento</t>
  </si>
  <si>
    <t>Vassoura piaçava nº 3, boa qualidade, Rossi ou similar</t>
  </si>
  <si>
    <t>Minasçúcar Facilita ou similar</t>
  </si>
  <si>
    <t>Bell Limp</t>
  </si>
  <si>
    <t>3M</t>
  </si>
  <si>
    <t>Harpic</t>
  </si>
  <si>
    <t>Betamin ou similar</t>
  </si>
  <si>
    <t>ABP Têxtil</t>
  </si>
  <si>
    <t>Ual - Ingleza ou similar</t>
  </si>
  <si>
    <t>MEC100, PREMIUM ou similar</t>
  </si>
  <si>
    <t>Danny Silver, Max Látex ou similar</t>
  </si>
  <si>
    <t>Veja ou similar</t>
  </si>
  <si>
    <t>Nobre ou similar</t>
  </si>
  <si>
    <t>Economy (Jofel) ou similar</t>
  </si>
  <si>
    <t>Ypê/ Minuano</t>
  </si>
  <si>
    <t>Tixan, Brilhante, Ipê ou similar</t>
  </si>
  <si>
    <t>Prima Clean</t>
  </si>
  <si>
    <t>Minas Plus</t>
  </si>
  <si>
    <t>CRW</t>
  </si>
  <si>
    <t>RELAÇÃO DE MÁQUINAS E EQUIPAMENTOS ZELADOR</t>
  </si>
  <si>
    <t>Total da Depreciação de Máquinas e Equipamentos Zelador</t>
  </si>
  <si>
    <t>SETHAC</t>
  </si>
  <si>
    <t>MG003959/2023</t>
  </si>
  <si>
    <t>CÁLCULO VALOR DO REPASSE MENSAL ZELADOR</t>
  </si>
  <si>
    <t>CÁLCULO VALOR DO REPASSE MENSAL SERVENTE DE LIMPEZA</t>
  </si>
  <si>
    <t>Cinza</t>
  </si>
  <si>
    <t xml:space="preserve"> - Informar piso salarial de cada categoria, correspondente à jornada de 220h. (Células "E7":"E10").</t>
  </si>
  <si>
    <t xml:space="preserve"> - Informar os Dados da Apresentação da Proposta e relacionados à Convenção Coletiva de Trabalho. Tais informações não interferem na execução de cálculos, servem apenas para instruir o processo da análise da proposta. (Células "E13:E17").</t>
  </si>
  <si>
    <t xml:space="preserve"> - Informar o percentual correspondente ao RAT, conforme atividade principal da licitante. (Célula "G23").</t>
  </si>
  <si>
    <t xml:space="preserve"> - Informar o fator correspondente ao FAP, conforme extraído do relatório FapWeb. (Célula "G24").</t>
  </si>
  <si>
    <t xml:space="preserve"> - Informar o valor do salário mínimo nacional vigente (base de cálculo para a cotação de insalubridade). (Célula "G27").</t>
  </si>
  <si>
    <t xml:space="preserve"> - Informar o valor unitário do Seguro de Vida, nos casos exigidos, conforme legislação vigente. (Célula "G30").</t>
  </si>
  <si>
    <t xml:space="preserve"> - Informar o valor unitário do Programa de Assistência Familiar - PAF, nos casos exigidos, conforme legislação vigente. (Célula "G31").</t>
  </si>
  <si>
    <t xml:space="preserve"> - Informar o valor unitário da tarifa de transporte público vigente à data de apresentação da proposta, conforme legislação vigente. (Célula "G32").</t>
  </si>
  <si>
    <t xml:space="preserve"> - Informar o quantitativo unitário diário de tarifas de transporte público (ex.: 1 tarifa para ida e 1 tarifa para volta = Total de 2 tarifas). (Célula "G33").</t>
  </si>
  <si>
    <t xml:space="preserve"> - Informar o percentual de desconto à título de participação do trabalhador em relação ao fornecimento de vale transporte, nos casos exigidos, conforme legislação vigente. (Célula "G35").</t>
  </si>
  <si>
    <t xml:space="preserve"> - Informar o valor unitário do ticket de Vale Alimentação, nos casos exigidos, conforme legislação vigente. (Célula "G36").</t>
  </si>
  <si>
    <t xml:space="preserve"> - Informar o percentual de desconto à título de participação do trabalhador em relação ao fornecimento de Vale Alimentação, nos casos exigidos, conforme legislação vigente. (Célula "G38").</t>
  </si>
  <si>
    <t xml:space="preserve"> - Incluir outros custos não previstos previamente, bem como descrevê-los, em caso de previsão legal, devendo ser apresentadas justificativas para a inserção. (Células "B39" e "G39").</t>
  </si>
  <si>
    <t xml:space="preserve"> - Incluir outros custos não previstos previamente, bem como descrevê-los, em caso de previsão legal, devendo ser apresentadas justificativas para a inserção. (Células "B40" e "G40").</t>
  </si>
  <si>
    <t xml:space="preserve"> - Informar o percentual relativo às Despesas Administrativas da licitante. (Células "G43").</t>
  </si>
  <si>
    <t xml:space="preserve"> - Informar o percentual relativo ao Lucro da licitante. (Células "G44").</t>
  </si>
  <si>
    <t xml:space="preserve"> - Informar a opção tributária da licitante (Células "F50") conforme legislação vigente, OBSERVANDO as instruções contantes na Célula "B47".</t>
  </si>
  <si>
    <t xml:space="preserve"> - Informar o percentual da alíquota COFINS (Células "G51") conforme legislação vigente, OBSERVANDO as instruções contantes na Célula "B47".</t>
  </si>
  <si>
    <t xml:space="preserve"> - Informar o percentual da alíquota PIS/PASEP (Células "G52") conforme legislação vigente, OBSERVANDO as instruções contantes na Célula "B47".</t>
  </si>
  <si>
    <t xml:space="preserve"> - Informar o percentual da alíquota ISSQN (Células "G53") conforme legislação vigente, OBSERVANDO as instruções contantes na Célula "B47".</t>
  </si>
  <si>
    <t xml:space="preserve"> - Incluir outros impostos não inseridos previamente, bem como descrevê-los, em caso de previsão legal, devendo ser apresentadas justificativas para a inserção. (Células "B54" e "G54").</t>
  </si>
  <si>
    <t>Obs: Informar a jornada de trabalho do posto analisado. Em sequência, informar as horas completas faltantes e posteriormente os minutos. Ex: 10:25h faltantes - Lançar 10 na célula "D19" e lançar 25 na célula "E19".
Lançar o resultado convertido na coluna "H".</t>
  </si>
  <si>
    <t>2. Na célula “N14” deverá ser informado a quantidade de dias em que o trabalho insalubre foi realizado por outra servente do quadro, durante as férias da Servente de Limpeza 40% insalubre - titular.</t>
  </si>
  <si>
    <t>R$</t>
  </si>
  <si>
    <t>Reatec ou similar</t>
  </si>
  <si>
    <t>Ypê ou similar</t>
  </si>
  <si>
    <t>Carrinho carretel para enrolar mangueira de jardim 50 m</t>
  </si>
  <si>
    <t>Tesoura Corta Vergalhão 36"</t>
  </si>
  <si>
    <t>Aparador de grama elétrico, resistente. Marca de Referência: Tramontina ou similar</t>
  </si>
  <si>
    <t>Furadeira e Parafusadeira elétrica</t>
  </si>
  <si>
    <t>Hipoclorito de Sódio, concentrado, de 9 a 10% de cloro ativo. Satisfatória ação bactericida frente às cepas Staphylococcus aureus, Salmonella choleraesuis; Produto biodegradável. Aspecto:Líquido Amarelado Teor de Cloro Ativo: 9,0 – 10%. Unidade de fornecimento: Galão com 5 litros</t>
  </si>
  <si>
    <t>Detergente, eficiente na remoção de gordura, dermatologicamente testado, concentrado, neutro, biodegradável com alto poder de limpeza. 1ª qualidade.</t>
  </si>
  <si>
    <t>Auxiliar Administrativo</t>
  </si>
  <si>
    <t>Bota em PVC,  resistente e antiderrapante, 1ª qualidade, atendendo as Normas de Segurança do Trabalho vigentes</t>
  </si>
  <si>
    <t>Camiseta</t>
  </si>
  <si>
    <t>Beje, creme, branca ou cinza claro</t>
  </si>
  <si>
    <t>Azul marinho ou cinza</t>
  </si>
  <si>
    <t>Azul marinho ou Preto</t>
  </si>
  <si>
    <t>CÁLCULO VALOR DO REPASSE MENSAL AUXILIAR ADMINISTRATIVO</t>
  </si>
  <si>
    <t>Modelo social, de 1ª qualidade, especificações conforme Anexo III do Termo de Referência.</t>
  </si>
  <si>
    <t>Camisa modelo social, confeccionada em tecido de 1ª qualidade, especificações conforme Anexo III do Termo de Referência. Etiqueta de composição e identificação do tecido, forro, confecção, tamanho da peça e instruções de lavagem, conforme determinação do INMETRO. Emblema da empresa bordado pequeno no lado esquerdo superior.</t>
  </si>
  <si>
    <t>Modelo social, confeccionada em tecido de 1ª qualidade, especificações conforme Anexo III do Termo de Referência. Etiqueta de composição e identificação do tecido, forro, confecção, tamanho da peça e instruções de lavagem, conforme determinação do INMETRO.</t>
  </si>
  <si>
    <t>Calça confeccionada em jeans ou sarja com elastano, com zíper e botão para fechamento no cós; 2 (dois) bolsos na frente e 2 (dois) na parte de trás. Etiqueta de composição e identificação do tecido, forro, confecção, tamanho da peça e instruções de lavagem, conforme determinação do INMETRO. Especificações conforme Anexo III do Termo de Referência.</t>
  </si>
  <si>
    <t>Camisa polo de malha piquet, 50% algodão e 50% poliéster. Aviamento e botões na mesma cor do tecido. Etiqueta de composição e identificação do tecido, forro, confecção, tamanho da peça e instruções de lavagem, conforme determinação do INMETRO. Emblema da empresa bordado pequeno no lado esquerdo superior. Especificações conforme Anexo III do Termo de Referência.</t>
  </si>
  <si>
    <t>Botina de segurança, com biqueira de aço,  resistente e antiderrapante, 1ª qualidade, atendendo às normas de segurança do trabalho. Especificações conforme Anexo III do Termo de Referência.</t>
  </si>
  <si>
    <t>Sem ponteira e confortável, resistente e antiderrapante, 1ª qualidade, atendendo as exigências das Normas de Segurança do Trabalho. Especificações conforme Anexo III do Termo de Referência.</t>
  </si>
  <si>
    <t>Calça comprida cós alto, com elástico e cordão, em gabardine, oxford ou sarja, 1ª qualidade. Especificações conforme Anexo III do Termo de Referência.</t>
  </si>
  <si>
    <t>QNT.</t>
  </si>
  <si>
    <r>
      <t xml:space="preserve">INSTRUÇÕES DE PREENCHIMENTO - Informar/Alterar somente as células destacadas na Cor Amarela, de acordo com o valor unitário da Licitante. </t>
    </r>
    <r>
      <rPr>
        <b/>
        <sz val="10"/>
        <color rgb="FFFF0000"/>
        <rFont val="Calibri"/>
        <family val="2"/>
      </rPr>
      <t>Especificações contidas no Anexo I do Termo de Referência.</t>
    </r>
  </si>
  <si>
    <t>OBS.</t>
  </si>
  <si>
    <r>
      <t xml:space="preserve">INSTRUÇÕES DE PREENCHIMENTO - Informar/Alterar somente as células destacadas na Cor Amarela, de acordo com o valor unitário da Licitante. </t>
    </r>
    <r>
      <rPr>
        <b/>
        <sz val="11"/>
        <color rgb="FFFF0000"/>
        <rFont val="Calibri"/>
        <family val="2"/>
        <scheme val="minor"/>
      </rPr>
      <t>Especificações contidas no Anexo I do Termo de Referência.</t>
    </r>
  </si>
  <si>
    <t>Sanremo</t>
  </si>
  <si>
    <t>Limpador Multi Uso, 500 ml</t>
  </si>
  <si>
    <t>Papel higiênico branco, folha dupla, neutro, de 30 metros, Fardo com 64 rolos.</t>
  </si>
  <si>
    <t>Sabão em pó</t>
  </si>
  <si>
    <t>Saco de lixo 60 litros, preto, reforçado</t>
  </si>
  <si>
    <t>Dortler ou similar</t>
  </si>
  <si>
    <r>
      <t xml:space="preserve">INSTRUÇÕES DE PREENCHIMENTO - Informar/Alterar somente as células destacadas na Cor Amarela, de acordo com o valor unitário da Licitante. </t>
    </r>
    <r>
      <rPr>
        <b/>
        <sz val="10"/>
        <color rgb="FFFF0000"/>
        <rFont val="Calibri"/>
        <family val="2"/>
        <scheme val="minor"/>
      </rPr>
      <t>Especificações conforme Anexo III do Termo de Referência.</t>
    </r>
  </si>
  <si>
    <t xml:space="preserve">Tramontina ou similar </t>
  </si>
  <si>
    <t>Extensão elétrica 20 metros, resistente</t>
  </si>
  <si>
    <t>Máscara de proteção 3M, pff2, formato dobrável com fixação dupla, ajuste no septo nasal, válvula de exalação e material antialérgico. CA obrigatório vigente na entrega do EPI.</t>
  </si>
  <si>
    <t>Óculos</t>
  </si>
  <si>
    <t>Óculos de Proteção Segurança Profissional Anti-Embaçante, certificado pelo INMETRO/ANVISA.</t>
  </si>
  <si>
    <t>Transparente</t>
  </si>
  <si>
    <t>ELEMENTO 1</t>
  </si>
  <si>
    <t xml:space="preserve"> - Materiais de Limpeza (Células "F9:F36")</t>
  </si>
  <si>
    <t>Detergente líquido, eficiente na remoção de gordura, dermatologicamente testado, concentrado, neutro, biodegradável com alto poder de limpeza. 1ª qualidade.</t>
  </si>
  <si>
    <t>Camiseta Em forma de "T", malha fria ou algodão, malha PV ou similar, de 1ª qualidade, não transparente, manga curta, gola redonda, emblema da empresa bordado pequeno no lado esquerdo superior. Etiqueta de composição e identificação do tecido, forro, confecção, tamanho da peça e instruções de lavagem, conforme determinação do INMETRO. Especificações conforme Anexo III do Termo de Referência.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</si>
</sst>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R$ &quot;* #,##0.00_-;&quot;-R$ &quot;* #,##0.00_-;_-&quot;R$ &quot;* \-??_-;_-@_-"/>
    <numFmt numFmtId="165" formatCode="_(* #,##0.00_);_(* \(#,##0.00\);_(* \-??_);_(@_)"/>
    <numFmt numFmtId="166" formatCode="_-* #,##0.00_-;\-* #,##0.00_-;_-* \-??_-;_-@_-"/>
    <numFmt numFmtId="167" formatCode="#,##0_ ;\-#,##0\ "/>
    <numFmt numFmtId="168" formatCode="d/m/yyyy"/>
    <numFmt numFmtId="169" formatCode="0.0000"/>
    <numFmt numFmtId="170" formatCode="* #,##0.00\ ;* \(#,##0.00\);* \-#\ ;@\ "/>
    <numFmt numFmtId="171" formatCode="_(* #,##0_);_(* \(#,##0\);_(* \-??_);_(@_)"/>
    <numFmt numFmtId="172" formatCode="00"/>
    <numFmt numFmtId="173" formatCode="_(* #,##0.00_);_(* \(#,##0.00\);_(* &quot;-&quot;??_);_(@_)"/>
    <numFmt numFmtId="174" formatCode="_(* #,##0_);_(* \(#,##0\);_(* &quot;-&quot;??_);_(@_)"/>
  </numFmts>
  <fonts count="65" x14ac:knownFonts="1">
    <font>
      <sz val="11"/>
      <color rgb="FF000000"/>
      <name val="Calibri"/>
      <family val="2"/>
      <charset val="1"/>
    </font>
    <font>
      <sz val="10"/>
      <name val="Arial"/>
      <family val="2"/>
      <charset val="1"/>
    </font>
    <font>
      <sz val="10"/>
      <name val="Times New Roman"/>
      <family val="1"/>
      <charset val="1"/>
    </font>
    <font>
      <sz val="11"/>
      <color rgb="FF333333"/>
      <name val="Calibri"/>
      <family val="2"/>
      <charset val="1"/>
    </font>
    <font>
      <sz val="11"/>
      <name val="Calibri"/>
      <family val="2"/>
      <charset val="1"/>
    </font>
    <font>
      <sz val="10"/>
      <color rgb="FF333333"/>
      <name val="Calibri"/>
      <family val="2"/>
      <charset val="1"/>
    </font>
    <font>
      <b/>
      <sz val="18"/>
      <name val="Calibri"/>
      <family val="2"/>
      <charset val="1"/>
    </font>
    <font>
      <b/>
      <sz val="16"/>
      <name val="Calibri"/>
      <family val="2"/>
      <charset val="1"/>
    </font>
    <font>
      <b/>
      <sz val="11"/>
      <name val="Calibri"/>
      <family val="2"/>
      <charset val="1"/>
    </font>
    <font>
      <sz val="12"/>
      <name val="Calibri"/>
      <family val="2"/>
      <charset val="1"/>
    </font>
    <font>
      <b/>
      <sz val="10"/>
      <name val="Calibri"/>
      <family val="2"/>
      <charset val="1"/>
    </font>
    <font>
      <b/>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i/>
      <u/>
      <sz val="11"/>
      <name val="Calibri"/>
      <family val="2"/>
      <charset val="1"/>
    </font>
    <font>
      <sz val="11"/>
      <color rgb="FFFF0000"/>
      <name val="Calibri"/>
      <family val="2"/>
      <charset val="1"/>
    </font>
    <font>
      <b/>
      <u/>
      <sz val="10"/>
      <name val="Calibri"/>
      <family val="2"/>
      <charset val="1"/>
    </font>
    <font>
      <i/>
      <sz val="11"/>
      <color rgb="FF339966"/>
      <name val="Calibri"/>
      <family val="2"/>
      <charset val="1"/>
    </font>
    <font>
      <sz val="8"/>
      <name val="Calibri"/>
      <family val="2"/>
      <charset val="1"/>
    </font>
    <font>
      <b/>
      <sz val="12"/>
      <name val="Calibri"/>
      <family val="2"/>
      <charset val="1"/>
    </font>
    <font>
      <sz val="10"/>
      <color rgb="FFFFFFFF"/>
      <name val="Calibri"/>
      <family val="2"/>
      <charset val="1"/>
    </font>
    <font>
      <b/>
      <sz val="14"/>
      <name val="Calibri"/>
      <family val="2"/>
      <charset val="1"/>
    </font>
    <font>
      <b/>
      <sz val="11"/>
      <color rgb="FF000000"/>
      <name val="Calibri"/>
      <family val="2"/>
      <charset val="1"/>
    </font>
    <font>
      <b/>
      <sz val="11"/>
      <color rgb="FFFF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b/>
      <sz val="9"/>
      <name val="Calibri"/>
      <family val="2"/>
      <charset val="1"/>
    </font>
    <font>
      <sz val="10"/>
      <color rgb="FF000000"/>
      <name val="Calibri"/>
      <family val="2"/>
      <charset val="1"/>
    </font>
    <font>
      <b/>
      <sz val="10"/>
      <color rgb="FF000000"/>
      <name val="Calibri"/>
      <family val="2"/>
      <charset val="1"/>
    </font>
    <font>
      <b/>
      <sz val="8"/>
      <name val="Calibri"/>
      <family val="2"/>
      <charset val="1"/>
    </font>
    <font>
      <b/>
      <sz val="9"/>
      <color rgb="FFFF0000"/>
      <name val="Calibri"/>
      <family val="2"/>
      <charset val="1"/>
    </font>
    <font>
      <b/>
      <sz val="12"/>
      <color rgb="FFBFBFBF"/>
      <name val="Calibri"/>
      <family val="2"/>
      <charset val="1"/>
    </font>
    <font>
      <sz val="14"/>
      <name val="Calibri"/>
      <family val="2"/>
      <charset val="1"/>
    </font>
    <font>
      <b/>
      <sz val="12.5"/>
      <name val="Calibri"/>
      <family val="2"/>
      <charset val="1"/>
    </font>
    <font>
      <b/>
      <sz val="12"/>
      <color rgb="FF000000"/>
      <name val="Calibri"/>
      <family val="2"/>
      <charset val="1"/>
    </font>
    <font>
      <b/>
      <sz val="9"/>
      <color rgb="FF000000"/>
      <name val="Calibri"/>
      <family val="2"/>
      <charset val="1"/>
    </font>
    <font>
      <b/>
      <sz val="10"/>
      <color rgb="FFFFFFFF"/>
      <name val="Calibri"/>
      <family val="2"/>
      <charset val="1"/>
    </font>
    <font>
      <b/>
      <sz val="8"/>
      <color rgb="FFFF0000"/>
      <name val="Calibri"/>
      <family val="2"/>
      <charset val="1"/>
    </font>
    <font>
      <sz val="11"/>
      <color rgb="FF000000"/>
      <name val="Calibri"/>
      <family val="2"/>
      <charset val="1"/>
    </font>
    <font>
      <sz val="10"/>
      <name val="Arial"/>
      <family val="2"/>
    </font>
    <font>
      <sz val="10"/>
      <color rgb="FF333333"/>
      <name val="Calibri"/>
      <family val="2"/>
      <scheme val="minor"/>
    </font>
    <font>
      <sz val="10"/>
      <name val="Calibri"/>
      <family val="2"/>
      <scheme val="minor"/>
    </font>
    <font>
      <sz val="10"/>
      <color rgb="FFFF0000"/>
      <name val="Calibri"/>
      <family val="2"/>
      <scheme val="minor"/>
    </font>
    <font>
      <b/>
      <sz val="10"/>
      <name val="Calibri"/>
      <family val="2"/>
      <scheme val="minor"/>
    </font>
    <font>
      <sz val="9"/>
      <color indexed="81"/>
      <name val="Tahoma"/>
      <family val="2"/>
    </font>
    <font>
      <sz val="9"/>
      <name val="Times New Roman"/>
      <family val="1"/>
    </font>
    <font>
      <b/>
      <sz val="14"/>
      <name val="Calibri"/>
      <family val="2"/>
      <scheme val="minor"/>
    </font>
    <font>
      <b/>
      <sz val="11"/>
      <name val="Calibri"/>
      <family val="2"/>
      <scheme val="minor"/>
    </font>
    <font>
      <sz val="11"/>
      <name val="Calibri"/>
      <family val="2"/>
      <scheme val="minor"/>
    </font>
    <font>
      <b/>
      <sz val="6"/>
      <name val="Calibri"/>
      <family val="2"/>
      <scheme val="minor"/>
    </font>
    <font>
      <b/>
      <sz val="12"/>
      <name val="Calibri"/>
      <family val="2"/>
      <scheme val="minor"/>
    </font>
    <font>
      <sz val="11"/>
      <color rgb="FF000000"/>
      <name val="Calibri"/>
      <family val="2"/>
      <scheme val="minor"/>
    </font>
    <font>
      <sz val="8"/>
      <name val="Calibri"/>
      <family val="2"/>
      <scheme val="minor"/>
    </font>
    <font>
      <sz val="12"/>
      <name val="Calibri"/>
      <family val="2"/>
      <scheme val="minor"/>
    </font>
    <font>
      <b/>
      <sz val="10"/>
      <color rgb="FFC00000"/>
      <name val="Calibri"/>
      <family val="2"/>
      <scheme val="minor"/>
    </font>
    <font>
      <b/>
      <sz val="7"/>
      <name val="Calibri"/>
      <family val="2"/>
      <scheme val="minor"/>
    </font>
    <font>
      <sz val="10"/>
      <color rgb="FFC00000"/>
      <name val="Calibri"/>
      <family val="2"/>
      <scheme val="minor"/>
    </font>
    <font>
      <b/>
      <sz val="18"/>
      <name val="Calibri"/>
      <family val="2"/>
      <scheme val="minor"/>
    </font>
    <font>
      <b/>
      <sz val="10"/>
      <color rgb="FFFF0000"/>
      <name val="Calibri"/>
      <family val="2"/>
    </font>
    <font>
      <b/>
      <sz val="11"/>
      <color rgb="FFFF0000"/>
      <name val="Calibri"/>
      <family val="2"/>
      <scheme val="minor"/>
    </font>
    <font>
      <b/>
      <sz val="10"/>
      <color rgb="FFFF0000"/>
      <name val="Calibri"/>
      <family val="2"/>
      <scheme val="minor"/>
    </font>
    <font>
      <b/>
      <sz val="10"/>
      <name val="Calibri"/>
      <family val="2"/>
    </font>
  </fonts>
  <fills count="28">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FFF"/>
      </patternFill>
    </fill>
    <fill>
      <patternFill patternType="solid">
        <fgColor rgb="FFDCE6F2"/>
        <bgColor rgb="FFDEEBF7"/>
      </patternFill>
    </fill>
    <fill>
      <patternFill patternType="solid">
        <fgColor rgb="FFF2DCDB"/>
        <bgColor rgb="FFD9D9D9"/>
      </patternFill>
    </fill>
    <fill>
      <patternFill patternType="solid">
        <fgColor rgb="FF606060"/>
        <bgColor rgb="FF808080"/>
      </patternFill>
    </fill>
    <fill>
      <patternFill patternType="solid">
        <fgColor rgb="FFFFFFFF"/>
        <bgColor rgb="FFF2F2F2"/>
      </patternFill>
    </fill>
    <fill>
      <patternFill patternType="solid">
        <fgColor rgb="FFF2F2F2"/>
        <bgColor rgb="FFDEEBF7"/>
      </patternFill>
    </fill>
    <fill>
      <patternFill patternType="solid">
        <fgColor rgb="FF3366CC"/>
        <bgColor rgb="FF0070C0"/>
      </patternFill>
    </fill>
    <fill>
      <patternFill patternType="solid">
        <fgColor rgb="FFD9D9D9"/>
        <bgColor rgb="FFDCE6F2"/>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ADB9CA"/>
        <bgColor rgb="FFBFBFBF"/>
      </patternFill>
    </fill>
    <fill>
      <patternFill patternType="solid">
        <fgColor rgb="FF00B0F0"/>
        <bgColor rgb="FF33CCCC"/>
      </patternFill>
    </fill>
    <fill>
      <patternFill patternType="solid">
        <fgColor rgb="FF808080"/>
        <bgColor rgb="FF999999"/>
      </patternFill>
    </fill>
    <fill>
      <patternFill patternType="solid">
        <fgColor theme="1" tint="0.34998626667073579"/>
        <bgColor indexed="64"/>
      </patternFill>
    </fill>
    <fill>
      <patternFill patternType="solid">
        <fgColor theme="0"/>
        <bgColor rgb="FFFDEADA"/>
      </patternFill>
    </fill>
    <fill>
      <patternFill patternType="solid">
        <fgColor theme="0"/>
        <bgColor indexed="64"/>
      </patternFill>
    </fill>
    <fill>
      <patternFill patternType="solid">
        <fgColor theme="0"/>
        <bgColor rgb="FFFFC000"/>
      </patternFill>
    </fill>
    <fill>
      <patternFill patternType="solid">
        <fgColor rgb="FFFFFFFF"/>
        <bgColor rgb="FFFDEADA"/>
      </patternFill>
    </fill>
    <fill>
      <patternFill patternType="solid">
        <fgColor theme="1" tint="0.34998626667073579"/>
        <bgColor rgb="FFD9D9D9"/>
      </patternFill>
    </fill>
    <fill>
      <patternFill patternType="solid">
        <fgColor theme="0"/>
        <bgColor rgb="FFDCE6F2"/>
      </patternFill>
    </fill>
    <fill>
      <patternFill patternType="solid">
        <fgColor theme="1" tint="0.34998626667073579"/>
        <bgColor rgb="FFFFFFCC"/>
      </patternFill>
    </fill>
    <fill>
      <patternFill patternType="solid">
        <fgColor theme="4" tint="0.79998168889431442"/>
        <bgColor indexed="64"/>
      </patternFill>
    </fill>
  </fills>
  <borders count="71">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bottom/>
      <diagonal/>
    </border>
    <border>
      <left/>
      <right/>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thin">
        <color auto="1"/>
      </right>
      <top style="thin">
        <color auto="1"/>
      </top>
      <bottom/>
      <diagonal/>
    </border>
    <border>
      <left style="medium">
        <color auto="1"/>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
      <left style="thin">
        <color auto="1"/>
      </left>
      <right style="medium">
        <color auto="1"/>
      </right>
      <top/>
      <bottom/>
      <diagonal/>
    </border>
    <border>
      <left style="medium">
        <color auto="1"/>
      </left>
      <right style="medium">
        <color auto="1"/>
      </right>
      <top style="thin">
        <color auto="1"/>
      </top>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top style="thin">
        <color auto="1"/>
      </top>
      <bottom style="medium">
        <color auto="1"/>
      </bottom>
      <diagonal/>
    </border>
    <border>
      <left/>
      <right style="thin">
        <color auto="1"/>
      </right>
      <top style="thin">
        <color auto="1"/>
      </top>
      <bottom/>
      <diagonal/>
    </border>
    <border>
      <left/>
      <right style="medium">
        <color auto="1"/>
      </right>
      <top/>
      <bottom style="thin">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bottom/>
      <diagonal/>
    </border>
  </borders>
  <cellStyleXfs count="33">
    <xf numFmtId="0" fontId="0" fillId="0" borderId="0"/>
    <xf numFmtId="166" fontId="41" fillId="0" borderId="0" applyBorder="0" applyProtection="0"/>
    <xf numFmtId="164" fontId="41" fillId="0" borderId="0" applyBorder="0" applyProtection="0"/>
    <xf numFmtId="9" fontId="41" fillId="0" borderId="0" applyBorder="0" applyProtection="0"/>
    <xf numFmtId="164" fontId="1" fillId="0" borderId="0" applyBorder="0" applyProtection="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Border="0" applyProtection="0"/>
    <xf numFmtId="9" fontId="1" fillId="0" borderId="0" applyBorder="0" applyProtection="0"/>
    <xf numFmtId="9" fontId="1" fillId="0" borderId="0" applyBorder="0" applyProtection="0"/>
    <xf numFmtId="9" fontId="2" fillId="0" borderId="0" applyBorder="0" applyProtection="0"/>
    <xf numFmtId="165"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166" fontId="2" fillId="0" borderId="0" applyBorder="0" applyProtection="0"/>
    <xf numFmtId="165" fontId="1" fillId="0" borderId="0" applyBorder="0" applyProtection="0"/>
    <xf numFmtId="166" fontId="3" fillId="0" borderId="0" applyBorder="0" applyProtection="0"/>
    <xf numFmtId="165" fontId="2" fillId="0" borderId="0" applyBorder="0" applyProtection="0"/>
    <xf numFmtId="165" fontId="1" fillId="0" borderId="0" applyBorder="0" applyProtection="0"/>
    <xf numFmtId="0" fontId="19" fillId="0" borderId="0" applyBorder="0" applyProtection="0"/>
    <xf numFmtId="170" fontId="2" fillId="0" borderId="0" applyBorder="0" applyProtection="0"/>
    <xf numFmtId="166" fontId="41" fillId="0" borderId="0" applyBorder="0" applyProtection="0"/>
    <xf numFmtId="173" fontId="42" fillId="0" borderId="0" applyFont="0" applyFill="0" applyBorder="0" applyAlignment="0" applyProtection="0"/>
  </cellStyleXfs>
  <cellXfs count="737">
    <xf numFmtId="0" fontId="0" fillId="0" borderId="0" xfId="0"/>
    <xf numFmtId="0" fontId="8" fillId="2" borderId="4" xfId="6" applyFont="1" applyFill="1" applyBorder="1" applyAlignment="1">
      <alignment horizontal="center" vertical="center" wrapText="1"/>
    </xf>
    <xf numFmtId="0" fontId="4" fillId="0" borderId="0" xfId="6" applyFont="1"/>
    <xf numFmtId="0" fontId="4" fillId="0" borderId="0" xfId="6" applyFont="1" applyAlignment="1">
      <alignment horizontal="center"/>
    </xf>
    <xf numFmtId="0" fontId="4" fillId="0" borderId="0" xfId="6" applyFont="1" applyAlignment="1">
      <alignment horizontal="center" vertical="center"/>
    </xf>
    <xf numFmtId="0" fontId="4" fillId="0" borderId="1" xfId="6" applyFont="1" applyBorder="1"/>
    <xf numFmtId="0" fontId="5" fillId="0" borderId="2" xfId="0" applyFont="1" applyBorder="1" applyAlignment="1">
      <alignment horizontal="left" vertical="center"/>
    </xf>
    <xf numFmtId="0" fontId="6" fillId="0" borderId="0" xfId="6" applyFont="1" applyAlignment="1">
      <alignment vertical="center"/>
    </xf>
    <xf numFmtId="0" fontId="4" fillId="0" borderId="3" xfId="6" applyFont="1" applyBorder="1" applyAlignment="1">
      <alignment vertical="top"/>
    </xf>
    <xf numFmtId="0" fontId="5" fillId="0" borderId="0" xfId="0" applyFont="1" applyAlignment="1">
      <alignment horizontal="left" vertical="center"/>
    </xf>
    <xf numFmtId="0" fontId="6" fillId="0" borderId="0" xfId="6" applyFont="1" applyAlignment="1">
      <alignment vertical="top"/>
    </xf>
    <xf numFmtId="0" fontId="4" fillId="0" borderId="0" xfId="6" applyFont="1" applyAlignment="1">
      <alignment horizontal="center" vertical="top"/>
    </xf>
    <xf numFmtId="0" fontId="4" fillId="0" borderId="0" xfId="6" applyFont="1" applyAlignment="1">
      <alignment vertical="top"/>
    </xf>
    <xf numFmtId="0" fontId="5" fillId="0" borderId="0" xfId="0" applyFont="1" applyAlignment="1">
      <alignment horizontal="left" vertical="top"/>
    </xf>
    <xf numFmtId="0" fontId="4" fillId="0" borderId="0" xfId="6" applyFont="1" applyAlignment="1">
      <alignment horizontal="left" vertical="center"/>
    </xf>
    <xf numFmtId="0" fontId="6" fillId="0" borderId="0" xfId="6" applyFont="1" applyAlignment="1">
      <alignment horizontal="center" vertical="center" wrapText="1"/>
    </xf>
    <xf numFmtId="0" fontId="9" fillId="0" borderId="0" xfId="6" applyFont="1" applyAlignment="1">
      <alignment vertical="center" wrapText="1"/>
    </xf>
    <xf numFmtId="0" fontId="9" fillId="0" borderId="0" xfId="6" applyFont="1" applyAlignment="1">
      <alignment vertical="center"/>
    </xf>
    <xf numFmtId="0" fontId="9" fillId="0" borderId="0" xfId="6" applyFont="1" applyAlignment="1">
      <alignment horizontal="center" vertical="center"/>
    </xf>
    <xf numFmtId="0" fontId="4" fillId="0" borderId="4" xfId="6" applyFont="1" applyBorder="1" applyAlignment="1">
      <alignment horizontal="center" vertical="center" wrapText="1"/>
    </xf>
    <xf numFmtId="0" fontId="10" fillId="5" borderId="11" xfId="25" applyNumberFormat="1" applyFont="1" applyFill="1" applyBorder="1" applyAlignment="1" applyProtection="1">
      <alignment horizontal="center" vertical="center" wrapText="1"/>
    </xf>
    <xf numFmtId="0" fontId="10" fillId="5" borderId="12" xfId="25" applyNumberFormat="1" applyFont="1" applyFill="1" applyBorder="1" applyAlignment="1" applyProtection="1">
      <alignment horizontal="center" vertical="center" wrapText="1"/>
    </xf>
    <xf numFmtId="0" fontId="10" fillId="5" borderId="13" xfId="25" applyNumberFormat="1" applyFont="1" applyFill="1" applyBorder="1" applyAlignment="1" applyProtection="1">
      <alignment horizontal="center" vertical="center" wrapText="1"/>
    </xf>
    <xf numFmtId="0" fontId="10" fillId="5" borderId="14" xfId="25" applyNumberFormat="1" applyFont="1" applyFill="1" applyBorder="1" applyAlignment="1" applyProtection="1">
      <alignment horizontal="center" vertical="center" wrapText="1"/>
    </xf>
    <xf numFmtId="0" fontId="10" fillId="5" borderId="15" xfId="25" applyNumberFormat="1" applyFont="1" applyFill="1" applyBorder="1" applyAlignment="1" applyProtection="1">
      <alignment horizontal="center" vertical="center" wrapText="1"/>
    </xf>
    <xf numFmtId="0" fontId="10" fillId="5" borderId="16" xfId="25" applyNumberFormat="1" applyFont="1" applyFill="1" applyBorder="1" applyAlignment="1" applyProtection="1">
      <alignment horizontal="center" vertical="center" wrapText="1"/>
    </xf>
    <xf numFmtId="1" fontId="12" fillId="0" borderId="17" xfId="6" applyNumberFormat="1" applyFont="1" applyBorder="1" applyAlignment="1">
      <alignment horizontal="center" vertical="center"/>
    </xf>
    <xf numFmtId="0" fontId="12" fillId="0" borderId="4" xfId="6" applyFont="1" applyBorder="1" applyAlignment="1">
      <alignment vertical="center" wrapText="1"/>
    </xf>
    <xf numFmtId="1" fontId="12" fillId="0" borderId="4" xfId="6" applyNumberFormat="1" applyFont="1" applyBorder="1" applyAlignment="1">
      <alignment horizontal="center" vertical="center"/>
    </xf>
    <xf numFmtId="0" fontId="14" fillId="6" borderId="18" xfId="25" applyNumberFormat="1" applyFont="1" applyFill="1" applyBorder="1" applyAlignment="1" applyProtection="1">
      <alignment horizontal="center" vertical="center"/>
      <protection locked="0"/>
    </xf>
    <xf numFmtId="0" fontId="14" fillId="6" borderId="4" xfId="25" applyNumberFormat="1" applyFont="1" applyFill="1" applyBorder="1" applyAlignment="1" applyProtection="1">
      <alignment horizontal="center" vertical="center"/>
      <protection locked="0"/>
    </xf>
    <xf numFmtId="2" fontId="14" fillId="6" borderId="17" xfId="25" applyNumberFormat="1" applyFont="1" applyFill="1" applyBorder="1" applyAlignment="1" applyProtection="1">
      <alignment horizontal="center" vertical="center"/>
      <protection locked="0"/>
    </xf>
    <xf numFmtId="2" fontId="12" fillId="0" borderId="19" xfId="25" applyNumberFormat="1" applyFont="1" applyBorder="1" applyAlignment="1" applyProtection="1">
      <alignment horizontal="center" vertical="center"/>
    </xf>
    <xf numFmtId="0" fontId="14" fillId="6" borderId="20" xfId="25" applyNumberFormat="1" applyFont="1" applyFill="1" applyBorder="1" applyAlignment="1" applyProtection="1">
      <alignment horizontal="center" vertical="center"/>
      <protection locked="0"/>
    </xf>
    <xf numFmtId="164" fontId="12" fillId="0" borderId="21" xfId="4" applyFont="1" applyBorder="1" applyAlignment="1" applyProtection="1">
      <alignment horizontal="center" vertical="center"/>
    </xf>
    <xf numFmtId="166" fontId="15" fillId="7" borderId="4" xfId="6" applyNumberFormat="1" applyFont="1" applyFill="1" applyBorder="1" applyAlignment="1">
      <alignment horizontal="center" vertical="center"/>
    </xf>
    <xf numFmtId="164" fontId="12" fillId="0" borderId="4" xfId="4" applyFont="1" applyBorder="1" applyAlignment="1" applyProtection="1">
      <alignment horizontal="center" vertical="center"/>
    </xf>
    <xf numFmtId="164" fontId="12" fillId="0" borderId="19" xfId="4" applyFont="1" applyBorder="1" applyAlignment="1" applyProtection="1">
      <alignment vertical="center"/>
    </xf>
    <xf numFmtId="0" fontId="12" fillId="0" borderId="4" xfId="6" applyFont="1" applyBorder="1" applyAlignment="1">
      <alignment horizontal="center" vertical="center"/>
    </xf>
    <xf numFmtId="164" fontId="12" fillId="0" borderId="4" xfId="2" applyFont="1" applyBorder="1" applyAlignment="1" applyProtection="1">
      <alignment horizontal="center" vertical="center"/>
    </xf>
    <xf numFmtId="164" fontId="12" fillId="0" borderId="19" xfId="2" applyFont="1" applyBorder="1" applyAlignment="1" applyProtection="1">
      <alignment horizontal="center" vertical="center"/>
    </xf>
    <xf numFmtId="164" fontId="10" fillId="5" borderId="23" xfId="4" applyFont="1" applyFill="1" applyBorder="1" applyAlignment="1" applyProtection="1">
      <alignment horizontal="center" vertical="center" wrapText="1"/>
    </xf>
    <xf numFmtId="164" fontId="10" fillId="5" borderId="25" xfId="4" applyFont="1" applyFill="1" applyBorder="1" applyAlignment="1" applyProtection="1">
      <alignment horizontal="center" vertical="center" wrapText="1"/>
    </xf>
    <xf numFmtId="164" fontId="10" fillId="5" borderId="9" xfId="4" applyFont="1" applyFill="1" applyBorder="1" applyAlignment="1" applyProtection="1">
      <alignment horizontal="center" vertical="center" wrapText="1"/>
    </xf>
    <xf numFmtId="164" fontId="10" fillId="5" borderId="26" xfId="4" applyFont="1" applyFill="1" applyBorder="1" applyAlignment="1" applyProtection="1">
      <alignment horizontal="center" vertical="center" wrapText="1"/>
    </xf>
    <xf numFmtId="164" fontId="10" fillId="5" borderId="27" xfId="4" applyFont="1" applyFill="1" applyBorder="1" applyAlignment="1" applyProtection="1">
      <alignment horizontal="center" vertical="center" wrapText="1"/>
    </xf>
    <xf numFmtId="164" fontId="10" fillId="5" borderId="28" xfId="4" applyFont="1" applyFill="1" applyBorder="1" applyAlignment="1" applyProtection="1">
      <alignment horizontal="center" vertical="center" wrapText="1"/>
    </xf>
    <xf numFmtId="164" fontId="10" fillId="5" borderId="29" xfId="4" applyFont="1" applyFill="1" applyBorder="1" applyAlignment="1" applyProtection="1">
      <alignment horizontal="center" vertical="center" wrapText="1"/>
    </xf>
    <xf numFmtId="164" fontId="10" fillId="5" borderId="22" xfId="4" applyFont="1" applyFill="1" applyBorder="1" applyAlignment="1" applyProtection="1">
      <alignment vertical="center" wrapText="1"/>
    </xf>
    <xf numFmtId="0" fontId="12" fillId="0" borderId="0" xfId="6" applyFont="1" applyAlignment="1">
      <alignment vertical="center"/>
    </xf>
    <xf numFmtId="0" fontId="16" fillId="0" borderId="0" xfId="6" applyFont="1" applyAlignment="1">
      <alignment horizontal="left" vertical="center"/>
    </xf>
    <xf numFmtId="0" fontId="4" fillId="0" borderId="0" xfId="6" applyFont="1" applyAlignment="1">
      <alignment horizontal="left" vertical="center" wrapText="1"/>
    </xf>
    <xf numFmtId="0" fontId="12" fillId="0" borderId="0" xfId="6" applyFont="1" applyAlignment="1">
      <alignment horizontal="left" vertical="center"/>
    </xf>
    <xf numFmtId="0" fontId="17" fillId="0" borderId="0" xfId="6" applyFont="1" applyAlignment="1">
      <alignment horizontal="left" vertical="center" wrapText="1"/>
    </xf>
    <xf numFmtId="0" fontId="10" fillId="5" borderId="4" xfId="25" applyNumberFormat="1" applyFont="1" applyFill="1" applyBorder="1" applyAlignment="1" applyProtection="1">
      <alignment horizontal="center" vertical="center" wrapText="1"/>
    </xf>
    <xf numFmtId="0" fontId="12" fillId="0" borderId="0" xfId="6" applyFont="1" applyAlignment="1">
      <alignment horizontal="center" vertical="center"/>
    </xf>
    <xf numFmtId="0" fontId="12" fillId="0" borderId="4" xfId="6" applyFont="1" applyBorder="1" applyAlignment="1" applyProtection="1">
      <alignment horizontal="center" vertical="center"/>
      <protection locked="0"/>
    </xf>
    <xf numFmtId="2" fontId="12" fillId="0" borderId="4" xfId="6" applyNumberFormat="1" applyFont="1" applyBorder="1" applyAlignment="1" applyProtection="1">
      <alignment horizontal="center" vertical="center"/>
      <protection locked="0"/>
    </xf>
    <xf numFmtId="0" fontId="10" fillId="0" borderId="0" xfId="15" applyFont="1" applyAlignment="1">
      <alignment horizontal="center" vertical="center" wrapText="1"/>
    </xf>
    <xf numFmtId="0" fontId="12" fillId="0" borderId="0" xfId="15" applyFont="1"/>
    <xf numFmtId="0" fontId="10" fillId="5" borderId="19" xfId="25" applyNumberFormat="1" applyFont="1" applyFill="1" applyBorder="1" applyAlignment="1" applyProtection="1">
      <alignment horizontal="center" vertical="center" wrapText="1"/>
    </xf>
    <xf numFmtId="0" fontId="10" fillId="5" borderId="17" xfId="25" applyNumberFormat="1" applyFont="1" applyFill="1" applyBorder="1" applyAlignment="1" applyProtection="1">
      <alignment horizontal="center" vertical="center" wrapText="1"/>
    </xf>
    <xf numFmtId="0" fontId="11" fillId="5" borderId="17" xfId="25" applyNumberFormat="1" applyFont="1" applyFill="1" applyBorder="1" applyAlignment="1" applyProtection="1">
      <alignment horizontal="center" vertical="center" wrapText="1"/>
    </xf>
    <xf numFmtId="164" fontId="10" fillId="5" borderId="14" xfId="2" applyFont="1" applyFill="1" applyBorder="1" applyAlignment="1" applyProtection="1">
      <alignment horizontal="center" vertical="center" wrapText="1"/>
    </xf>
    <xf numFmtId="0" fontId="12" fillId="0" borderId="0" xfId="15" applyFont="1" applyAlignment="1">
      <alignment vertical="center"/>
    </xf>
    <xf numFmtId="0" fontId="12" fillId="0" borderId="0" xfId="0" applyFont="1"/>
    <xf numFmtId="10" fontId="10" fillId="5" borderId="21" xfId="25" applyNumberFormat="1" applyFont="1" applyFill="1" applyBorder="1" applyAlignment="1" applyProtection="1">
      <alignment horizontal="center" vertical="center" wrapText="1"/>
    </xf>
    <xf numFmtId="164" fontId="10" fillId="5" borderId="19" xfId="2" applyFont="1" applyFill="1" applyBorder="1" applyAlignment="1" applyProtection="1">
      <alignment horizontal="center" vertical="center" wrapText="1"/>
    </xf>
    <xf numFmtId="164" fontId="10" fillId="5" borderId="29" xfId="2" applyFont="1" applyFill="1" applyBorder="1" applyAlignment="1" applyProtection="1">
      <alignment horizontal="center" vertical="center" wrapText="1"/>
    </xf>
    <xf numFmtId="0" fontId="12" fillId="0" borderId="0" xfId="15" applyFont="1" applyAlignment="1">
      <alignment horizontal="center" vertical="center"/>
    </xf>
    <xf numFmtId="0" fontId="4" fillId="0" borderId="4" xfId="6" applyFont="1" applyBorder="1"/>
    <xf numFmtId="3" fontId="4" fillId="0" borderId="18" xfId="6" applyNumberFormat="1" applyFont="1" applyBorder="1" applyAlignment="1">
      <alignment horizontal="center" vertical="center"/>
    </xf>
    <xf numFmtId="0" fontId="4" fillId="0" borderId="18" xfId="6" applyFont="1" applyBorder="1" applyAlignment="1">
      <alignment horizontal="center" vertical="center"/>
    </xf>
    <xf numFmtId="0" fontId="4" fillId="0" borderId="4" xfId="6" applyFont="1" applyBorder="1" applyAlignment="1">
      <alignment horizontal="left"/>
    </xf>
    <xf numFmtId="0" fontId="12" fillId="0" borderId="0" xfId="0" applyFont="1" applyAlignment="1">
      <alignment horizontal="center" vertical="center"/>
    </xf>
    <xf numFmtId="0" fontId="12" fillId="0" borderId="0" xfId="0" applyFont="1" applyAlignment="1">
      <alignment horizontal="left"/>
    </xf>
    <xf numFmtId="0" fontId="20" fillId="0" borderId="1" xfId="13" applyFont="1" applyBorder="1"/>
    <xf numFmtId="0" fontId="5" fillId="0" borderId="2" xfId="9" applyFont="1" applyBorder="1" applyAlignment="1">
      <alignment vertical="center"/>
    </xf>
    <xf numFmtId="0" fontId="20" fillId="0" borderId="3" xfId="13" applyFont="1" applyBorder="1"/>
    <xf numFmtId="0" fontId="5" fillId="0" borderId="0" xfId="9" applyFont="1" applyAlignment="1">
      <alignment vertical="center"/>
    </xf>
    <xf numFmtId="0" fontId="12" fillId="0" borderId="0" xfId="9" applyFont="1"/>
    <xf numFmtId="0" fontId="9" fillId="0" borderId="0" xfId="0" applyFont="1" applyAlignment="1">
      <alignment vertical="center"/>
    </xf>
    <xf numFmtId="0" fontId="10" fillId="0" borderId="0" xfId="0" applyFont="1" applyAlignment="1">
      <alignment horizontal="center" vertical="center"/>
    </xf>
    <xf numFmtId="0" fontId="18" fillId="0" borderId="0" xfId="0" applyFont="1" applyAlignment="1">
      <alignment horizontal="left"/>
    </xf>
    <xf numFmtId="0" fontId="12" fillId="2" borderId="9" xfId="0" applyFont="1" applyFill="1" applyBorder="1" applyAlignment="1">
      <alignment horizontal="left"/>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center"/>
    </xf>
    <xf numFmtId="0" fontId="12" fillId="2" borderId="0" xfId="0" applyFont="1" applyFill="1"/>
    <xf numFmtId="0" fontId="10" fillId="0" borderId="0" xfId="0" applyFont="1"/>
    <xf numFmtId="0" fontId="12" fillId="0" borderId="0" xfId="0" applyFont="1" applyAlignment="1">
      <alignment horizontal="left" vertical="center"/>
    </xf>
    <xf numFmtId="0" fontId="12" fillId="0" borderId="0" xfId="0" applyFont="1" applyAlignment="1">
      <alignment vertical="center"/>
    </xf>
    <xf numFmtId="0" fontId="12" fillId="9" borderId="0" xfId="0" applyFont="1" applyFill="1"/>
    <xf numFmtId="0" fontId="22" fillId="10" borderId="0" xfId="0" applyFont="1" applyFill="1"/>
    <xf numFmtId="0" fontId="12" fillId="9" borderId="0" xfId="0" applyFont="1" applyFill="1" applyAlignment="1">
      <alignment vertical="center"/>
    </xf>
    <xf numFmtId="0" fontId="12" fillId="8" borderId="0" xfId="0" applyFont="1" applyFill="1" applyAlignment="1">
      <alignment vertical="center"/>
    </xf>
    <xf numFmtId="0" fontId="5" fillId="0" borderId="0" xfId="0" applyFont="1"/>
    <xf numFmtId="0" fontId="5" fillId="0" borderId="0" xfId="0" applyFont="1" applyAlignment="1">
      <alignment vertical="center"/>
    </xf>
    <xf numFmtId="0" fontId="12" fillId="0" borderId="0" xfId="0" applyFont="1" applyAlignment="1">
      <alignment horizontal="center"/>
    </xf>
    <xf numFmtId="0" fontId="23" fillId="0" borderId="0" xfId="6" applyFont="1" applyAlignment="1">
      <alignment horizontal="left" vertical="center"/>
    </xf>
    <xf numFmtId="164" fontId="12" fillId="0" borderId="0" xfId="4" applyFont="1" applyBorder="1" applyProtection="1"/>
    <xf numFmtId="0" fontId="4" fillId="0" borderId="0" xfId="6" applyFont="1" applyAlignment="1">
      <alignment vertical="center"/>
    </xf>
    <xf numFmtId="168" fontId="8" fillId="0" borderId="0" xfId="6" applyNumberFormat="1" applyFont="1" applyAlignment="1">
      <alignment horizontal="left" vertical="center"/>
    </xf>
    <xf numFmtId="0" fontId="4" fillId="0" borderId="0" xfId="0" applyFont="1"/>
    <xf numFmtId="0" fontId="8" fillId="0" borderId="0" xfId="6" applyFont="1" applyAlignment="1">
      <alignment vertical="center" wrapText="1"/>
    </xf>
    <xf numFmtId="0" fontId="12" fillId="11" borderId="4" xfId="6" applyFont="1" applyFill="1" applyBorder="1" applyAlignment="1">
      <alignment horizontal="center" vertical="center" wrapText="1"/>
    </xf>
    <xf numFmtId="0" fontId="8" fillId="11" borderId="4" xfId="6" applyFont="1" applyFill="1" applyBorder="1" applyAlignment="1">
      <alignment horizontal="center" vertical="center" wrapText="1"/>
    </xf>
    <xf numFmtId="169" fontId="9" fillId="0" borderId="0" xfId="6" applyNumberFormat="1" applyFont="1" applyAlignment="1">
      <alignment vertical="center"/>
    </xf>
    <xf numFmtId="0" fontId="8" fillId="0" borderId="4" xfId="0" applyFont="1" applyBorder="1" applyAlignment="1">
      <alignment horizontal="center" vertical="center" wrapText="1"/>
    </xf>
    <xf numFmtId="1" fontId="4" fillId="0" borderId="4" xfId="6" applyNumberFormat="1" applyFont="1" applyBorder="1" applyAlignment="1">
      <alignment horizontal="center" vertical="center"/>
    </xf>
    <xf numFmtId="0" fontId="4" fillId="0" borderId="4" xfId="6" applyFont="1" applyBorder="1" applyAlignment="1">
      <alignment vertical="center" wrapText="1"/>
    </xf>
    <xf numFmtId="4" fontId="4" fillId="2" borderId="4" xfId="1" applyNumberFormat="1" applyFont="1" applyFill="1" applyBorder="1" applyAlignment="1" applyProtection="1">
      <alignment horizontal="center" vertical="center"/>
      <protection locked="0"/>
    </xf>
    <xf numFmtId="4" fontId="4" fillId="0" borderId="4" xfId="1" applyNumberFormat="1" applyFont="1" applyBorder="1" applyAlignment="1" applyProtection="1">
      <alignment horizontal="center" vertical="center"/>
    </xf>
    <xf numFmtId="10" fontId="4" fillId="0" borderId="4" xfId="3" applyNumberFormat="1" applyFont="1" applyBorder="1" applyAlignment="1" applyProtection="1">
      <alignment horizontal="center" vertical="center"/>
    </xf>
    <xf numFmtId="4" fontId="8" fillId="0" borderId="4" xfId="1" applyNumberFormat="1" applyFont="1" applyBorder="1" applyAlignment="1" applyProtection="1">
      <alignment horizontal="center" vertical="center"/>
    </xf>
    <xf numFmtId="166" fontId="15" fillId="7" borderId="4" xfId="1" applyFont="1" applyFill="1" applyBorder="1" applyAlignment="1" applyProtection="1">
      <alignment horizontal="center" vertical="center"/>
    </xf>
    <xf numFmtId="0" fontId="8" fillId="0" borderId="0" xfId="6" applyFont="1" applyAlignment="1">
      <alignment vertical="center"/>
    </xf>
    <xf numFmtId="0" fontId="8" fillId="0" borderId="12" xfId="6" applyFont="1" applyBorder="1" applyAlignment="1">
      <alignment horizontal="center" vertical="center"/>
    </xf>
    <xf numFmtId="4" fontId="8" fillId="0" borderId="12" xfId="1" applyNumberFormat="1" applyFont="1" applyBorder="1" applyAlignment="1" applyProtection="1">
      <alignment horizontal="center" vertical="center"/>
    </xf>
    <xf numFmtId="0" fontId="8" fillId="11" borderId="4" xfId="6" applyFont="1" applyFill="1" applyBorder="1" applyAlignment="1">
      <alignment horizontal="center" vertical="center"/>
    </xf>
    <xf numFmtId="0" fontId="4" fillId="0" borderId="4" xfId="6" applyFont="1" applyBorder="1" applyAlignment="1">
      <alignment horizontal="center" vertical="center"/>
    </xf>
    <xf numFmtId="0" fontId="4" fillId="0" borderId="37" xfId="6" applyFont="1" applyBorder="1" applyAlignment="1">
      <alignment vertical="center"/>
    </xf>
    <xf numFmtId="10" fontId="8" fillId="0" borderId="4" xfId="3" applyNumberFormat="1" applyFont="1" applyBorder="1" applyAlignment="1" applyProtection="1">
      <alignment horizontal="center" vertical="center"/>
    </xf>
    <xf numFmtId="0" fontId="4" fillId="0" borderId="18" xfId="6" applyFont="1" applyBorder="1" applyAlignment="1">
      <alignment vertical="center"/>
    </xf>
    <xf numFmtId="0" fontId="4" fillId="0" borderId="38" xfId="6" applyFont="1" applyBorder="1" applyAlignment="1">
      <alignment vertical="center"/>
    </xf>
    <xf numFmtId="166" fontId="4" fillId="0" borderId="21" xfId="1" applyFont="1" applyBorder="1" applyAlignment="1" applyProtection="1">
      <alignment vertical="center"/>
    </xf>
    <xf numFmtId="0" fontId="4" fillId="0" borderId="37" xfId="6" applyFont="1" applyBorder="1" applyAlignment="1">
      <alignment horizontal="center" vertical="center"/>
    </xf>
    <xf numFmtId="0" fontId="4" fillId="0" borderId="0" xfId="0" applyFont="1" applyAlignment="1">
      <alignment horizontal="left" vertical="center"/>
    </xf>
    <xf numFmtId="4" fontId="24" fillId="0" borderId="4" xfId="0" applyNumberFormat="1" applyFont="1" applyBorder="1" applyAlignment="1">
      <alignment horizontal="center" vertical="center"/>
    </xf>
    <xf numFmtId="0" fontId="4" fillId="0" borderId="0" xfId="6" applyFont="1" applyAlignment="1">
      <alignment horizontal="center" vertical="center" wrapText="1"/>
    </xf>
    <xf numFmtId="166" fontId="4" fillId="0" borderId="0" xfId="1" applyFont="1" applyBorder="1" applyProtection="1"/>
    <xf numFmtId="0" fontId="8" fillId="11" borderId="18" xfId="6" applyFont="1" applyFill="1" applyBorder="1" applyAlignment="1">
      <alignment vertical="center" wrapText="1"/>
    </xf>
    <xf numFmtId="0" fontId="8" fillId="0" borderId="0" xfId="6" applyFont="1" applyAlignment="1">
      <alignment horizontal="center" vertical="center" wrapText="1"/>
    </xf>
    <xf numFmtId="10" fontId="17" fillId="0" borderId="4" xfId="6" applyNumberFormat="1" applyFont="1" applyBorder="1" applyAlignment="1">
      <alignment horizontal="center" vertical="center"/>
    </xf>
    <xf numFmtId="0" fontId="17" fillId="0" borderId="4" xfId="6" applyFont="1" applyBorder="1" applyAlignment="1">
      <alignment horizontal="center" vertical="center"/>
    </xf>
    <xf numFmtId="2" fontId="4" fillId="9" borderId="18" xfId="6" applyNumberFormat="1" applyFont="1" applyFill="1" applyBorder="1" applyAlignment="1">
      <alignment vertical="center"/>
    </xf>
    <xf numFmtId="168" fontId="4" fillId="0" borderId="4" xfId="6" applyNumberFormat="1" applyFont="1" applyBorder="1" applyAlignment="1">
      <alignment horizontal="center" vertical="center"/>
    </xf>
    <xf numFmtId="2" fontId="4" fillId="0" borderId="4" xfId="6" applyNumberFormat="1" applyFont="1" applyBorder="1" applyAlignment="1">
      <alignment horizontal="center" vertical="center"/>
    </xf>
    <xf numFmtId="2" fontId="4" fillId="0" borderId="0" xfId="6" applyNumberFormat="1" applyFont="1" applyAlignment="1">
      <alignment horizontal="center" vertical="center"/>
    </xf>
    <xf numFmtId="0" fontId="4" fillId="0" borderId="0" xfId="6" applyFont="1" applyAlignment="1">
      <alignment horizontal="left"/>
    </xf>
    <xf numFmtId="0" fontId="8" fillId="11" borderId="4" xfId="25" applyNumberFormat="1" applyFont="1" applyFill="1" applyBorder="1" applyAlignment="1" applyProtection="1">
      <alignment horizontal="center" vertical="center" wrapText="1"/>
    </xf>
    <xf numFmtId="0" fontId="25" fillId="11" borderId="4" xfId="25" applyNumberFormat="1" applyFont="1" applyFill="1" applyBorder="1" applyAlignment="1" applyProtection="1">
      <alignment horizontal="center" vertical="center" wrapText="1"/>
    </xf>
    <xf numFmtId="164" fontId="17" fillId="0" borderId="4" xfId="4" applyFont="1" applyBorder="1" applyAlignment="1" applyProtection="1">
      <alignment horizontal="center" vertical="center"/>
    </xf>
    <xf numFmtId="164" fontId="4" fillId="0" borderId="4" xfId="4" applyFont="1" applyBorder="1" applyAlignment="1" applyProtection="1">
      <alignment horizontal="center" vertical="center"/>
    </xf>
    <xf numFmtId="0" fontId="4" fillId="0" borderId="32" xfId="6" applyFont="1" applyBorder="1"/>
    <xf numFmtId="0" fontId="4" fillId="0" borderId="12" xfId="6" applyFont="1" applyBorder="1"/>
    <xf numFmtId="0" fontId="4" fillId="0" borderId="37" xfId="6" applyFont="1" applyBorder="1"/>
    <xf numFmtId="0" fontId="4" fillId="0" borderId="41" xfId="6" applyFont="1" applyBorder="1"/>
    <xf numFmtId="0" fontId="5" fillId="0" borderId="1" xfId="0" applyFont="1" applyBorder="1"/>
    <xf numFmtId="0" fontId="5" fillId="0" borderId="2" xfId="0" applyFont="1" applyBorder="1" applyAlignment="1">
      <alignment vertical="center"/>
    </xf>
    <xf numFmtId="0" fontId="5" fillId="0" borderId="42" xfId="0" applyFont="1" applyBorder="1" applyAlignment="1">
      <alignment vertical="center"/>
    </xf>
    <xf numFmtId="0" fontId="5" fillId="0" borderId="3" xfId="0" applyFont="1" applyBorder="1"/>
    <xf numFmtId="0" fontId="5" fillId="0" borderId="43" xfId="0" applyFont="1" applyBorder="1" applyAlignment="1">
      <alignment vertical="center"/>
    </xf>
    <xf numFmtId="0" fontId="13" fillId="0" borderId="3" xfId="0" applyFont="1" applyBorder="1"/>
    <xf numFmtId="0" fontId="27" fillId="0" borderId="17" xfId="0" applyFont="1" applyBorder="1" applyAlignment="1">
      <alignment horizontal="center"/>
    </xf>
    <xf numFmtId="0" fontId="27" fillId="0" borderId="4" xfId="0" applyFont="1" applyBorder="1" applyAlignment="1">
      <alignment horizontal="center"/>
    </xf>
    <xf numFmtId="0" fontId="27" fillId="0" borderId="19" xfId="0" applyFont="1" applyBorder="1" applyAlignment="1">
      <alignment horizontal="center"/>
    </xf>
    <xf numFmtId="0" fontId="28" fillId="11" borderId="17" xfId="0" applyFont="1" applyFill="1" applyBorder="1" applyAlignment="1">
      <alignment horizontal="center" vertical="center"/>
    </xf>
    <xf numFmtId="0" fontId="13" fillId="0" borderId="17" xfId="0" applyFont="1" applyBorder="1" applyAlignment="1">
      <alignment horizontal="center" vertical="center"/>
    </xf>
    <xf numFmtId="0" fontId="13" fillId="0" borderId="4" xfId="0" applyFont="1" applyBorder="1" applyAlignment="1">
      <alignment vertical="center"/>
    </xf>
    <xf numFmtId="10" fontId="13" fillId="2" borderId="19" xfId="7" applyNumberFormat="1" applyFont="1" applyFill="1" applyBorder="1" applyAlignment="1" applyProtection="1">
      <alignment horizontal="center" vertical="center"/>
      <protection locked="0"/>
    </xf>
    <xf numFmtId="10" fontId="13" fillId="0" borderId="19" xfId="7" applyNumberFormat="1" applyFont="1" applyBorder="1" applyAlignment="1">
      <alignment horizontal="center" vertical="center"/>
    </xf>
    <xf numFmtId="2" fontId="0" fillId="0" borderId="0" xfId="0" applyNumberFormat="1"/>
    <xf numFmtId="10" fontId="28" fillId="11" borderId="19" xfId="18" applyNumberFormat="1" applyFont="1" applyFill="1" applyBorder="1" applyAlignment="1" applyProtection="1">
      <alignment horizontal="center" vertical="center"/>
    </xf>
    <xf numFmtId="0" fontId="13" fillId="0" borderId="18" xfId="0" applyFont="1" applyBorder="1" applyAlignment="1">
      <alignment vertical="center"/>
    </xf>
    <xf numFmtId="10" fontId="22" fillId="13" borderId="19" xfId="3" applyNumberFormat="1" applyFont="1" applyFill="1" applyBorder="1" applyAlignment="1" applyProtection="1">
      <alignment horizontal="center" vertical="center"/>
    </xf>
    <xf numFmtId="10" fontId="29" fillId="0" borderId="19" xfId="7" applyNumberFormat="1" applyFont="1" applyBorder="1" applyAlignment="1">
      <alignment horizontal="center" vertical="center"/>
    </xf>
    <xf numFmtId="10" fontId="13" fillId="2" borderId="19" xfId="7" applyNumberFormat="1" applyFont="1" applyFill="1" applyBorder="1" applyAlignment="1">
      <alignment horizontal="center" vertical="center"/>
    </xf>
    <xf numFmtId="10" fontId="30" fillId="0" borderId="14" xfId="0" applyNumberFormat="1" applyFont="1" applyBorder="1" applyAlignment="1">
      <alignment horizontal="center" vertical="center"/>
    </xf>
    <xf numFmtId="10" fontId="31" fillId="0" borderId="19" xfId="0" applyNumberFormat="1" applyFont="1" applyBorder="1" applyAlignment="1">
      <alignment horizontal="center" vertical="center"/>
    </xf>
    <xf numFmtId="0" fontId="29" fillId="0" borderId="17" xfId="0" applyFont="1" applyBorder="1" applyAlignment="1">
      <alignment horizontal="center" vertical="center"/>
    </xf>
    <xf numFmtId="0" fontId="29" fillId="0" borderId="4" xfId="0" applyFont="1" applyBorder="1" applyAlignment="1">
      <alignment horizontal="left" vertical="center"/>
    </xf>
    <xf numFmtId="10" fontId="29" fillId="0" borderId="19" xfId="18" applyNumberFormat="1" applyFont="1" applyBorder="1" applyAlignment="1" applyProtection="1">
      <alignment horizontal="center" vertical="center"/>
    </xf>
    <xf numFmtId="0" fontId="12" fillId="14" borderId="17" xfId="5" applyFont="1" applyFill="1" applyBorder="1" applyAlignment="1">
      <alignment horizontal="center" vertical="center" wrapText="1"/>
    </xf>
    <xf numFmtId="0" fontId="12" fillId="14" borderId="4" xfId="5" applyFont="1" applyFill="1" applyBorder="1" applyAlignment="1">
      <alignment horizontal="center" vertical="center" wrapText="1"/>
    </xf>
    <xf numFmtId="0" fontId="11" fillId="14" borderId="19" xfId="5" applyFont="1" applyFill="1" applyBorder="1" applyAlignment="1">
      <alignment horizontal="center" vertical="center" wrapText="1"/>
    </xf>
    <xf numFmtId="10" fontId="12" fillId="14" borderId="4" xfId="5" applyNumberFormat="1" applyFont="1" applyFill="1" applyBorder="1" applyAlignment="1">
      <alignment horizontal="center" vertical="center" wrapText="1"/>
    </xf>
    <xf numFmtId="10" fontId="14" fillId="14" borderId="19" xfId="5" applyNumberFormat="1" applyFont="1" applyFill="1" applyBorder="1" applyAlignment="1">
      <alignment horizontal="center" vertical="center" wrapText="1"/>
    </xf>
    <xf numFmtId="0" fontId="13" fillId="0" borderId="17" xfId="5" applyFont="1" applyBorder="1" applyAlignment="1">
      <alignment horizontal="center" vertical="center" wrapText="1"/>
    </xf>
    <xf numFmtId="10" fontId="13" fillId="0" borderId="4" xfId="5" applyNumberFormat="1" applyFont="1" applyBorder="1" applyAlignment="1">
      <alignment horizontal="center" vertical="center" wrapText="1"/>
    </xf>
    <xf numFmtId="10" fontId="13" fillId="0" borderId="19" xfId="5" applyNumberFormat="1" applyFont="1" applyBorder="1" applyAlignment="1">
      <alignment horizontal="center" vertical="center" wrapText="1"/>
    </xf>
    <xf numFmtId="0" fontId="29" fillId="14" borderId="17" xfId="5" applyFont="1" applyFill="1" applyBorder="1" applyAlignment="1">
      <alignment horizontal="center" vertical="center" wrapText="1"/>
    </xf>
    <xf numFmtId="10" fontId="29" fillId="14" borderId="4" xfId="5" applyNumberFormat="1" applyFont="1" applyFill="1" applyBorder="1" applyAlignment="1">
      <alignment horizontal="center" vertical="center" wrapText="1"/>
    </xf>
    <xf numFmtId="10" fontId="29" fillId="14" borderId="19" xfId="5" applyNumberFormat="1" applyFont="1" applyFill="1" applyBorder="1" applyAlignment="1">
      <alignment horizontal="center" vertical="center" wrapText="1"/>
    </xf>
    <xf numFmtId="0" fontId="29" fillId="0" borderId="17" xfId="5" applyFont="1" applyBorder="1" applyAlignment="1">
      <alignment horizontal="center" vertical="center" wrapText="1"/>
    </xf>
    <xf numFmtId="10" fontId="29" fillId="0" borderId="4" xfId="5" applyNumberFormat="1" applyFont="1" applyBorder="1" applyAlignment="1">
      <alignment horizontal="center" vertical="center" wrapText="1"/>
    </xf>
    <xf numFmtId="10" fontId="33" fillId="0" borderId="19" xfId="5" applyNumberFormat="1" applyFont="1" applyBorder="1" applyAlignment="1">
      <alignment horizontal="center" vertical="center" wrapText="1"/>
    </xf>
    <xf numFmtId="0" fontId="22" fillId="13" borderId="3" xfId="0" applyFont="1" applyFill="1" applyBorder="1" applyAlignment="1">
      <alignment horizontal="left" vertical="center"/>
    </xf>
    <xf numFmtId="0" fontId="22" fillId="13" borderId="0" xfId="0" applyFont="1" applyFill="1"/>
    <xf numFmtId="0" fontId="22" fillId="13" borderId="43" xfId="0" applyFont="1" applyFill="1" applyBorder="1"/>
    <xf numFmtId="0" fontId="29" fillId="14" borderId="22" xfId="5" applyFont="1" applyFill="1" applyBorder="1" applyAlignment="1">
      <alignment horizontal="center" vertical="center" wrapText="1"/>
    </xf>
    <xf numFmtId="10" fontId="29" fillId="14" borderId="28" xfId="5" applyNumberFormat="1" applyFont="1" applyFill="1" applyBorder="1" applyAlignment="1">
      <alignment horizontal="center" vertical="center" wrapText="1"/>
    </xf>
    <xf numFmtId="10" fontId="33" fillId="14" borderId="29" xfId="5" applyNumberFormat="1" applyFont="1" applyFill="1" applyBorder="1" applyAlignment="1">
      <alignment horizontal="center" vertical="center" wrapText="1"/>
    </xf>
    <xf numFmtId="0" fontId="9" fillId="0" borderId="2" xfId="9" applyFont="1" applyBorder="1" applyAlignment="1">
      <alignment horizontal="center"/>
    </xf>
    <xf numFmtId="0" fontId="9" fillId="0" borderId="2" xfId="9" applyFont="1" applyBorder="1"/>
    <xf numFmtId="0" fontId="9" fillId="0" borderId="42" xfId="9" applyFont="1" applyBorder="1"/>
    <xf numFmtId="0" fontId="9" fillId="0" borderId="0" xfId="9" applyFont="1" applyAlignment="1">
      <alignment horizontal="center"/>
    </xf>
    <xf numFmtId="0" fontId="9" fillId="0" borderId="0" xfId="9" applyFont="1"/>
    <xf numFmtId="0" fontId="9" fillId="0" borderId="43" xfId="9" applyFont="1" applyBorder="1"/>
    <xf numFmtId="0" fontId="21" fillId="0" borderId="3" xfId="9" applyFont="1" applyBorder="1" applyAlignment="1">
      <alignment horizontal="center" vertical="center"/>
    </xf>
    <xf numFmtId="0" fontId="21" fillId="0" borderId="0" xfId="9" applyFont="1" applyAlignment="1">
      <alignment horizontal="center" vertical="center"/>
    </xf>
    <xf numFmtId="9" fontId="34" fillId="0" borderId="43" xfId="9" applyNumberFormat="1" applyFont="1" applyBorder="1" applyAlignment="1">
      <alignment horizontal="center" vertical="center"/>
    </xf>
    <xf numFmtId="0" fontId="10" fillId="11" borderId="17" xfId="9" applyFont="1" applyFill="1" applyBorder="1" applyAlignment="1">
      <alignment horizontal="center" vertical="center" wrapText="1"/>
    </xf>
    <xf numFmtId="0" fontId="10" fillId="11" borderId="4" xfId="9" applyFont="1" applyFill="1" applyBorder="1" applyAlignment="1">
      <alignment horizontal="center" vertical="center" wrapText="1"/>
    </xf>
    <xf numFmtId="4" fontId="10" fillId="11" borderId="4" xfId="9" applyNumberFormat="1" applyFont="1" applyFill="1" applyBorder="1" applyAlignment="1">
      <alignment horizontal="center" vertical="center" wrapText="1"/>
    </xf>
    <xf numFmtId="4" fontId="10" fillId="11" borderId="19" xfId="9" applyNumberFormat="1" applyFont="1" applyFill="1" applyBorder="1" applyAlignment="1">
      <alignment horizontal="center" vertical="center" wrapText="1"/>
    </xf>
    <xf numFmtId="4" fontId="12" fillId="2" borderId="4" xfId="1" applyNumberFormat="1" applyFont="1" applyFill="1" applyBorder="1" applyAlignment="1" applyProtection="1">
      <alignment horizontal="center" vertical="center"/>
      <protection locked="0"/>
    </xf>
    <xf numFmtId="4" fontId="12" fillId="0" borderId="4" xfId="1" applyNumberFormat="1" applyFont="1" applyBorder="1" applyAlignment="1" applyProtection="1">
      <alignment horizontal="center" vertical="center"/>
    </xf>
    <xf numFmtId="4" fontId="12" fillId="0" borderId="19" xfId="1" applyNumberFormat="1" applyFont="1" applyBorder="1" applyAlignment="1" applyProtection="1">
      <alignment horizontal="center" vertical="center"/>
    </xf>
    <xf numFmtId="4" fontId="31" fillId="11" borderId="29" xfId="1" applyNumberFormat="1" applyFont="1" applyFill="1" applyBorder="1" applyAlignment="1" applyProtection="1">
      <alignment horizontal="center" vertical="center"/>
    </xf>
    <xf numFmtId="0" fontId="12" fillId="0" borderId="4" xfId="9" applyFont="1" applyBorder="1" applyAlignment="1">
      <alignment horizontal="center" vertical="center"/>
    </xf>
    <xf numFmtId="4" fontId="12" fillId="0" borderId="0" xfId="9" applyNumberFormat="1" applyFont="1" applyAlignment="1">
      <alignment horizontal="center"/>
    </xf>
    <xf numFmtId="0" fontId="5" fillId="0" borderId="1" xfId="9" applyFont="1" applyBorder="1" applyAlignment="1">
      <alignment vertical="center"/>
    </xf>
    <xf numFmtId="0" fontId="12" fillId="0" borderId="2" xfId="9" applyFont="1" applyBorder="1" applyAlignment="1">
      <alignment vertical="center"/>
    </xf>
    <xf numFmtId="4" fontId="12" fillId="0" borderId="2" xfId="9" applyNumberFormat="1" applyFont="1" applyBorder="1" applyAlignment="1">
      <alignment horizontal="center" vertical="center"/>
    </xf>
    <xf numFmtId="4" fontId="12" fillId="0" borderId="2" xfId="9" applyNumberFormat="1" applyFont="1" applyBorder="1" applyAlignment="1">
      <alignment horizontal="center"/>
    </xf>
    <xf numFmtId="4" fontId="12" fillId="0" borderId="42" xfId="9" applyNumberFormat="1" applyFont="1" applyBorder="1" applyAlignment="1">
      <alignment horizontal="center"/>
    </xf>
    <xf numFmtId="0" fontId="5" fillId="0" borderId="3" xfId="9" applyFont="1" applyBorder="1" applyAlignment="1">
      <alignment vertical="center"/>
    </xf>
    <xf numFmtId="0" fontId="12" fillId="0" borderId="0" xfId="9" applyFont="1" applyAlignment="1">
      <alignment vertical="center"/>
    </xf>
    <xf numFmtId="4" fontId="12" fillId="0" borderId="0" xfId="9" applyNumberFormat="1" applyFont="1" applyAlignment="1">
      <alignment horizontal="center" vertical="center"/>
    </xf>
    <xf numFmtId="4" fontId="12" fillId="0" borderId="43" xfId="9" applyNumberFormat="1" applyFont="1" applyBorder="1" applyAlignment="1">
      <alignment horizontal="center"/>
    </xf>
    <xf numFmtId="0" fontId="13" fillId="0" borderId="3" xfId="9" applyFont="1" applyBorder="1"/>
    <xf numFmtId="0" fontId="13" fillId="0" borderId="0" xfId="9" applyFont="1"/>
    <xf numFmtId="0" fontId="12" fillId="11" borderId="52" xfId="9" applyFont="1" applyFill="1" applyBorder="1" applyAlignment="1">
      <alignment vertical="center" wrapText="1"/>
    </xf>
    <xf numFmtId="0" fontId="13" fillId="0" borderId="17" xfId="9" applyFont="1" applyBorder="1" applyAlignment="1">
      <alignment horizontal="center" vertical="center"/>
    </xf>
    <xf numFmtId="0" fontId="13" fillId="0" borderId="4" xfId="9" applyFont="1" applyBorder="1" applyAlignment="1">
      <alignment horizontal="center" vertical="center" wrapText="1"/>
    </xf>
    <xf numFmtId="0" fontId="13" fillId="0" borderId="54" xfId="9" applyFont="1" applyBorder="1" applyAlignment="1">
      <alignment horizontal="center" vertical="center"/>
    </xf>
    <xf numFmtId="1" fontId="12" fillId="0" borderId="4" xfId="9" applyNumberFormat="1" applyFont="1" applyBorder="1" applyAlignment="1" applyProtection="1">
      <alignment horizontal="center" vertical="center"/>
      <protection locked="0"/>
    </xf>
    <xf numFmtId="4" fontId="12" fillId="11" borderId="4" xfId="22" applyNumberFormat="1" applyFont="1" applyFill="1" applyBorder="1" applyAlignment="1" applyProtection="1">
      <alignment horizontal="center" vertical="center"/>
    </xf>
    <xf numFmtId="4" fontId="12" fillId="0" borderId="4" xfId="22" applyNumberFormat="1" applyFont="1" applyBorder="1" applyAlignment="1" applyProtection="1">
      <alignment horizontal="center" vertical="center"/>
    </xf>
    <xf numFmtId="4" fontId="12" fillId="0" borderId="19" xfId="22" applyNumberFormat="1" applyFont="1" applyBorder="1" applyAlignment="1" applyProtection="1">
      <alignment horizontal="center" vertical="center"/>
    </xf>
    <xf numFmtId="10" fontId="12" fillId="0" borderId="4" xfId="9" applyNumberFormat="1" applyFont="1" applyBorder="1" applyAlignment="1" applyProtection="1">
      <alignment horizontal="center" vertical="center"/>
      <protection locked="0"/>
    </xf>
    <xf numFmtId="0" fontId="12" fillId="0" borderId="40" xfId="9" applyFont="1" applyBorder="1" applyAlignment="1" applyProtection="1">
      <alignment vertical="center" wrapText="1"/>
      <protection locked="0"/>
    </xf>
    <xf numFmtId="10" fontId="12" fillId="0" borderId="40" xfId="9" applyNumberFormat="1" applyFont="1" applyBorder="1" applyAlignment="1" applyProtection="1">
      <alignment horizontal="center" vertical="center" wrapText="1"/>
      <protection locked="0"/>
    </xf>
    <xf numFmtId="4" fontId="12" fillId="11" borderId="40" xfId="22" applyNumberFormat="1" applyFont="1" applyFill="1" applyBorder="1" applyAlignment="1" applyProtection="1">
      <alignment horizontal="center" vertical="center"/>
    </xf>
    <xf numFmtId="4" fontId="12" fillId="0" borderId="40" xfId="22" applyNumberFormat="1" applyFont="1" applyBorder="1" applyAlignment="1" applyProtection="1">
      <alignment horizontal="center" vertical="center"/>
    </xf>
    <xf numFmtId="4" fontId="12" fillId="0" borderId="55" xfId="22" applyNumberFormat="1" applyFont="1" applyBorder="1" applyAlignment="1" applyProtection="1">
      <alignment horizontal="center" vertical="center"/>
    </xf>
    <xf numFmtId="4" fontId="10" fillId="11" borderId="4" xfId="22" applyNumberFormat="1" applyFont="1" applyFill="1" applyBorder="1" applyAlignment="1" applyProtection="1">
      <alignment horizontal="center" vertical="center"/>
    </xf>
    <xf numFmtId="4" fontId="10" fillId="11" borderId="19" xfId="22" applyNumberFormat="1" applyFont="1" applyFill="1" applyBorder="1" applyAlignment="1" applyProtection="1">
      <alignment horizontal="center" vertical="center"/>
    </xf>
    <xf numFmtId="10" fontId="12" fillId="0" borderId="12" xfId="9" applyNumberFormat="1" applyFont="1" applyBorder="1" applyAlignment="1" applyProtection="1">
      <alignment horizontal="center" vertical="center"/>
      <protection locked="0"/>
    </xf>
    <xf numFmtId="4" fontId="10" fillId="11" borderId="7" xfId="22" applyNumberFormat="1" applyFont="1" applyFill="1" applyBorder="1" applyAlignment="1" applyProtection="1">
      <alignment horizontal="center" vertical="center"/>
    </xf>
    <xf numFmtId="4" fontId="10" fillId="11" borderId="8" xfId="22" applyNumberFormat="1" applyFont="1" applyFill="1" applyBorder="1" applyAlignment="1" applyProtection="1">
      <alignment horizontal="center" vertical="center"/>
    </xf>
    <xf numFmtId="0" fontId="12" fillId="0" borderId="17" xfId="9" applyFont="1" applyBorder="1" applyAlignment="1">
      <alignment horizontal="left" vertical="center"/>
    </xf>
    <xf numFmtId="2" fontId="12" fillId="0" borderId="4" xfId="9" applyNumberFormat="1" applyFont="1" applyBorder="1" applyAlignment="1">
      <alignment horizontal="center" vertical="center"/>
    </xf>
    <xf numFmtId="2" fontId="12" fillId="0" borderId="4" xfId="1" applyNumberFormat="1" applyFont="1" applyBorder="1" applyAlignment="1" applyProtection="1">
      <alignment horizontal="center" vertical="center"/>
    </xf>
    <xf numFmtId="2" fontId="12" fillId="0" borderId="4" xfId="22" applyNumberFormat="1" applyFont="1" applyBorder="1" applyAlignment="1" applyProtection="1">
      <alignment horizontal="center" vertical="center"/>
    </xf>
    <xf numFmtId="10" fontId="12" fillId="0" borderId="4" xfId="3" applyNumberFormat="1" applyFont="1" applyBorder="1" applyAlignment="1" applyProtection="1">
      <alignment horizontal="center" vertical="center"/>
    </xf>
    <xf numFmtId="4" fontId="12" fillId="0" borderId="4" xfId="1" applyNumberFormat="1" applyFont="1" applyBorder="1" applyAlignment="1" applyProtection="1">
      <alignment horizontal="center" vertical="center"/>
      <protection locked="0"/>
    </xf>
    <xf numFmtId="165" fontId="12" fillId="0" borderId="0" xfId="22" applyFont="1" applyBorder="1" applyAlignment="1" applyProtection="1">
      <alignment vertical="center"/>
    </xf>
    <xf numFmtId="0" fontId="12" fillId="0" borderId="4" xfId="9" applyFont="1" applyBorder="1" applyAlignment="1">
      <alignment horizontal="left" vertical="center"/>
    </xf>
    <xf numFmtId="2" fontId="12" fillId="0" borderId="40" xfId="1" applyNumberFormat="1" applyFont="1" applyBorder="1" applyAlignment="1" applyProtection="1">
      <alignment horizontal="center" vertical="center"/>
    </xf>
    <xf numFmtId="2" fontId="12" fillId="0" borderId="40" xfId="22" applyNumberFormat="1" applyFont="1" applyBorder="1" applyAlignment="1" applyProtection="1">
      <alignment horizontal="center" vertical="center"/>
    </xf>
    <xf numFmtId="0" fontId="12" fillId="0" borderId="18" xfId="9" applyFont="1" applyBorder="1" applyAlignment="1">
      <alignment horizontal="center" vertical="center" wrapText="1"/>
    </xf>
    <xf numFmtId="0" fontId="12" fillId="0" borderId="35" xfId="9" applyFont="1" applyBorder="1" applyAlignment="1">
      <alignment vertical="center"/>
    </xf>
    <xf numFmtId="0" fontId="12" fillId="0" borderId="49" xfId="9" applyFont="1" applyBorder="1" applyAlignment="1">
      <alignment vertical="center"/>
    </xf>
    <xf numFmtId="10" fontId="12" fillId="0" borderId="4" xfId="9" applyNumberFormat="1" applyFont="1" applyBorder="1" applyAlignment="1">
      <alignment horizontal="center" vertical="center"/>
    </xf>
    <xf numFmtId="4" fontId="12" fillId="0" borderId="49" xfId="9" applyNumberFormat="1" applyFont="1" applyBorder="1" applyAlignment="1">
      <alignment vertical="center"/>
    </xf>
    <xf numFmtId="0" fontId="12" fillId="0" borderId="47" xfId="9" applyFont="1" applyBorder="1" applyAlignment="1">
      <alignment vertical="center"/>
    </xf>
    <xf numFmtId="0" fontId="12" fillId="0" borderId="30" xfId="9" applyFont="1" applyBorder="1" applyAlignment="1">
      <alignment vertical="center"/>
    </xf>
    <xf numFmtId="10" fontId="12" fillId="0" borderId="40" xfId="9" applyNumberFormat="1" applyFont="1" applyBorder="1" applyAlignment="1">
      <alignment horizontal="center" vertical="center"/>
    </xf>
    <xf numFmtId="4" fontId="12" fillId="0" borderId="30" xfId="9" applyNumberFormat="1" applyFont="1" applyBorder="1" applyAlignment="1">
      <alignment vertical="center"/>
    </xf>
    <xf numFmtId="0" fontId="10" fillId="11" borderId="57" xfId="9" applyFont="1" applyFill="1" applyBorder="1" applyAlignment="1">
      <alignment vertical="center"/>
    </xf>
    <xf numFmtId="0" fontId="10" fillId="11" borderId="58" xfId="9" applyFont="1" applyFill="1" applyBorder="1" applyAlignment="1">
      <alignment vertical="center"/>
    </xf>
    <xf numFmtId="10" fontId="10" fillId="11" borderId="7" xfId="9" applyNumberFormat="1" applyFont="1" applyFill="1" applyBorder="1" applyAlignment="1">
      <alignment horizontal="center" vertical="center"/>
    </xf>
    <xf numFmtId="4" fontId="10" fillId="11" borderId="7" xfId="9" applyNumberFormat="1" applyFont="1" applyFill="1" applyBorder="1" applyAlignment="1">
      <alignment vertical="center"/>
    </xf>
    <xf numFmtId="4" fontId="10" fillId="11" borderId="59" xfId="22" applyNumberFormat="1" applyFont="1" applyFill="1" applyBorder="1" applyAlignment="1" applyProtection="1">
      <alignment horizontal="center" vertical="center"/>
    </xf>
    <xf numFmtId="4" fontId="10" fillId="11" borderId="25" xfId="22" applyNumberFormat="1" applyFont="1" applyFill="1" applyBorder="1" applyAlignment="1" applyProtection="1">
      <alignment horizontal="center" vertical="center"/>
    </xf>
    <xf numFmtId="4" fontId="12" fillId="0" borderId="4" xfId="9" applyNumberFormat="1" applyFont="1" applyBorder="1" applyAlignment="1">
      <alignment horizontal="center" vertical="center"/>
    </xf>
    <xf numFmtId="10" fontId="10" fillId="11" borderId="40" xfId="9" applyNumberFormat="1" applyFont="1" applyFill="1" applyBorder="1" applyAlignment="1">
      <alignment horizontal="center" vertical="center"/>
    </xf>
    <xf numFmtId="4" fontId="10" fillId="11" borderId="40" xfId="9" applyNumberFormat="1" applyFont="1" applyFill="1" applyBorder="1" applyAlignment="1">
      <alignment horizontal="center" vertical="center"/>
    </xf>
    <xf numFmtId="4" fontId="10" fillId="11" borderId="56" xfId="22" applyNumberFormat="1" applyFont="1" applyFill="1" applyBorder="1" applyAlignment="1" applyProtection="1">
      <alignment horizontal="center" vertical="center"/>
    </xf>
    <xf numFmtId="4" fontId="10" fillId="11" borderId="61" xfId="22" applyNumberFormat="1" applyFont="1" applyFill="1" applyBorder="1" applyAlignment="1" applyProtection="1">
      <alignment horizontal="center" vertical="center"/>
    </xf>
    <xf numFmtId="4" fontId="21" fillId="11" borderId="4" xfId="22" applyNumberFormat="1" applyFont="1" applyFill="1" applyBorder="1" applyAlignment="1" applyProtection="1">
      <alignment horizontal="center" vertical="center"/>
    </xf>
    <xf numFmtId="4" fontId="21" fillId="11" borderId="19" xfId="22" applyNumberFormat="1" applyFont="1" applyFill="1" applyBorder="1" applyAlignment="1" applyProtection="1">
      <alignment horizontal="center" vertical="center"/>
    </xf>
    <xf numFmtId="166" fontId="12" fillId="0" borderId="0" xfId="9" applyNumberFormat="1" applyFont="1"/>
    <xf numFmtId="2" fontId="21" fillId="11" borderId="28" xfId="17" applyNumberFormat="1" applyFont="1" applyFill="1" applyBorder="1" applyAlignment="1" applyProtection="1">
      <alignment horizontal="center" vertical="center"/>
    </xf>
    <xf numFmtId="164" fontId="10" fillId="12" borderId="29" xfId="2" applyFont="1" applyFill="1" applyBorder="1" applyAlignment="1" applyProtection="1">
      <alignment horizontal="center" vertical="center"/>
    </xf>
    <xf numFmtId="166" fontId="12" fillId="0" borderId="4" xfId="9" applyNumberFormat="1" applyFont="1" applyBorder="1" applyAlignment="1" applyProtection="1">
      <alignment horizontal="center" vertical="center"/>
      <protection locked="0"/>
    </xf>
    <xf numFmtId="0" fontId="5" fillId="0" borderId="2" xfId="0" applyFont="1" applyBorder="1"/>
    <xf numFmtId="0" fontId="12" fillId="0" borderId="2" xfId="0" applyFont="1" applyBorder="1"/>
    <xf numFmtId="0" fontId="4" fillId="0" borderId="2" xfId="6" applyFont="1" applyBorder="1"/>
    <xf numFmtId="0" fontId="4" fillId="0" borderId="42" xfId="6" applyFont="1" applyBorder="1"/>
    <xf numFmtId="0" fontId="4" fillId="0" borderId="3" xfId="6" applyFont="1" applyBorder="1"/>
    <xf numFmtId="0" fontId="4" fillId="0" borderId="43" xfId="6" applyFont="1" applyBorder="1"/>
    <xf numFmtId="0" fontId="35" fillId="0" borderId="0" xfId="6" applyFont="1" applyAlignment="1">
      <alignment vertical="center"/>
    </xf>
    <xf numFmtId="0" fontId="9" fillId="11" borderId="57" xfId="6" applyFont="1" applyFill="1" applyBorder="1" applyAlignment="1">
      <alignment vertical="center"/>
    </xf>
    <xf numFmtId="0" fontId="36" fillId="11" borderId="58" xfId="6" applyFont="1" applyFill="1" applyBorder="1" applyAlignment="1">
      <alignment vertical="center" wrapText="1"/>
    </xf>
    <xf numFmtId="0" fontId="23" fillId="11" borderId="58" xfId="6" applyFont="1" applyFill="1" applyBorder="1" applyAlignment="1">
      <alignment vertical="center"/>
    </xf>
    <xf numFmtId="0" fontId="21" fillId="11" borderId="58" xfId="6" applyFont="1" applyFill="1" applyBorder="1" applyAlignment="1">
      <alignment vertical="center"/>
    </xf>
    <xf numFmtId="0" fontId="9" fillId="11" borderId="58" xfId="6" applyFont="1" applyFill="1" applyBorder="1" applyAlignment="1">
      <alignment vertical="center"/>
    </xf>
    <xf numFmtId="0" fontId="8" fillId="11" borderId="2" xfId="6" applyFont="1" applyFill="1" applyBorder="1" applyAlignment="1">
      <alignment horizontal="center" vertical="center" wrapText="1"/>
    </xf>
    <xf numFmtId="0" fontId="12" fillId="11" borderId="22" xfId="6" applyFont="1" applyFill="1" applyBorder="1" applyAlignment="1">
      <alignment horizontal="center" vertical="center" wrapText="1"/>
    </xf>
    <xf numFmtId="0" fontId="13" fillId="11" borderId="29" xfId="6" applyFont="1" applyFill="1" applyBorder="1" applyAlignment="1">
      <alignment horizontal="center" vertical="center" wrapText="1"/>
    </xf>
    <xf numFmtId="0" fontId="12" fillId="11" borderId="22" xfId="6" applyFont="1" applyFill="1" applyBorder="1" applyAlignment="1">
      <alignment horizontal="center" vertical="center"/>
    </xf>
    <xf numFmtId="0" fontId="12" fillId="11" borderId="28" xfId="6" applyFont="1" applyFill="1" applyBorder="1" applyAlignment="1">
      <alignment horizontal="center" vertical="center" wrapText="1"/>
    </xf>
    <xf numFmtId="0" fontId="12" fillId="11" borderId="65" xfId="6" applyFont="1" applyFill="1" applyBorder="1" applyAlignment="1">
      <alignment horizontal="center" vertical="center" wrapText="1"/>
    </xf>
    <xf numFmtId="0" fontId="13" fillId="11" borderId="65" xfId="6" applyFont="1" applyFill="1" applyBorder="1" applyAlignment="1">
      <alignment horizontal="center" vertical="center" wrapText="1"/>
    </xf>
    <xf numFmtId="0" fontId="12" fillId="11" borderId="29" xfId="6" applyFont="1" applyFill="1" applyBorder="1" applyAlignment="1">
      <alignment horizontal="center" vertical="center" wrapText="1"/>
    </xf>
    <xf numFmtId="1" fontId="4" fillId="0" borderId="12" xfId="6" applyNumberFormat="1" applyFont="1" applyBorder="1" applyAlignment="1">
      <alignment horizontal="center" vertical="center"/>
    </xf>
    <xf numFmtId="1" fontId="4" fillId="0" borderId="11" xfId="6" applyNumberFormat="1" applyFont="1" applyBorder="1" applyAlignment="1">
      <alignment horizontal="center" vertical="center"/>
    </xf>
    <xf numFmtId="166" fontId="8" fillId="0" borderId="12" xfId="1" applyFont="1" applyBorder="1" applyAlignment="1" applyProtection="1">
      <alignment horizontal="center" vertical="center"/>
    </xf>
    <xf numFmtId="166" fontId="8" fillId="0" borderId="13" xfId="1" applyFont="1" applyBorder="1" applyAlignment="1" applyProtection="1">
      <alignment horizontal="center" vertical="center"/>
    </xf>
    <xf numFmtId="166" fontId="4" fillId="0" borderId="12" xfId="1" applyFont="1" applyBorder="1" applyAlignment="1" applyProtection="1">
      <alignment horizontal="center" vertical="center"/>
    </xf>
    <xf numFmtId="164" fontId="4" fillId="0" borderId="67" xfId="2" applyFont="1" applyBorder="1" applyAlignment="1" applyProtection="1">
      <alignment horizontal="right" vertical="center"/>
    </xf>
    <xf numFmtId="166" fontId="8" fillId="0" borderId="4" xfId="1" applyFont="1" applyBorder="1" applyAlignment="1" applyProtection="1">
      <alignment horizontal="center" vertical="center"/>
    </xf>
    <xf numFmtId="166" fontId="8" fillId="0" borderId="19" xfId="1" applyFont="1" applyBorder="1" applyAlignment="1" applyProtection="1">
      <alignment horizontal="center" vertical="center"/>
    </xf>
    <xf numFmtId="4" fontId="4" fillId="0" borderId="21" xfId="6" applyNumberFormat="1" applyFont="1" applyBorder="1" applyAlignment="1">
      <alignment horizontal="center" vertical="center"/>
    </xf>
    <xf numFmtId="166" fontId="8" fillId="11" borderId="4" xfId="1" applyFont="1" applyFill="1" applyBorder="1" applyAlignment="1" applyProtection="1">
      <alignment horizontal="center" vertical="center"/>
    </xf>
    <xf numFmtId="166" fontId="8" fillId="11" borderId="19" xfId="1" applyFont="1" applyFill="1" applyBorder="1" applyAlignment="1" applyProtection="1">
      <alignment horizontal="center" vertical="center"/>
    </xf>
    <xf numFmtId="0" fontId="10" fillId="0" borderId="3" xfId="6" applyFont="1" applyBorder="1" applyAlignment="1">
      <alignment vertical="center"/>
    </xf>
    <xf numFmtId="0" fontId="10" fillId="0" borderId="0" xfId="6" applyFont="1" applyAlignment="1">
      <alignment vertical="center"/>
    </xf>
    <xf numFmtId="164" fontId="9" fillId="11" borderId="46" xfId="2" applyFont="1" applyFill="1" applyBorder="1" applyAlignment="1" applyProtection="1">
      <alignment vertical="center"/>
    </xf>
    <xf numFmtId="164" fontId="21" fillId="11" borderId="9" xfId="2" applyFont="1" applyFill="1" applyBorder="1" applyAlignment="1" applyProtection="1">
      <alignment vertical="center"/>
    </xf>
    <xf numFmtId="0" fontId="12" fillId="0" borderId="0" xfId="6" applyFont="1"/>
    <xf numFmtId="0" fontId="12" fillId="0" borderId="0" xfId="6" applyFont="1" applyAlignment="1">
      <alignment vertical="top"/>
    </xf>
    <xf numFmtId="0" fontId="12" fillId="0" borderId="0" xfId="13" applyFont="1"/>
    <xf numFmtId="0" fontId="9" fillId="0" borderId="0" xfId="13" applyFont="1"/>
    <xf numFmtId="0" fontId="29" fillId="0" borderId="0" xfId="13" applyFont="1" applyAlignment="1">
      <alignment vertical="center"/>
    </xf>
    <xf numFmtId="0" fontId="10" fillId="0" borderId="0" xfId="13" applyFont="1"/>
    <xf numFmtId="10" fontId="30" fillId="0" borderId="4" xfId="13" applyNumberFormat="1" applyFont="1" applyBorder="1" applyAlignment="1">
      <alignment horizontal="center" vertical="center"/>
    </xf>
    <xf numFmtId="4" fontId="12" fillId="8" borderId="4" xfId="30" applyNumberFormat="1" applyFont="1" applyFill="1" applyBorder="1" applyAlignment="1" applyProtection="1">
      <alignment vertical="center"/>
    </xf>
    <xf numFmtId="10" fontId="31" fillId="0" borderId="4" xfId="13" applyNumberFormat="1" applyFont="1" applyBorder="1" applyAlignment="1">
      <alignment horizontal="center" vertical="center"/>
    </xf>
    <xf numFmtId="4" fontId="10" fillId="8" borderId="4" xfId="30" applyNumberFormat="1" applyFont="1" applyFill="1" applyBorder="1" applyAlignment="1" applyProtection="1">
      <alignment horizontal="right" vertical="center"/>
    </xf>
    <xf numFmtId="0" fontId="31" fillId="11" borderId="4" xfId="13" applyFont="1" applyFill="1" applyBorder="1" applyAlignment="1" applyProtection="1">
      <alignment vertical="center"/>
      <protection locked="0"/>
    </xf>
    <xf numFmtId="0" fontId="12" fillId="0" borderId="4" xfId="13" applyFont="1" applyBorder="1" applyAlignment="1" applyProtection="1">
      <alignment vertical="center"/>
      <protection locked="0"/>
    </xf>
    <xf numFmtId="4" fontId="12" fillId="0" borderId="4" xfId="13" applyNumberFormat="1" applyFont="1" applyBorder="1" applyAlignment="1" applyProtection="1">
      <alignment vertical="center"/>
      <protection locked="0"/>
    </xf>
    <xf numFmtId="4" fontId="31" fillId="0" borderId="4" xfId="13" applyNumberFormat="1" applyFont="1" applyBorder="1" applyAlignment="1" applyProtection="1">
      <alignment vertical="center"/>
      <protection locked="0"/>
    </xf>
    <xf numFmtId="10" fontId="31" fillId="11" borderId="4" xfId="13" applyNumberFormat="1" applyFont="1" applyFill="1" applyBorder="1" applyAlignment="1">
      <alignment horizontal="center" vertical="center"/>
    </xf>
    <xf numFmtId="10" fontId="12" fillId="0" borderId="4" xfId="13" applyNumberFormat="1" applyFont="1" applyBorder="1" applyAlignment="1" applyProtection="1">
      <alignment vertical="center" wrapText="1"/>
      <protection locked="0"/>
    </xf>
    <xf numFmtId="4" fontId="12" fillId="8" borderId="4" xfId="13" applyNumberFormat="1" applyFont="1" applyFill="1" applyBorder="1" applyAlignment="1">
      <alignment horizontal="right" vertical="center"/>
    </xf>
    <xf numFmtId="10" fontId="31" fillId="0" borderId="4" xfId="13" applyNumberFormat="1" applyFont="1" applyBorder="1" applyAlignment="1" applyProtection="1">
      <alignment vertical="center" wrapText="1"/>
      <protection locked="0"/>
    </xf>
    <xf numFmtId="4" fontId="31" fillId="8" borderId="4" xfId="13" applyNumberFormat="1" applyFont="1" applyFill="1" applyBorder="1" applyAlignment="1" applyProtection="1">
      <alignment horizontal="right" vertical="center"/>
      <protection locked="0"/>
    </xf>
    <xf numFmtId="0" fontId="12" fillId="0" borderId="4" xfId="13" applyFont="1" applyBorder="1" applyAlignment="1">
      <alignment vertical="center"/>
    </xf>
    <xf numFmtId="4" fontId="30" fillId="8" borderId="4" xfId="13" applyNumberFormat="1" applyFont="1" applyFill="1" applyBorder="1" applyAlignment="1">
      <alignment vertical="center"/>
    </xf>
    <xf numFmtId="0" fontId="31" fillId="0" borderId="4" xfId="13" applyFont="1" applyBorder="1" applyAlignment="1">
      <alignment vertical="center"/>
    </xf>
    <xf numFmtId="4" fontId="31" fillId="8" borderId="4" xfId="13" applyNumberFormat="1" applyFont="1" applyFill="1" applyBorder="1" applyAlignment="1">
      <alignment vertical="center"/>
    </xf>
    <xf numFmtId="0" fontId="29" fillId="0" borderId="18" xfId="0" applyFont="1" applyBorder="1" applyAlignment="1">
      <alignment horizontal="right" vertical="center"/>
    </xf>
    <xf numFmtId="0" fontId="10" fillId="15" borderId="4" xfId="0" applyFont="1" applyFill="1" applyBorder="1" applyAlignment="1">
      <alignment horizontal="center" vertical="center" wrapText="1"/>
    </xf>
    <xf numFmtId="0" fontId="32" fillId="15" borderId="4" xfId="0" applyFont="1" applyFill="1" applyBorder="1" applyAlignment="1">
      <alignment horizontal="center" vertical="center"/>
    </xf>
    <xf numFmtId="0" fontId="8" fillId="15" borderId="4" xfId="0" applyFont="1" applyFill="1" applyBorder="1" applyAlignment="1">
      <alignment horizontal="center" vertical="center"/>
    </xf>
    <xf numFmtId="0" fontId="20" fillId="0" borderId="4" xfId="0" applyFont="1" applyBorder="1" applyAlignment="1">
      <alignment horizontal="center" vertical="center"/>
    </xf>
    <xf numFmtId="10" fontId="32" fillId="0" borderId="4" xfId="0" applyNumberFormat="1" applyFont="1" applyBorder="1" applyAlignment="1">
      <alignment horizontal="center" vertical="center"/>
    </xf>
    <xf numFmtId="0" fontId="32" fillId="0" borderId="4" xfId="0" applyFont="1" applyBorder="1" applyAlignment="1">
      <alignment horizontal="center" vertical="center"/>
    </xf>
    <xf numFmtId="4" fontId="4" fillId="0" borderId="4" xfId="0" applyNumberFormat="1" applyFont="1" applyBorder="1" applyAlignment="1">
      <alignment horizontal="center"/>
    </xf>
    <xf numFmtId="0" fontId="20" fillId="0" borderId="12" xfId="0" applyFont="1" applyBorder="1" applyAlignment="1">
      <alignment horizontal="center" vertical="center"/>
    </xf>
    <xf numFmtId="10" fontId="32" fillId="0" borderId="12" xfId="0" applyNumberFormat="1" applyFont="1" applyBorder="1" applyAlignment="1">
      <alignment horizontal="center" vertical="center"/>
    </xf>
    <xf numFmtId="0" fontId="32" fillId="0" borderId="12" xfId="0" applyFont="1" applyBorder="1" applyAlignment="1">
      <alignment horizontal="center" vertical="center"/>
    </xf>
    <xf numFmtId="10" fontId="40" fillId="8" borderId="4" xfId="16" applyNumberFormat="1" applyFont="1" applyFill="1" applyBorder="1" applyAlignment="1" applyProtection="1">
      <alignment horizontal="center" vertical="center"/>
    </xf>
    <xf numFmtId="0" fontId="31" fillId="11" borderId="4" xfId="13" applyFont="1" applyFill="1" applyBorder="1" applyAlignment="1" applyProtection="1">
      <alignment horizontal="center" vertical="center"/>
      <protection locked="0"/>
    </xf>
    <xf numFmtId="166" fontId="4" fillId="8" borderId="12" xfId="6" applyNumberFormat="1" applyFont="1" applyFill="1" applyBorder="1" applyAlignment="1">
      <alignment horizontal="center" vertical="center"/>
    </xf>
    <xf numFmtId="1" fontId="21" fillId="11" borderId="24" xfId="6" applyNumberFormat="1" applyFont="1" applyFill="1" applyBorder="1" applyAlignment="1">
      <alignment horizontal="center" vertical="center"/>
    </xf>
    <xf numFmtId="4" fontId="21" fillId="11" borderId="59" xfId="6" applyNumberFormat="1" applyFont="1" applyFill="1" applyBorder="1" applyAlignment="1">
      <alignment horizontal="center" vertical="center"/>
    </xf>
    <xf numFmtId="4" fontId="21" fillId="11" borderId="23" xfId="6" applyNumberFormat="1" applyFont="1" applyFill="1" applyBorder="1" applyAlignment="1">
      <alignment horizontal="center" vertical="center"/>
    </xf>
    <xf numFmtId="4" fontId="21" fillId="11" borderId="24" xfId="6" applyNumberFormat="1" applyFont="1" applyFill="1" applyBorder="1" applyAlignment="1">
      <alignment horizontal="center" vertical="center"/>
    </xf>
    <xf numFmtId="4" fontId="21" fillId="11" borderId="25" xfId="6" applyNumberFormat="1" applyFont="1" applyFill="1" applyBorder="1" applyAlignment="1">
      <alignment horizontal="center" vertical="center"/>
    </xf>
    <xf numFmtId="166" fontId="21" fillId="11" borderId="68" xfId="1" applyFont="1" applyFill="1" applyBorder="1" applyAlignment="1" applyProtection="1">
      <alignment horizontal="center" vertical="center"/>
    </xf>
    <xf numFmtId="4" fontId="21" fillId="11" borderId="68" xfId="6" applyNumberFormat="1" applyFont="1" applyFill="1" applyBorder="1" applyAlignment="1">
      <alignment horizontal="center" vertical="center"/>
    </xf>
    <xf numFmtId="164" fontId="21" fillId="17" borderId="69" xfId="2" applyFont="1" applyFill="1" applyBorder="1" applyAlignment="1" applyProtection="1">
      <alignment horizontal="center" vertical="center"/>
    </xf>
    <xf numFmtId="4" fontId="4" fillId="0" borderId="4" xfId="6" applyNumberFormat="1" applyFont="1" applyBorder="1" applyAlignment="1">
      <alignment horizontal="center" vertical="center"/>
    </xf>
    <xf numFmtId="0" fontId="4" fillId="0" borderId="16" xfId="6" applyFont="1" applyBorder="1" applyAlignment="1">
      <alignment vertical="center" wrapText="1"/>
    </xf>
    <xf numFmtId="166" fontId="4" fillId="0" borderId="21" xfId="1" applyFont="1" applyBorder="1" applyAlignment="1" applyProtection="1">
      <alignment horizontal="center" vertical="center"/>
    </xf>
    <xf numFmtId="166" fontId="8" fillId="11" borderId="21" xfId="1" applyFont="1" applyFill="1" applyBorder="1" applyAlignment="1" applyProtection="1">
      <alignment horizontal="center" vertical="center"/>
    </xf>
    <xf numFmtId="166" fontId="21" fillId="11" borderId="46" xfId="1" applyFont="1" applyFill="1" applyBorder="1" applyAlignment="1" applyProtection="1">
      <alignment horizontal="center" vertical="center"/>
    </xf>
    <xf numFmtId="0" fontId="14" fillId="24" borderId="20" xfId="25" applyNumberFormat="1" applyFont="1" applyFill="1" applyBorder="1" applyAlignment="1" applyProtection="1">
      <alignment horizontal="center" vertical="center"/>
      <protection locked="0"/>
    </xf>
    <xf numFmtId="164" fontId="12" fillId="19" borderId="4" xfId="4" applyFont="1" applyFill="1" applyBorder="1" applyAlignment="1" applyProtection="1">
      <alignment horizontal="center" vertical="center"/>
    </xf>
    <xf numFmtId="1" fontId="43" fillId="0" borderId="17" xfId="12" applyNumberFormat="1" applyFont="1" applyBorder="1" applyAlignment="1">
      <alignment horizontal="center" vertical="center" wrapText="1"/>
    </xf>
    <xf numFmtId="1" fontId="43" fillId="8" borderId="17" xfId="12" applyNumberFormat="1" applyFont="1" applyFill="1" applyBorder="1" applyAlignment="1">
      <alignment horizontal="center" vertical="center" wrapText="1"/>
    </xf>
    <xf numFmtId="0" fontId="45" fillId="6" borderId="12" xfId="25" applyNumberFormat="1" applyFont="1" applyFill="1" applyBorder="1" applyAlignment="1" applyProtection="1">
      <alignment horizontal="center" vertical="center"/>
      <protection locked="0"/>
    </xf>
    <xf numFmtId="165" fontId="44" fillId="0" borderId="14" xfId="20" applyFont="1" applyBorder="1" applyAlignment="1" applyProtection="1">
      <alignment vertical="center"/>
    </xf>
    <xf numFmtId="167" fontId="44" fillId="0" borderId="12" xfId="15" applyNumberFormat="1" applyFont="1" applyBorder="1" applyAlignment="1">
      <alignment horizontal="center" vertical="center" wrapText="1"/>
    </xf>
    <xf numFmtId="0" fontId="44" fillId="0" borderId="18" xfId="15" applyFont="1" applyBorder="1" applyAlignment="1">
      <alignment horizontal="center" vertical="center" wrapText="1"/>
    </xf>
    <xf numFmtId="0" fontId="44" fillId="0" borderId="19" xfId="15" applyFont="1" applyBorder="1" applyAlignment="1">
      <alignment horizontal="center" vertical="center"/>
    </xf>
    <xf numFmtId="164" fontId="44" fillId="0" borderId="4" xfId="4" applyFont="1" applyBorder="1" applyAlignment="1" applyProtection="1">
      <alignment horizontal="center" vertical="center"/>
    </xf>
    <xf numFmtId="164" fontId="44" fillId="0" borderId="19" xfId="4" applyFont="1" applyBorder="1" applyAlignment="1" applyProtection="1">
      <alignment horizontal="center" vertical="center"/>
    </xf>
    <xf numFmtId="0" fontId="44" fillId="0" borderId="11" xfId="0" applyFont="1" applyBorder="1" applyAlignment="1">
      <alignment horizontal="center" vertical="center" wrapText="1"/>
    </xf>
    <xf numFmtId="0" fontId="44" fillId="0" borderId="0" xfId="6" applyFont="1" applyAlignment="1">
      <alignment horizontal="center" vertical="center"/>
    </xf>
    <xf numFmtId="4" fontId="12" fillId="0" borderId="14" xfId="1" applyNumberFormat="1" applyFont="1" applyBorder="1" applyAlignment="1" applyProtection="1">
      <alignment horizontal="center" vertical="center"/>
    </xf>
    <xf numFmtId="4" fontId="31" fillId="11" borderId="4" xfId="1" applyNumberFormat="1" applyFont="1" applyFill="1" applyBorder="1" applyAlignment="1" applyProtection="1">
      <alignment horizontal="center" vertical="center"/>
    </xf>
    <xf numFmtId="0" fontId="4" fillId="20" borderId="4" xfId="0" applyFont="1" applyFill="1" applyBorder="1" applyAlignment="1">
      <alignment horizontal="center" vertical="center"/>
    </xf>
    <xf numFmtId="0" fontId="0" fillId="23" borderId="4" xfId="0" applyFill="1" applyBorder="1" applyAlignment="1">
      <alignment horizontal="center" vertical="center"/>
    </xf>
    <xf numFmtId="0" fontId="29" fillId="0" borderId="4" xfId="13" applyFont="1" applyBorder="1" applyAlignment="1">
      <alignment horizontal="center" vertical="center" wrapText="1"/>
    </xf>
    <xf numFmtId="0" fontId="31" fillId="8" borderId="4" xfId="13" applyFont="1" applyFill="1" applyBorder="1" applyAlignment="1">
      <alignment horizontal="center" vertical="center"/>
    </xf>
    <xf numFmtId="0" fontId="39" fillId="18" borderId="4" xfId="13" applyFont="1" applyFill="1" applyBorder="1" applyAlignment="1">
      <alignment horizontal="center" vertical="center"/>
    </xf>
    <xf numFmtId="4" fontId="39" fillId="18" borderId="4" xfId="13" applyNumberFormat="1" applyFont="1" applyFill="1" applyBorder="1" applyAlignment="1">
      <alignment vertical="center"/>
    </xf>
    <xf numFmtId="0" fontId="12" fillId="0" borderId="4" xfId="13" applyFont="1" applyBorder="1" applyAlignment="1">
      <alignment horizontal="center" vertical="center"/>
    </xf>
    <xf numFmtId="10" fontId="12" fillId="0" borderId="4" xfId="13" applyNumberFormat="1" applyFont="1" applyBorder="1" applyAlignment="1">
      <alignment horizontal="center" vertical="center"/>
    </xf>
    <xf numFmtId="0" fontId="12" fillId="0" borderId="4" xfId="13" applyFont="1" applyBorder="1" applyAlignment="1" applyProtection="1">
      <alignment horizontal="center" vertical="center"/>
      <protection locked="0"/>
    </xf>
    <xf numFmtId="4" fontId="12" fillId="0" borderId="4" xfId="13" applyNumberFormat="1" applyFont="1" applyBorder="1"/>
    <xf numFmtId="0" fontId="31" fillId="0" borderId="4" xfId="13" applyFont="1" applyBorder="1" applyAlignment="1" applyProtection="1">
      <alignment horizontal="center" vertical="center"/>
      <protection locked="0"/>
    </xf>
    <xf numFmtId="0" fontId="12" fillId="8" borderId="4" xfId="13" applyFont="1" applyFill="1" applyBorder="1" applyAlignment="1" applyProtection="1">
      <alignment horizontal="center" vertical="center"/>
      <protection locked="0"/>
    </xf>
    <xf numFmtId="0" fontId="31" fillId="0" borderId="4" xfId="13" applyFont="1" applyBorder="1" applyAlignment="1" applyProtection="1">
      <alignment vertical="center"/>
      <protection locked="0"/>
    </xf>
    <xf numFmtId="0" fontId="12" fillId="0" borderId="4" xfId="13" applyFont="1" applyBorder="1" applyAlignment="1" applyProtection="1">
      <alignment vertical="center" wrapText="1"/>
      <protection locked="0"/>
    </xf>
    <xf numFmtId="4" fontId="31" fillId="0" borderId="4" xfId="13" applyNumberFormat="1" applyFont="1" applyBorder="1" applyAlignment="1" applyProtection="1">
      <alignment horizontal="right" vertical="center"/>
      <protection locked="0"/>
    </xf>
    <xf numFmtId="0" fontId="31" fillId="11" borderId="4" xfId="13" applyFont="1" applyFill="1" applyBorder="1" applyAlignment="1">
      <alignment vertical="center"/>
    </xf>
    <xf numFmtId="4" fontId="31" fillId="11" borderId="4" xfId="13" applyNumberFormat="1" applyFont="1" applyFill="1" applyBorder="1" applyAlignment="1">
      <alignment vertical="center"/>
    </xf>
    <xf numFmtId="166" fontId="8" fillId="25" borderId="21" xfId="1" applyFont="1" applyFill="1" applyBorder="1" applyAlignment="1" applyProtection="1">
      <alignment horizontal="center" vertical="center"/>
    </xf>
    <xf numFmtId="166" fontId="8" fillId="25" borderId="4" xfId="1" applyFont="1" applyFill="1" applyBorder="1" applyAlignment="1" applyProtection="1">
      <alignment horizontal="center" vertical="center"/>
    </xf>
    <xf numFmtId="166" fontId="8" fillId="25" borderId="19" xfId="1" applyFont="1" applyFill="1" applyBorder="1" applyAlignment="1" applyProtection="1">
      <alignment horizontal="center" vertical="center"/>
    </xf>
    <xf numFmtId="166" fontId="8" fillId="0" borderId="15" xfId="1" applyFont="1" applyBorder="1" applyAlignment="1" applyProtection="1">
      <alignment horizontal="center" vertical="center"/>
    </xf>
    <xf numFmtId="166" fontId="8" fillId="0" borderId="14" xfId="1" applyFont="1" applyBorder="1" applyAlignment="1" applyProtection="1">
      <alignment horizontal="center" vertical="center"/>
    </xf>
    <xf numFmtId="4" fontId="4" fillId="0" borderId="14" xfId="6" applyNumberFormat="1" applyFont="1" applyBorder="1" applyAlignment="1">
      <alignment horizontal="center" vertical="center"/>
    </xf>
    <xf numFmtId="4" fontId="4" fillId="0" borderId="49" xfId="6" applyNumberFormat="1" applyFont="1" applyBorder="1" applyAlignment="1">
      <alignment horizontal="center" vertical="center"/>
    </xf>
    <xf numFmtId="0" fontId="12" fillId="11" borderId="27" xfId="6" applyFont="1" applyFill="1" applyBorder="1" applyAlignment="1">
      <alignment horizontal="center" vertical="center" wrapText="1"/>
    </xf>
    <xf numFmtId="10" fontId="4" fillId="26" borderId="4" xfId="6" applyNumberFormat="1" applyFont="1" applyFill="1" applyBorder="1" applyAlignment="1">
      <alignment horizontal="center" vertical="center"/>
    </xf>
    <xf numFmtId="166" fontId="4" fillId="26" borderId="4" xfId="6" applyNumberFormat="1" applyFont="1" applyFill="1" applyBorder="1" applyAlignment="1">
      <alignment horizontal="left" vertical="center"/>
    </xf>
    <xf numFmtId="171" fontId="1" fillId="21" borderId="4" xfId="31" applyNumberFormat="1" applyFont="1" applyFill="1" applyBorder="1" applyAlignment="1" applyProtection="1">
      <alignment horizontal="center" vertical="center"/>
    </xf>
    <xf numFmtId="171" fontId="1" fillId="0" borderId="4" xfId="31" applyNumberFormat="1" applyFont="1" applyBorder="1" applyAlignment="1" applyProtection="1">
      <alignment horizontal="center" vertical="center"/>
    </xf>
    <xf numFmtId="10" fontId="4" fillId="2" borderId="4" xfId="3" applyNumberFormat="1" applyFont="1" applyFill="1" applyBorder="1" applyAlignment="1" applyProtection="1">
      <alignment horizontal="center" vertical="center"/>
      <protection locked="0"/>
    </xf>
    <xf numFmtId="2" fontId="4" fillId="2" borderId="4" xfId="6" applyNumberFormat="1" applyFont="1" applyFill="1" applyBorder="1" applyAlignment="1" applyProtection="1">
      <alignment horizontal="center" vertical="center"/>
      <protection locked="0"/>
    </xf>
    <xf numFmtId="0" fontId="4" fillId="2" borderId="4" xfId="6" applyFont="1" applyFill="1" applyBorder="1" applyAlignment="1" applyProtection="1">
      <alignment horizontal="center" vertical="center"/>
      <protection locked="0"/>
    </xf>
    <xf numFmtId="2" fontId="4" fillId="2" borderId="4" xfId="0" applyNumberFormat="1" applyFont="1" applyFill="1" applyBorder="1" applyAlignment="1" applyProtection="1">
      <alignment horizontal="center" vertical="center" wrapText="1"/>
      <protection locked="0"/>
    </xf>
    <xf numFmtId="10" fontId="4" fillId="2" borderId="4" xfId="19" applyNumberFormat="1" applyFont="1" applyFill="1" applyBorder="1" applyAlignment="1" applyProtection="1">
      <alignment horizontal="center" vertical="center"/>
      <protection locked="0"/>
    </xf>
    <xf numFmtId="172" fontId="42" fillId="0" borderId="4" xfId="15" applyNumberFormat="1" applyFont="1" applyBorder="1" applyAlignment="1">
      <alignment horizontal="left" vertical="center" wrapText="1"/>
    </xf>
    <xf numFmtId="172" fontId="48" fillId="0" borderId="12" xfId="15" applyNumberFormat="1" applyFont="1" applyBorder="1" applyAlignment="1">
      <alignment horizontal="left" vertical="center" wrapText="1"/>
    </xf>
    <xf numFmtId="0" fontId="48" fillId="0" borderId="13" xfId="15" applyFont="1" applyBorder="1" applyAlignment="1">
      <alignment horizontal="left" vertical="center" wrapText="1"/>
    </xf>
    <xf numFmtId="172" fontId="48" fillId="0" borderId="4" xfId="15" applyNumberFormat="1" applyFont="1" applyBorder="1" applyAlignment="1">
      <alignment horizontal="left" vertical="center" wrapText="1"/>
    </xf>
    <xf numFmtId="0" fontId="48" fillId="0" borderId="18" xfId="15" applyFont="1" applyBorder="1" applyAlignment="1">
      <alignment horizontal="left" vertical="center" wrapText="1"/>
    </xf>
    <xf numFmtId="0" fontId="44" fillId="0" borderId="1" xfId="9" applyFont="1" applyBorder="1"/>
    <xf numFmtId="0" fontId="43" fillId="0" borderId="2" xfId="0" applyFont="1" applyBorder="1" applyAlignment="1">
      <alignment vertical="center"/>
    </xf>
    <xf numFmtId="0" fontId="44" fillId="0" borderId="2" xfId="15" applyFont="1" applyBorder="1"/>
    <xf numFmtId="0" fontId="44" fillId="0" borderId="2" xfId="15" applyFont="1" applyBorder="1" applyAlignment="1">
      <alignment horizontal="center" vertical="center"/>
    </xf>
    <xf numFmtId="0" fontId="44" fillId="0" borderId="42" xfId="15" applyFont="1" applyBorder="1"/>
    <xf numFmtId="0" fontId="44" fillId="0" borderId="0" xfId="15" applyFont="1"/>
    <xf numFmtId="0" fontId="44" fillId="0" borderId="3" xfId="9" applyFont="1" applyBorder="1"/>
    <xf numFmtId="0" fontId="43" fillId="0" borderId="0" xfId="0" applyFont="1" applyAlignment="1">
      <alignment vertical="center"/>
    </xf>
    <xf numFmtId="0" fontId="44" fillId="0" borderId="0" xfId="15" applyFont="1" applyAlignment="1">
      <alignment horizontal="center" vertical="center"/>
    </xf>
    <xf numFmtId="0" fontId="44" fillId="0" borderId="43" xfId="15" applyFont="1" applyBorder="1"/>
    <xf numFmtId="0" fontId="49" fillId="0" borderId="0" xfId="9" applyFont="1" applyAlignment="1">
      <alignment horizontal="center" vertical="center"/>
    </xf>
    <xf numFmtId="0" fontId="51" fillId="0" borderId="0" xfId="15" applyFont="1"/>
    <xf numFmtId="0" fontId="50" fillId="0" borderId="0" xfId="15" applyFont="1" applyAlignment="1">
      <alignment horizontal="center" vertical="center"/>
    </xf>
    <xf numFmtId="0" fontId="46" fillId="0" borderId="0" xfId="15" applyFont="1" applyAlignment="1">
      <alignment horizontal="center" vertical="center" wrapText="1"/>
    </xf>
    <xf numFmtId="0" fontId="46" fillId="11" borderId="4" xfId="15" applyFont="1" applyFill="1" applyBorder="1" applyAlignment="1">
      <alignment horizontal="center" vertical="center" wrapText="1"/>
    </xf>
    <xf numFmtId="0" fontId="46" fillId="15" borderId="4" xfId="15" applyFont="1" applyFill="1" applyBorder="1" applyAlignment="1">
      <alignment horizontal="center" vertical="center" wrapText="1"/>
    </xf>
    <xf numFmtId="172" fontId="44" fillId="0" borderId="12" xfId="15" applyNumberFormat="1" applyFont="1" applyBorder="1" applyAlignment="1">
      <alignment horizontal="left" vertical="center" wrapText="1"/>
    </xf>
    <xf numFmtId="0" fontId="44" fillId="0" borderId="13" xfId="15" applyFont="1" applyBorder="1" applyAlignment="1">
      <alignment horizontal="left" vertical="center" wrapText="1"/>
    </xf>
    <xf numFmtId="0" fontId="44" fillId="0" borderId="4" xfId="15" applyFont="1" applyBorder="1" applyAlignment="1">
      <alignment horizontal="center" vertical="center" wrapText="1"/>
    </xf>
    <xf numFmtId="2" fontId="44" fillId="2" borderId="4" xfId="11" applyNumberFormat="1" applyFont="1" applyFill="1" applyBorder="1" applyAlignment="1" applyProtection="1">
      <alignment horizontal="center" vertical="center"/>
      <protection locked="0"/>
    </xf>
    <xf numFmtId="4" fontId="44" fillId="0" borderId="4" xfId="20" applyNumberFormat="1" applyFont="1" applyBorder="1" applyAlignment="1" applyProtection="1">
      <alignment horizontal="center" vertical="center"/>
    </xf>
    <xf numFmtId="0" fontId="44" fillId="2" borderId="19" xfId="15" applyFont="1" applyFill="1" applyBorder="1" applyAlignment="1" applyProtection="1">
      <alignment vertical="center" wrapText="1"/>
      <protection locked="0"/>
    </xf>
    <xf numFmtId="174" fontId="44" fillId="0" borderId="4" xfId="32" applyNumberFormat="1" applyFont="1" applyFill="1" applyBorder="1" applyAlignment="1">
      <alignment horizontal="center" vertical="center"/>
    </xf>
    <xf numFmtId="172" fontId="44" fillId="0" borderId="4" xfId="15" applyNumberFormat="1" applyFont="1" applyBorder="1" applyAlignment="1">
      <alignment horizontal="center" vertical="center" wrapText="1"/>
    </xf>
    <xf numFmtId="0" fontId="44" fillId="0" borderId="4" xfId="15" applyFont="1" applyBorder="1" applyAlignment="1">
      <alignment horizontal="center" vertical="center"/>
    </xf>
    <xf numFmtId="172" fontId="44" fillId="0" borderId="4" xfId="15" applyNumberFormat="1" applyFont="1" applyBorder="1" applyAlignment="1">
      <alignment horizontal="left" vertical="center" wrapText="1"/>
    </xf>
    <xf numFmtId="0" fontId="44" fillId="0" borderId="18" xfId="15" applyFont="1" applyBorder="1" applyAlignment="1">
      <alignment horizontal="left" vertical="center" wrapText="1"/>
    </xf>
    <xf numFmtId="174" fontId="44" fillId="0" borderId="4" xfId="32" applyNumberFormat="1" applyFont="1" applyFill="1" applyBorder="1" applyAlignment="1">
      <alignment horizontal="center" vertical="center" wrapText="1"/>
    </xf>
    <xf numFmtId="172" fontId="44" fillId="0" borderId="4" xfId="15" applyNumberFormat="1" applyFont="1" applyBorder="1" applyAlignment="1">
      <alignment horizontal="left" vertical="center"/>
    </xf>
    <xf numFmtId="0" fontId="44" fillId="2" borderId="19" xfId="15" applyFont="1" applyFill="1" applyBorder="1" applyAlignment="1" applyProtection="1">
      <alignment vertical="center"/>
      <protection locked="0"/>
    </xf>
    <xf numFmtId="172" fontId="44" fillId="0" borderId="40" xfId="15" applyNumberFormat="1" applyFont="1" applyBorder="1" applyAlignment="1">
      <alignment horizontal="left" vertical="center" wrapText="1"/>
    </xf>
    <xf numFmtId="0" fontId="44" fillId="0" borderId="54" xfId="15" applyFont="1" applyBorder="1" applyAlignment="1">
      <alignment horizontal="left" vertical="center" wrapText="1"/>
    </xf>
    <xf numFmtId="4" fontId="46" fillId="11" borderId="28" xfId="1" applyNumberFormat="1" applyFont="1" applyFill="1" applyBorder="1" applyAlignment="1" applyProtection="1">
      <alignment horizontal="center" vertical="center"/>
    </xf>
    <xf numFmtId="165" fontId="46" fillId="11" borderId="29" xfId="15" applyNumberFormat="1" applyFont="1" applyFill="1" applyBorder="1" applyAlignment="1">
      <alignment vertical="center"/>
    </xf>
    <xf numFmtId="0" fontId="44" fillId="0" borderId="0" xfId="15" applyFont="1" applyAlignment="1">
      <alignment vertical="center"/>
    </xf>
    <xf numFmtId="0" fontId="53" fillId="0" borderId="0" xfId="15" applyFont="1" applyAlignment="1">
      <alignment vertical="center"/>
    </xf>
    <xf numFmtId="0" fontId="54" fillId="0" borderId="0" xfId="0" applyFont="1"/>
    <xf numFmtId="0" fontId="44" fillId="0" borderId="3" xfId="15" applyFont="1" applyBorder="1" applyAlignment="1">
      <alignment horizontal="center" vertical="center"/>
    </xf>
    <xf numFmtId="172" fontId="44" fillId="0" borderId="66" xfId="15" applyNumberFormat="1" applyFont="1" applyBorder="1" applyAlignment="1">
      <alignment horizontal="left" vertical="center" wrapText="1"/>
    </xf>
    <xf numFmtId="0" fontId="44" fillId="0" borderId="4" xfId="15" applyFont="1" applyBorder="1" applyAlignment="1">
      <alignment horizontal="left" vertical="center" wrapText="1"/>
    </xf>
    <xf numFmtId="0" fontId="0" fillId="23" borderId="66" xfId="0" applyFill="1" applyBorder="1" applyAlignment="1">
      <alignment horizontal="center" vertical="center"/>
    </xf>
    <xf numFmtId="172" fontId="42" fillId="0" borderId="66" xfId="15" applyNumberFormat="1" applyFont="1" applyBorder="1" applyAlignment="1">
      <alignment horizontal="left" vertical="center" wrapText="1"/>
    </xf>
    <xf numFmtId="0" fontId="4" fillId="20" borderId="66" xfId="0" applyFont="1" applyFill="1" applyBorder="1" applyAlignment="1">
      <alignment horizontal="center" vertical="center"/>
    </xf>
    <xf numFmtId="4" fontId="12" fillId="2" borderId="66" xfId="1" applyNumberFormat="1" applyFont="1" applyFill="1" applyBorder="1" applyAlignment="1" applyProtection="1">
      <alignment horizontal="center" vertical="center"/>
      <protection locked="0"/>
    </xf>
    <xf numFmtId="0" fontId="55" fillId="0" borderId="47" xfId="9" applyFont="1" applyBorder="1" applyAlignment="1">
      <alignment horizontal="left" vertical="center"/>
    </xf>
    <xf numFmtId="0" fontId="55" fillId="0" borderId="30" xfId="9" applyFont="1" applyBorder="1" applyAlignment="1">
      <alignment horizontal="left"/>
    </xf>
    <xf numFmtId="0" fontId="55" fillId="0" borderId="30" xfId="9" applyFont="1" applyBorder="1"/>
    <xf numFmtId="0" fontId="51" fillId="0" borderId="30" xfId="9" applyFont="1" applyBorder="1"/>
    <xf numFmtId="1" fontId="51" fillId="0" borderId="30" xfId="9" applyNumberFormat="1" applyFont="1" applyBorder="1" applyAlignment="1">
      <alignment horizontal="center"/>
    </xf>
    <xf numFmtId="2" fontId="51" fillId="0" borderId="30" xfId="9" applyNumberFormat="1" applyFont="1" applyBorder="1" applyAlignment="1">
      <alignment horizontal="center"/>
    </xf>
    <xf numFmtId="4" fontId="51" fillId="0" borderId="48" xfId="9" applyNumberFormat="1" applyFont="1" applyBorder="1" applyAlignment="1">
      <alignment horizontal="center"/>
    </xf>
    <xf numFmtId="0" fontId="51" fillId="0" borderId="0" xfId="9" applyFont="1"/>
    <xf numFmtId="0" fontId="55" fillId="0" borderId="3" xfId="9" applyFont="1" applyBorder="1" applyAlignment="1">
      <alignment horizontal="left" vertical="center"/>
    </xf>
    <xf numFmtId="0" fontId="55" fillId="0" borderId="0" xfId="9" applyFont="1" applyAlignment="1">
      <alignment horizontal="left"/>
    </xf>
    <xf numFmtId="0" fontId="55" fillId="0" borderId="0" xfId="9" applyFont="1"/>
    <xf numFmtId="1" fontId="51" fillId="0" borderId="0" xfId="9" applyNumberFormat="1" applyFont="1" applyAlignment="1">
      <alignment horizontal="center"/>
    </xf>
    <xf numFmtId="2" fontId="51" fillId="0" borderId="0" xfId="9" applyNumberFormat="1" applyFont="1" applyAlignment="1">
      <alignment horizontal="center"/>
    </xf>
    <xf numFmtId="4" fontId="51" fillId="0" borderId="43" xfId="9" applyNumberFormat="1" applyFont="1" applyBorder="1" applyAlignment="1">
      <alignment horizontal="center"/>
    </xf>
    <xf numFmtId="0" fontId="55" fillId="0" borderId="0" xfId="9" applyFont="1" applyAlignment="1">
      <alignment horizontal="left" vertical="center"/>
    </xf>
    <xf numFmtId="1" fontId="55" fillId="0" borderId="0" xfId="9" applyNumberFormat="1" applyFont="1" applyAlignment="1">
      <alignment horizontal="center" vertical="center"/>
    </xf>
    <xf numFmtId="0" fontId="55" fillId="0" borderId="0" xfId="9" applyFont="1" applyAlignment="1">
      <alignment vertical="center"/>
    </xf>
    <xf numFmtId="0" fontId="51" fillId="0" borderId="0" xfId="9" applyFont="1" applyAlignment="1">
      <alignment vertical="center"/>
    </xf>
    <xf numFmtId="1" fontId="51" fillId="0" borderId="0" xfId="9" applyNumberFormat="1" applyFont="1" applyAlignment="1">
      <alignment horizontal="center" vertical="center"/>
    </xf>
    <xf numFmtId="2" fontId="51" fillId="0" borderId="0" xfId="9" applyNumberFormat="1" applyFont="1" applyAlignment="1">
      <alignment horizontal="center" vertical="center"/>
    </xf>
    <xf numFmtId="4" fontId="51" fillId="0" borderId="43" xfId="9" applyNumberFormat="1" applyFont="1" applyBorder="1" applyAlignment="1">
      <alignment horizontal="center" vertical="center"/>
    </xf>
    <xf numFmtId="0" fontId="56" fillId="0" borderId="0" xfId="9" applyFont="1"/>
    <xf numFmtId="0" fontId="51" fillId="0" borderId="35" xfId="9" applyFont="1" applyBorder="1" applyAlignment="1">
      <alignment horizontal="center" vertical="center"/>
    </xf>
    <xf numFmtId="0" fontId="51" fillId="0" borderId="49" xfId="9" applyFont="1" applyBorder="1" applyAlignment="1">
      <alignment horizontal="left" vertical="center"/>
    </xf>
    <xf numFmtId="1" fontId="51" fillId="0" borderId="49" xfId="9" applyNumberFormat="1" applyFont="1" applyBorder="1" applyAlignment="1">
      <alignment horizontal="center" vertical="center"/>
    </xf>
    <xf numFmtId="2" fontId="51" fillId="0" borderId="49" xfId="9" applyNumberFormat="1" applyFont="1" applyBorder="1" applyAlignment="1">
      <alignment horizontal="center" vertical="center"/>
    </xf>
    <xf numFmtId="4" fontId="51" fillId="0" borderId="50" xfId="9" applyNumberFormat="1" applyFont="1" applyBorder="1" applyAlignment="1">
      <alignment horizontal="center" vertical="center"/>
    </xf>
    <xf numFmtId="0" fontId="46" fillId="0" borderId="17" xfId="9" applyFont="1" applyBorder="1" applyAlignment="1">
      <alignment horizontal="center" vertical="center"/>
    </xf>
    <xf numFmtId="0" fontId="46" fillId="0" borderId="4" xfId="9" applyFont="1" applyBorder="1" applyAlignment="1">
      <alignment horizontal="center" vertical="center"/>
    </xf>
    <xf numFmtId="1" fontId="58" fillId="0" borderId="4" xfId="9" applyNumberFormat="1" applyFont="1" applyBorder="1" applyAlignment="1">
      <alignment horizontal="center" vertical="center" wrapText="1"/>
    </xf>
    <xf numFmtId="2" fontId="46" fillId="0" borderId="4" xfId="9" applyNumberFormat="1" applyFont="1" applyBorder="1" applyAlignment="1">
      <alignment horizontal="center" vertical="center" wrapText="1"/>
    </xf>
    <xf numFmtId="4" fontId="46" fillId="0" borderId="19" xfId="9" applyNumberFormat="1" applyFont="1" applyBorder="1" applyAlignment="1">
      <alignment horizontal="center" vertical="center"/>
    </xf>
    <xf numFmtId="0" fontId="51" fillId="0" borderId="0" xfId="6" applyFont="1" applyAlignment="1">
      <alignment horizontal="left"/>
    </xf>
    <xf numFmtId="0" fontId="44" fillId="20" borderId="4" xfId="29" applyFont="1" applyFill="1" applyBorder="1" applyAlignment="1" applyProtection="1">
      <alignment horizontal="center" vertical="center"/>
    </xf>
    <xf numFmtId="171" fontId="44" fillId="20" borderId="4" xfId="1" applyNumberFormat="1" applyFont="1" applyFill="1" applyBorder="1" applyAlignment="1" applyProtection="1">
      <alignment horizontal="center" vertical="center"/>
    </xf>
    <xf numFmtId="0" fontId="44" fillId="21" borderId="0" xfId="0" applyFont="1" applyFill="1" applyAlignment="1">
      <alignment horizontal="left" vertical="center" wrapText="1"/>
    </xf>
    <xf numFmtId="0" fontId="44" fillId="20" borderId="4" xfId="29" applyFont="1" applyFill="1" applyBorder="1" applyAlignment="1" applyProtection="1">
      <alignment horizontal="center" vertical="center" wrapText="1"/>
    </xf>
    <xf numFmtId="1" fontId="44" fillId="0" borderId="4" xfId="1" applyNumberFormat="1" applyFont="1" applyBorder="1" applyAlignment="1" applyProtection="1">
      <alignment horizontal="center" vertical="center"/>
    </xf>
    <xf numFmtId="2" fontId="44" fillId="2" borderId="4" xfId="1" applyNumberFormat="1" applyFont="1" applyFill="1" applyBorder="1" applyAlignment="1" applyProtection="1">
      <alignment horizontal="center" vertical="center"/>
      <protection locked="0"/>
    </xf>
    <xf numFmtId="4" fontId="44" fillId="0" borderId="19" xfId="1" applyNumberFormat="1" applyFont="1" applyBorder="1" applyAlignment="1" applyProtection="1">
      <alignment horizontal="center" vertical="center"/>
    </xf>
    <xf numFmtId="164" fontId="59" fillId="0" borderId="4" xfId="4" applyFont="1" applyBorder="1" applyAlignment="1" applyProtection="1">
      <alignment horizontal="center" vertical="center"/>
    </xf>
    <xf numFmtId="0" fontId="51" fillId="0" borderId="0" xfId="6" applyFont="1" applyAlignment="1">
      <alignment horizontal="center" vertical="center"/>
    </xf>
    <xf numFmtId="0" fontId="44" fillId="20" borderId="4" xfId="29" applyFont="1" applyFill="1" applyBorder="1" applyAlignment="1" applyProtection="1">
      <alignment horizontal="left" vertical="center" wrapText="1"/>
    </xf>
    <xf numFmtId="0" fontId="44" fillId="22" borderId="4" xfId="29" applyFont="1" applyFill="1" applyBorder="1" applyAlignment="1" applyProtection="1">
      <alignment horizontal="center" vertical="center" wrapText="1"/>
    </xf>
    <xf numFmtId="0" fontId="44" fillId="20" borderId="21" xfId="29" applyFont="1" applyFill="1" applyBorder="1" applyAlignment="1" applyProtection="1">
      <alignment horizontal="center" vertical="center"/>
    </xf>
    <xf numFmtId="1" fontId="60" fillId="0" borderId="12" xfId="9" applyNumberFormat="1" applyFont="1" applyBorder="1" applyAlignment="1">
      <alignment horizontal="center" vertical="center"/>
    </xf>
    <xf numFmtId="4" fontId="46" fillId="0" borderId="19" xfId="1" applyNumberFormat="1" applyFont="1" applyBorder="1" applyAlignment="1" applyProtection="1">
      <alignment horizontal="center" vertical="center"/>
    </xf>
    <xf numFmtId="0" fontId="51" fillId="0" borderId="0" xfId="9" applyFont="1" applyAlignment="1">
      <alignment horizontal="center" vertical="center"/>
    </xf>
    <xf numFmtId="2" fontId="53" fillId="11" borderId="52" xfId="9" applyNumberFormat="1" applyFont="1" applyFill="1" applyBorder="1" applyAlignment="1">
      <alignment horizontal="center" vertical="center"/>
    </xf>
    <xf numFmtId="4" fontId="53" fillId="11" borderId="25" xfId="1" applyNumberFormat="1" applyFont="1" applyFill="1" applyBorder="1" applyAlignment="1" applyProtection="1">
      <alignment horizontal="center" vertical="center"/>
    </xf>
    <xf numFmtId="0" fontId="44" fillId="0" borderId="3" xfId="9" applyFont="1" applyBorder="1" applyAlignment="1">
      <alignment horizontal="center" vertical="center" wrapText="1"/>
    </xf>
    <xf numFmtId="0" fontId="44" fillId="0" borderId="0" xfId="9" applyFont="1" applyAlignment="1">
      <alignment horizontal="left" vertical="center"/>
    </xf>
    <xf numFmtId="1" fontId="44" fillId="0" borderId="0" xfId="1" applyNumberFormat="1" applyFont="1" applyBorder="1" applyAlignment="1" applyProtection="1">
      <alignment horizontal="center" vertical="center"/>
    </xf>
    <xf numFmtId="0" fontId="44" fillId="0" borderId="0" xfId="9" applyFont="1" applyAlignment="1">
      <alignment vertical="center" wrapText="1"/>
    </xf>
    <xf numFmtId="2" fontId="44" fillId="0" borderId="0" xfId="1" applyNumberFormat="1" applyFont="1" applyBorder="1" applyAlignment="1" applyProtection="1">
      <alignment horizontal="center" vertical="center"/>
    </xf>
    <xf numFmtId="4" fontId="44" fillId="0" borderId="43" xfId="1" applyNumberFormat="1" applyFont="1" applyBorder="1" applyAlignment="1" applyProtection="1">
      <alignment horizontal="center" vertical="center"/>
    </xf>
    <xf numFmtId="0" fontId="57" fillId="5" borderId="40" xfId="25" applyNumberFormat="1" applyFont="1" applyFill="1" applyBorder="1" applyAlignment="1" applyProtection="1">
      <alignment horizontal="center" vertical="center" wrapText="1"/>
    </xf>
    <xf numFmtId="0" fontId="46" fillId="5" borderId="40" xfId="25" applyNumberFormat="1" applyFont="1" applyFill="1" applyBorder="1" applyAlignment="1" applyProtection="1">
      <alignment horizontal="center" vertical="center" wrapText="1"/>
    </xf>
    <xf numFmtId="0" fontId="44" fillId="23" borderId="4" xfId="29" applyFont="1" applyFill="1" applyBorder="1" applyAlignment="1" applyProtection="1">
      <alignment horizontal="center" vertical="center"/>
    </xf>
    <xf numFmtId="0" fontId="44" fillId="20" borderId="4" xfId="29" applyFont="1" applyFill="1" applyBorder="1" applyAlignment="1" applyProtection="1">
      <alignment vertical="center" wrapText="1"/>
    </xf>
    <xf numFmtId="1" fontId="46" fillId="0" borderId="4" xfId="9" applyNumberFormat="1" applyFont="1" applyBorder="1" applyAlignment="1">
      <alignment horizontal="center" vertical="center" wrapText="1"/>
    </xf>
    <xf numFmtId="2" fontId="44" fillId="2" borderId="4" xfId="0" applyNumberFormat="1" applyFont="1" applyFill="1" applyBorder="1" applyAlignment="1" applyProtection="1">
      <alignment horizontal="center" vertical="center" wrapText="1"/>
      <protection locked="0"/>
    </xf>
    <xf numFmtId="0" fontId="44" fillId="23" borderId="21" xfId="29" applyFont="1" applyFill="1" applyBorder="1" applyAlignment="1" applyProtection="1">
      <alignment horizontal="center" vertical="center"/>
    </xf>
    <xf numFmtId="1" fontId="60" fillId="0" borderId="12" xfId="9" applyNumberFormat="1" applyFont="1" applyBorder="1" applyAlignment="1">
      <alignment horizontal="center" vertical="center" wrapText="1"/>
    </xf>
    <xf numFmtId="0" fontId="44" fillId="22" borderId="4" xfId="29" applyFont="1" applyFill="1" applyBorder="1" applyAlignment="1" applyProtection="1">
      <alignment horizontal="center" vertical="center"/>
    </xf>
    <xf numFmtId="2" fontId="44" fillId="2" borderId="12" xfId="0" applyNumberFormat="1" applyFont="1" applyFill="1" applyBorder="1" applyAlignment="1" applyProtection="1">
      <alignment horizontal="center" vertical="center" wrapText="1"/>
      <protection locked="0"/>
    </xf>
    <xf numFmtId="4" fontId="46" fillId="0" borderId="29" xfId="1" applyNumberFormat="1" applyFont="1" applyBorder="1" applyAlignment="1" applyProtection="1">
      <alignment horizontal="center" vertical="center"/>
    </xf>
    <xf numFmtId="0" fontId="53" fillId="0" borderId="3" xfId="9" applyFont="1" applyBorder="1" applyAlignment="1">
      <alignment horizontal="center" vertical="center"/>
    </xf>
    <xf numFmtId="0" fontId="53" fillId="0" borderId="0" xfId="9" applyFont="1" applyAlignment="1">
      <alignment horizontal="left" vertical="center"/>
    </xf>
    <xf numFmtId="1" fontId="53" fillId="0" borderId="0" xfId="9" applyNumberFormat="1" applyFont="1" applyAlignment="1">
      <alignment horizontal="center" vertical="center"/>
    </xf>
    <xf numFmtId="2" fontId="53" fillId="0" borderId="0" xfId="9" applyNumberFormat="1" applyFont="1" applyAlignment="1">
      <alignment horizontal="center" vertical="center"/>
    </xf>
    <xf numFmtId="4" fontId="53" fillId="0" borderId="43" xfId="1" applyNumberFormat="1" applyFont="1" applyBorder="1" applyAlignment="1" applyProtection="1">
      <alignment horizontal="center" vertical="center"/>
    </xf>
    <xf numFmtId="0" fontId="44" fillId="21" borderId="4" xfId="0" applyFont="1" applyFill="1" applyBorder="1" applyAlignment="1">
      <alignment horizontal="left" vertical="center" wrapText="1"/>
    </xf>
    <xf numFmtId="4" fontId="46" fillId="0" borderId="25" xfId="1" applyNumberFormat="1" applyFont="1" applyBorder="1" applyAlignment="1" applyProtection="1">
      <alignment horizontal="center" vertical="center"/>
    </xf>
    <xf numFmtId="0" fontId="51" fillId="0" borderId="0" xfId="9" applyFont="1" applyAlignment="1">
      <alignment horizontal="center"/>
    </xf>
    <xf numFmtId="4" fontId="51" fillId="0" borderId="0" xfId="9" applyNumberFormat="1" applyFont="1" applyAlignment="1">
      <alignment horizontal="center"/>
    </xf>
    <xf numFmtId="0" fontId="54" fillId="0" borderId="0" xfId="0" applyFont="1" applyAlignment="1">
      <alignment horizontal="center"/>
    </xf>
    <xf numFmtId="1" fontId="46" fillId="0" borderId="4" xfId="9" applyNumberFormat="1" applyFont="1" applyBorder="1" applyAlignment="1">
      <alignment horizontal="center" vertical="center"/>
    </xf>
    <xf numFmtId="1" fontId="55" fillId="0" borderId="30" xfId="9" applyNumberFormat="1" applyFont="1" applyBorder="1" applyAlignment="1">
      <alignment horizontal="center" vertical="center"/>
    </xf>
    <xf numFmtId="0" fontId="44" fillId="0" borderId="66" xfId="15" applyFont="1" applyBorder="1" applyAlignment="1">
      <alignment horizontal="left" vertical="center" wrapText="1"/>
    </xf>
    <xf numFmtId="0" fontId="53" fillId="27" borderId="40" xfId="9" applyFont="1" applyFill="1" applyBorder="1" applyAlignment="1">
      <alignment horizontal="center" vertical="center" wrapText="1"/>
    </xf>
    <xf numFmtId="0" fontId="53" fillId="27" borderId="45" xfId="9" applyFont="1" applyFill="1" applyBorder="1" applyAlignment="1">
      <alignment horizontal="center" vertical="center" wrapText="1"/>
    </xf>
    <xf numFmtId="0" fontId="44" fillId="0" borderId="40" xfId="9" applyFont="1" applyBorder="1" applyAlignment="1">
      <alignment horizontal="center" wrapText="1"/>
    </xf>
    <xf numFmtId="0" fontId="44" fillId="23" borderId="66" xfId="29" applyFont="1" applyFill="1" applyBorder="1" applyAlignment="1" applyProtection="1">
      <alignment horizontal="center" vertical="center"/>
    </xf>
    <xf numFmtId="171" fontId="44" fillId="20" borderId="66" xfId="1" applyNumberFormat="1" applyFont="1" applyFill="1" applyBorder="1" applyAlignment="1" applyProtection="1">
      <alignment horizontal="center" vertical="center"/>
    </xf>
    <xf numFmtId="2" fontId="44" fillId="2" borderId="66" xfId="0" applyNumberFormat="1" applyFont="1" applyFill="1" applyBorder="1" applyAlignment="1" applyProtection="1">
      <alignment horizontal="center" vertical="center" wrapText="1"/>
      <protection locked="0"/>
    </xf>
    <xf numFmtId="164" fontId="59" fillId="0" borderId="0" xfId="4" applyFont="1" applyBorder="1" applyAlignment="1" applyProtection="1">
      <alignment horizontal="center" vertical="center"/>
    </xf>
    <xf numFmtId="164" fontId="44" fillId="0" borderId="0" xfId="4" applyFont="1" applyBorder="1" applyAlignment="1" applyProtection="1">
      <alignment horizontal="center" vertical="center"/>
    </xf>
    <xf numFmtId="1" fontId="43" fillId="0" borderId="4" xfId="12" applyNumberFormat="1" applyFont="1" applyBorder="1" applyAlignment="1">
      <alignment horizontal="center" vertical="center" wrapText="1"/>
    </xf>
    <xf numFmtId="0" fontId="48" fillId="0" borderId="4" xfId="15" applyFont="1" applyBorder="1" applyAlignment="1">
      <alignment horizontal="left" vertical="center" wrapText="1"/>
    </xf>
    <xf numFmtId="2" fontId="45" fillId="0" borderId="4" xfId="11" applyNumberFormat="1" applyFont="1" applyBorder="1" applyAlignment="1" applyProtection="1">
      <alignment horizontal="right" vertical="center"/>
      <protection locked="0"/>
    </xf>
    <xf numFmtId="172" fontId="44" fillId="0" borderId="4" xfId="15" applyNumberFormat="1" applyFont="1" applyBorder="1" applyAlignment="1">
      <alignment horizontal="left" vertical="center" wrapText="1"/>
    </xf>
    <xf numFmtId="0" fontId="46" fillId="0" borderId="20" xfId="15" applyFont="1" applyBorder="1" applyAlignment="1">
      <alignment horizontal="center" vertical="center" wrapText="1"/>
    </xf>
    <xf numFmtId="0" fontId="12" fillId="3" borderId="7" xfId="25" applyNumberFormat="1" applyFont="1" applyFill="1" applyBorder="1" applyAlignment="1" applyProtection="1">
      <alignment horizontal="center" vertical="center" wrapText="1"/>
    </xf>
    <xf numFmtId="0" fontId="6" fillId="0" borderId="0" xfId="6" applyFont="1" applyAlignment="1">
      <alignment horizontal="center" vertical="top"/>
    </xf>
    <xf numFmtId="0" fontId="7" fillId="2" borderId="4" xfId="6" applyFont="1" applyFill="1" applyBorder="1" applyAlignment="1">
      <alignment horizontal="center" vertical="center" wrapText="1"/>
    </xf>
    <xf numFmtId="0" fontId="8" fillId="2" borderId="4" xfId="6" applyFont="1" applyFill="1" applyBorder="1" applyAlignment="1">
      <alignment horizontal="center" vertical="center" wrapText="1"/>
    </xf>
    <xf numFmtId="0" fontId="12" fillId="3" borderId="8" xfId="25" applyNumberFormat="1" applyFont="1" applyFill="1" applyBorder="1" applyAlignment="1" applyProtection="1">
      <alignment horizontal="center" vertical="center" wrapText="1"/>
    </xf>
    <xf numFmtId="0" fontId="12" fillId="3" borderId="5" xfId="25" applyNumberFormat="1" applyFont="1" applyFill="1" applyBorder="1" applyAlignment="1" applyProtection="1">
      <alignment horizontal="center" vertical="center" wrapText="1"/>
    </xf>
    <xf numFmtId="0" fontId="8" fillId="4" borderId="8" xfId="25" applyNumberFormat="1" applyFont="1" applyFill="1" applyBorder="1" applyAlignment="1" applyProtection="1">
      <alignment horizontal="center" vertical="center" wrapText="1"/>
    </xf>
    <xf numFmtId="0" fontId="10" fillId="5" borderId="22" xfId="25" applyNumberFormat="1" applyFont="1" applyFill="1" applyBorder="1" applyAlignment="1" applyProtection="1">
      <alignment horizontal="center" vertical="center" wrapText="1"/>
    </xf>
    <xf numFmtId="164" fontId="10" fillId="5" borderId="24" xfId="4" applyFont="1" applyFill="1" applyBorder="1" applyAlignment="1" applyProtection="1">
      <alignment horizontal="center" vertical="center" wrapText="1"/>
    </xf>
    <xf numFmtId="0" fontId="12" fillId="3" borderId="9" xfId="25" applyNumberFormat="1" applyFont="1" applyFill="1" applyBorder="1" applyAlignment="1" applyProtection="1">
      <alignment horizontal="center" vertical="center" wrapText="1"/>
    </xf>
    <xf numFmtId="0" fontId="13" fillId="3" borderId="9" xfId="25" applyNumberFormat="1" applyFont="1" applyFill="1" applyBorder="1" applyAlignment="1" applyProtection="1">
      <alignment horizontal="center" vertical="center" wrapText="1"/>
    </xf>
    <xf numFmtId="0" fontId="12" fillId="3" borderId="10" xfId="25" applyNumberFormat="1" applyFont="1" applyFill="1" applyBorder="1" applyAlignment="1" applyProtection="1">
      <alignment horizontal="center" vertical="center" wrapText="1"/>
    </xf>
    <xf numFmtId="0" fontId="12" fillId="3" borderId="6" xfId="25" applyNumberFormat="1" applyFont="1" applyFill="1" applyBorder="1" applyAlignment="1" applyProtection="1">
      <alignment horizontal="center" vertical="center" wrapText="1"/>
    </xf>
    <xf numFmtId="0" fontId="10" fillId="3" borderId="5" xfId="25" applyNumberFormat="1" applyFont="1" applyFill="1" applyBorder="1" applyAlignment="1" applyProtection="1">
      <alignment horizontal="center" vertical="center" wrapText="1"/>
    </xf>
    <xf numFmtId="0" fontId="10" fillId="5" borderId="4" xfId="25" applyNumberFormat="1" applyFont="1" applyFill="1" applyBorder="1" applyAlignment="1" applyProtection="1">
      <alignment horizontal="center" vertical="center" wrapText="1"/>
    </xf>
    <xf numFmtId="0" fontId="12" fillId="0" borderId="30" xfId="6" applyFont="1" applyBorder="1" applyAlignment="1">
      <alignment horizontal="left" vertical="center" wrapText="1"/>
    </xf>
    <xf numFmtId="0" fontId="10" fillId="5" borderId="31" xfId="25" applyNumberFormat="1" applyFont="1" applyFill="1" applyBorder="1" applyAlignment="1" applyProtection="1">
      <alignment horizontal="center" vertical="center" wrapText="1"/>
    </xf>
    <xf numFmtId="0" fontId="10" fillId="5" borderId="32" xfId="25" applyNumberFormat="1" applyFont="1" applyFill="1" applyBorder="1" applyAlignment="1" applyProtection="1">
      <alignment horizontal="center" vertical="center" wrapText="1"/>
    </xf>
    <xf numFmtId="0" fontId="10" fillId="5" borderId="33" xfId="25" applyNumberFormat="1" applyFont="1" applyFill="1" applyBorder="1" applyAlignment="1" applyProtection="1">
      <alignment horizontal="center" vertical="center" wrapText="1"/>
    </xf>
    <xf numFmtId="0" fontId="18" fillId="4" borderId="34" xfId="15" applyFont="1" applyFill="1" applyBorder="1" applyAlignment="1">
      <alignment horizontal="center" vertical="center" wrapText="1"/>
    </xf>
    <xf numFmtId="0" fontId="10" fillId="5" borderId="34" xfId="25" applyNumberFormat="1" applyFont="1" applyFill="1" applyBorder="1" applyAlignment="1" applyProtection="1">
      <alignment horizontal="center" vertical="center" wrapText="1"/>
    </xf>
    <xf numFmtId="172" fontId="44" fillId="0" borderId="18" xfId="15" applyNumberFormat="1" applyFont="1" applyBorder="1" applyAlignment="1">
      <alignment horizontal="left" vertical="center" wrapText="1"/>
    </xf>
    <xf numFmtId="172" fontId="44" fillId="0" borderId="49" xfId="15" applyNumberFormat="1" applyFont="1" applyBorder="1" applyAlignment="1">
      <alignment horizontal="left" vertical="center" wrapText="1"/>
    </xf>
    <xf numFmtId="172" fontId="44" fillId="0" borderId="21" xfId="15" applyNumberFormat="1" applyFont="1" applyBorder="1" applyAlignment="1">
      <alignment horizontal="left" vertical="center" wrapText="1"/>
    </xf>
    <xf numFmtId="172" fontId="44" fillId="0" borderId="18" xfId="15" applyNumberFormat="1" applyFont="1" applyBorder="1" applyAlignment="1">
      <alignment horizontal="left" vertical="center"/>
    </xf>
    <xf numFmtId="172" fontId="44" fillId="0" borderId="49" xfId="15" applyNumberFormat="1" applyFont="1" applyBorder="1" applyAlignment="1">
      <alignment horizontal="left" vertical="center"/>
    </xf>
    <xf numFmtId="172" fontId="44" fillId="0" borderId="21" xfId="15" applyNumberFormat="1" applyFont="1" applyBorder="1" applyAlignment="1">
      <alignment horizontal="left" vertical="center"/>
    </xf>
    <xf numFmtId="172" fontId="42" fillId="0" borderId="18" xfId="15" applyNumberFormat="1" applyFont="1" applyBorder="1" applyAlignment="1">
      <alignment horizontal="left" vertical="center" wrapText="1"/>
    </xf>
    <xf numFmtId="172" fontId="42" fillId="0" borderId="49" xfId="15" applyNumberFormat="1" applyFont="1" applyBorder="1" applyAlignment="1">
      <alignment horizontal="left" vertical="center" wrapText="1"/>
    </xf>
    <xf numFmtId="172" fontId="42" fillId="0" borderId="21" xfId="15" applyNumberFormat="1" applyFont="1" applyBorder="1" applyAlignment="1">
      <alignment horizontal="left" vertical="center" wrapText="1"/>
    </xf>
    <xf numFmtId="0" fontId="30" fillId="0" borderId="18" xfId="0" applyFont="1" applyBorder="1" applyAlignment="1">
      <alignment horizontal="left" wrapText="1"/>
    </xf>
    <xf numFmtId="0" fontId="30" fillId="0" borderId="49" xfId="0" applyFont="1" applyBorder="1" applyAlignment="1">
      <alignment horizontal="left" wrapText="1"/>
    </xf>
    <xf numFmtId="0" fontId="30" fillId="0" borderId="21" xfId="0" applyFont="1" applyBorder="1" applyAlignment="1">
      <alignment horizontal="left" wrapText="1"/>
    </xf>
    <xf numFmtId="0" fontId="10" fillId="5" borderId="11" xfId="25" applyNumberFormat="1" applyFont="1" applyFill="1" applyBorder="1" applyAlignment="1" applyProtection="1">
      <alignment horizontal="center" vertical="center" wrapText="1"/>
    </xf>
    <xf numFmtId="0" fontId="4" fillId="0" borderId="4" xfId="6" applyFont="1" applyBorder="1" applyAlignment="1">
      <alignment horizontal="center"/>
    </xf>
    <xf numFmtId="0" fontId="10" fillId="5" borderId="35" xfId="25" applyNumberFormat="1" applyFont="1" applyFill="1" applyBorder="1" applyAlignment="1" applyProtection="1">
      <alignment horizontal="right" vertical="center" wrapText="1"/>
    </xf>
    <xf numFmtId="0" fontId="10" fillId="5" borderId="22" xfId="25" applyNumberFormat="1" applyFont="1" applyFill="1" applyBorder="1" applyAlignment="1" applyProtection="1">
      <alignment horizontal="right" vertical="center" wrapText="1"/>
    </xf>
    <xf numFmtId="0" fontId="21" fillId="0" borderId="0" xfId="0" applyFont="1" applyAlignment="1">
      <alignment horizontal="center" vertical="center"/>
    </xf>
    <xf numFmtId="0" fontId="12" fillId="11" borderId="4" xfId="6" applyFont="1" applyFill="1" applyBorder="1" applyAlignment="1">
      <alignment horizontal="center" vertical="center" wrapText="1"/>
    </xf>
    <xf numFmtId="0" fontId="8" fillId="11" borderId="4" xfId="6" applyFont="1" applyFill="1" applyBorder="1" applyAlignment="1">
      <alignment horizontal="center" vertical="center" wrapText="1"/>
    </xf>
    <xf numFmtId="0" fontId="8" fillId="0" borderId="4" xfId="6" applyFont="1" applyBorder="1" applyAlignment="1">
      <alignment horizontal="center" vertical="center" textRotation="90"/>
    </xf>
    <xf numFmtId="0" fontId="8" fillId="11" borderId="4" xfId="6" applyFont="1" applyFill="1" applyBorder="1" applyAlignment="1">
      <alignment horizontal="center" vertical="center"/>
    </xf>
    <xf numFmtId="0" fontId="4" fillId="0" borderId="4" xfId="6" applyFont="1" applyBorder="1" applyAlignment="1">
      <alignment horizontal="left" vertical="center"/>
    </xf>
    <xf numFmtId="0" fontId="8" fillId="2" borderId="4" xfId="6" applyFont="1" applyFill="1" applyBorder="1" applyAlignment="1" applyProtection="1">
      <alignment horizontal="center" vertical="center"/>
      <protection locked="0"/>
    </xf>
    <xf numFmtId="0" fontId="4" fillId="0" borderId="4" xfId="6" applyFont="1" applyBorder="1" applyAlignment="1">
      <alignment horizontal="center" vertical="center"/>
    </xf>
    <xf numFmtId="0" fontId="4" fillId="0" borderId="18" xfId="6"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4" fillId="2" borderId="4" xfId="6" applyFont="1" applyFill="1" applyBorder="1" applyAlignment="1" applyProtection="1">
      <alignment horizontal="left" vertical="center"/>
      <protection locked="0"/>
    </xf>
    <xf numFmtId="0" fontId="8" fillId="11" borderId="28" xfId="6" applyFont="1" applyFill="1" applyBorder="1" applyAlignment="1">
      <alignment horizontal="center" vertical="center" wrapText="1"/>
    </xf>
    <xf numFmtId="0" fontId="8" fillId="0" borderId="32" xfId="6" applyFont="1" applyBorder="1" applyAlignment="1">
      <alignment horizontal="left" vertical="center"/>
    </xf>
    <xf numFmtId="0" fontId="4" fillId="0" borderId="39" xfId="6" applyFont="1" applyBorder="1" applyAlignment="1">
      <alignment horizontal="center"/>
    </xf>
    <xf numFmtId="0" fontId="4" fillId="0" borderId="28" xfId="6" applyFont="1" applyBorder="1" applyAlignment="1">
      <alignment horizontal="left" vertical="center"/>
    </xf>
    <xf numFmtId="0" fontId="4" fillId="0" borderId="40" xfId="6" applyFont="1" applyBorder="1" applyAlignment="1">
      <alignment horizontal="left" vertical="center"/>
    </xf>
    <xf numFmtId="0" fontId="8" fillId="0" borderId="12" xfId="6" applyFont="1" applyBorder="1" applyAlignment="1">
      <alignment horizontal="left" vertical="center"/>
    </xf>
    <xf numFmtId="0" fontId="26" fillId="11" borderId="44" xfId="0" applyFont="1" applyFill="1" applyBorder="1" applyAlignment="1">
      <alignment horizontal="center" vertical="center"/>
    </xf>
    <xf numFmtId="0" fontId="10" fillId="12" borderId="15" xfId="0" applyFont="1" applyFill="1" applyBorder="1" applyAlignment="1">
      <alignment horizontal="center" wrapText="1"/>
    </xf>
    <xf numFmtId="0" fontId="10" fillId="11" borderId="20" xfId="0" applyFont="1" applyFill="1" applyBorder="1" applyAlignment="1">
      <alignment horizontal="center" vertical="center"/>
    </xf>
    <xf numFmtId="0" fontId="28" fillId="11" borderId="19" xfId="0" applyFont="1" applyFill="1" applyBorder="1" applyAlignment="1">
      <alignment horizontal="left" vertical="center"/>
    </xf>
    <xf numFmtId="0" fontId="28" fillId="11" borderId="17" xfId="0" applyFont="1" applyFill="1" applyBorder="1" applyAlignment="1">
      <alignment horizontal="left" vertical="center"/>
    </xf>
    <xf numFmtId="0" fontId="28" fillId="11" borderId="20" xfId="0" applyFont="1" applyFill="1" applyBorder="1" applyAlignment="1">
      <alignment horizontal="left" vertical="center"/>
    </xf>
    <xf numFmtId="0" fontId="28" fillId="0" borderId="17" xfId="0" applyFont="1" applyBorder="1" applyAlignment="1">
      <alignment horizontal="left" vertical="center"/>
    </xf>
    <xf numFmtId="0" fontId="13" fillId="0" borderId="17" xfId="0" applyFont="1" applyBorder="1" applyAlignment="1">
      <alignment horizontal="left" vertical="center" wrapText="1"/>
    </xf>
    <xf numFmtId="0" fontId="13" fillId="0" borderId="17" xfId="0" applyFont="1" applyBorder="1" applyAlignment="1">
      <alignment horizontal="left" vertical="center"/>
    </xf>
    <xf numFmtId="0" fontId="29" fillId="0" borderId="17" xfId="0" applyFont="1" applyBorder="1" applyAlignment="1">
      <alignment horizontal="left" vertical="center"/>
    </xf>
    <xf numFmtId="0" fontId="32" fillId="14" borderId="34" xfId="5" applyFont="1" applyFill="1" applyBorder="1" applyAlignment="1">
      <alignment horizontal="center" vertical="center" wrapText="1"/>
    </xf>
    <xf numFmtId="0" fontId="20" fillId="0" borderId="17" xfId="5" applyFont="1" applyBorder="1" applyAlignment="1">
      <alignment horizontal="center" vertical="center" wrapText="1"/>
    </xf>
    <xf numFmtId="0" fontId="20" fillId="0" borderId="19" xfId="5" applyFont="1" applyBorder="1" applyAlignment="1">
      <alignment horizontal="center" vertical="center" wrapText="1"/>
    </xf>
    <xf numFmtId="0" fontId="28" fillId="11" borderId="20" xfId="0" applyFont="1" applyFill="1" applyBorder="1" applyAlignment="1">
      <alignment horizontal="center" vertical="center"/>
    </xf>
    <xf numFmtId="0" fontId="28" fillId="11" borderId="45" xfId="0" applyFont="1" applyFill="1" applyBorder="1" applyAlignment="1">
      <alignment horizontal="left" vertical="center"/>
    </xf>
    <xf numFmtId="0" fontId="22" fillId="13" borderId="46" xfId="0" applyFont="1" applyFill="1" applyBorder="1" applyAlignment="1">
      <alignment horizontal="justify" wrapText="1"/>
    </xf>
    <xf numFmtId="0" fontId="46" fillId="15" borderId="4" xfId="15" applyFont="1" applyFill="1" applyBorder="1" applyAlignment="1">
      <alignment horizontal="center" vertical="center" wrapText="1"/>
    </xf>
    <xf numFmtId="0" fontId="53" fillId="11" borderId="22" xfId="15" applyFont="1" applyFill="1" applyBorder="1" applyAlignment="1">
      <alignment horizontal="center" vertical="center"/>
    </xf>
    <xf numFmtId="0" fontId="49" fillId="11" borderId="44" xfId="9" applyFont="1" applyFill="1" applyBorder="1" applyAlignment="1">
      <alignment horizontal="center" vertical="center"/>
    </xf>
    <xf numFmtId="0" fontId="50" fillId="12" borderId="15" xfId="0" applyFont="1" applyFill="1" applyBorder="1" applyAlignment="1">
      <alignment horizontal="center" vertical="center" wrapText="1"/>
    </xf>
    <xf numFmtId="0" fontId="52" fillId="11" borderId="17" xfId="15" applyFont="1" applyFill="1" applyBorder="1" applyAlignment="1">
      <alignment horizontal="center" vertical="center" wrapText="1"/>
    </xf>
    <xf numFmtId="0" fontId="46" fillId="11" borderId="4" xfId="15" applyFont="1" applyFill="1" applyBorder="1" applyAlignment="1">
      <alignment horizontal="center" vertical="center" wrapText="1"/>
    </xf>
    <xf numFmtId="0" fontId="46" fillId="11" borderId="4" xfId="15" applyFont="1" applyFill="1" applyBorder="1" applyAlignment="1">
      <alignment horizontal="center" vertical="center"/>
    </xf>
    <xf numFmtId="0" fontId="46" fillId="11" borderId="19" xfId="15" applyFont="1" applyFill="1" applyBorder="1" applyAlignment="1">
      <alignment horizontal="center" vertical="center" wrapText="1"/>
    </xf>
    <xf numFmtId="49" fontId="8" fillId="11" borderId="22" xfId="15" applyNumberFormat="1" applyFont="1" applyFill="1" applyBorder="1" applyAlignment="1">
      <alignment horizontal="left" vertical="center" wrapText="1"/>
    </xf>
    <xf numFmtId="0" fontId="21" fillId="0" borderId="44" xfId="9" applyFont="1" applyBorder="1" applyAlignment="1">
      <alignment horizontal="center" vertical="center"/>
    </xf>
    <xf numFmtId="0" fontId="64" fillId="12" borderId="20" xfId="0" applyFont="1" applyFill="1" applyBorder="1" applyAlignment="1">
      <alignment horizontal="center" vertical="center" wrapText="1"/>
    </xf>
    <xf numFmtId="0" fontId="10" fillId="0" borderId="20" xfId="15" applyFont="1" applyBorder="1" applyAlignment="1">
      <alignment horizontal="center" vertical="center"/>
    </xf>
    <xf numFmtId="49" fontId="8" fillId="11" borderId="4" xfId="15" applyNumberFormat="1" applyFont="1" applyFill="1" applyBorder="1" applyAlignment="1">
      <alignment horizontal="left" vertical="center" wrapText="1"/>
    </xf>
    <xf numFmtId="0" fontId="10" fillId="0" borderId="18" xfId="15" applyFont="1" applyBorder="1" applyAlignment="1">
      <alignment horizontal="center" vertical="center"/>
    </xf>
    <xf numFmtId="0" fontId="10" fillId="0" borderId="49" xfId="15" applyFont="1" applyBorder="1" applyAlignment="1">
      <alignment horizontal="center" vertical="center"/>
    </xf>
    <xf numFmtId="0" fontId="10" fillId="0" borderId="21" xfId="15" applyFont="1" applyBorder="1" applyAlignment="1">
      <alignment horizontal="center" vertical="center"/>
    </xf>
    <xf numFmtId="0" fontId="24" fillId="23" borderId="56" xfId="0" applyFont="1" applyFill="1" applyBorder="1" applyAlignment="1">
      <alignment horizontal="left"/>
    </xf>
    <xf numFmtId="0" fontId="46" fillId="12" borderId="4" xfId="15" applyFont="1" applyFill="1" applyBorder="1" applyAlignment="1">
      <alignment horizontal="center" vertical="center" wrapText="1"/>
    </xf>
    <xf numFmtId="0" fontId="49" fillId="11" borderId="9" xfId="9" applyFont="1" applyFill="1" applyBorder="1" applyAlignment="1">
      <alignment horizontal="center" vertical="center"/>
    </xf>
    <xf numFmtId="0" fontId="46" fillId="12" borderId="15" xfId="0" applyFont="1" applyFill="1" applyBorder="1" applyAlignment="1">
      <alignment horizontal="center" vertical="center" wrapText="1"/>
    </xf>
    <xf numFmtId="0" fontId="57" fillId="5" borderId="4" xfId="25" applyNumberFormat="1" applyFont="1" applyFill="1" applyBorder="1" applyAlignment="1" applyProtection="1">
      <alignment horizontal="center" vertical="center" wrapText="1"/>
    </xf>
    <xf numFmtId="0" fontId="46" fillId="5" borderId="4" xfId="25" applyNumberFormat="1" applyFont="1" applyFill="1" applyBorder="1" applyAlignment="1" applyProtection="1">
      <alignment horizontal="center" vertical="center" wrapText="1"/>
    </xf>
    <xf numFmtId="0" fontId="51" fillId="0" borderId="20" xfId="9" applyFont="1" applyBorder="1" applyAlignment="1">
      <alignment horizontal="left" vertical="center"/>
    </xf>
    <xf numFmtId="0" fontId="53" fillId="27" borderId="45" xfId="9" applyFont="1" applyFill="1" applyBorder="1" applyAlignment="1">
      <alignment horizontal="center" vertical="center" wrapText="1"/>
    </xf>
    <xf numFmtId="0" fontId="53" fillId="27" borderId="70" xfId="9" applyFont="1" applyFill="1" applyBorder="1" applyAlignment="1">
      <alignment horizontal="center" vertical="center" wrapText="1"/>
    </xf>
    <xf numFmtId="4" fontId="46" fillId="0" borderId="24" xfId="0" applyNumberFormat="1" applyFont="1" applyBorder="1" applyAlignment="1">
      <alignment horizontal="center" vertical="center"/>
    </xf>
    <xf numFmtId="4" fontId="46" fillId="0" borderId="22" xfId="0" applyNumberFormat="1" applyFont="1" applyBorder="1" applyAlignment="1">
      <alignment horizontal="center" vertical="center"/>
    </xf>
    <xf numFmtId="0" fontId="53" fillId="11" borderId="51" xfId="9" applyFont="1" applyFill="1" applyBorder="1" applyAlignment="1">
      <alignment horizontal="left" vertical="center"/>
    </xf>
    <xf numFmtId="4" fontId="46" fillId="0" borderId="11" xfId="9" applyNumberFormat="1" applyFont="1" applyBorder="1" applyAlignment="1">
      <alignment horizontal="center" vertical="center"/>
    </xf>
    <xf numFmtId="4" fontId="46" fillId="0" borderId="17" xfId="9" applyNumberFormat="1" applyFont="1" applyBorder="1" applyAlignment="1">
      <alignment horizontal="center" vertical="center"/>
    </xf>
    <xf numFmtId="0" fontId="29" fillId="8" borderId="4" xfId="13" applyFont="1" applyFill="1" applyBorder="1" applyAlignment="1">
      <alignment horizontal="center" vertical="center"/>
    </xf>
    <xf numFmtId="10" fontId="31" fillId="8" borderId="4" xfId="13" applyNumberFormat="1" applyFont="1" applyFill="1" applyBorder="1" applyAlignment="1">
      <alignment horizontal="center" vertical="center"/>
    </xf>
    <xf numFmtId="0" fontId="31" fillId="8" borderId="4" xfId="13" applyFont="1" applyFill="1" applyBorder="1" applyAlignment="1">
      <alignment horizontal="left" vertical="center" wrapText="1"/>
    </xf>
    <xf numFmtId="0" fontId="38" fillId="8" borderId="4" xfId="13" applyFont="1" applyFill="1" applyBorder="1" applyAlignment="1" applyProtection="1">
      <alignment horizontal="center" vertical="center"/>
      <protection locked="0"/>
    </xf>
    <xf numFmtId="0" fontId="37" fillId="11" borderId="4" xfId="13" applyFont="1" applyFill="1" applyBorder="1" applyAlignment="1">
      <alignment horizontal="center" vertical="center" wrapText="1"/>
    </xf>
    <xf numFmtId="0" fontId="39" fillId="18" borderId="4" xfId="13" applyFont="1" applyFill="1" applyBorder="1" applyAlignment="1">
      <alignment horizontal="left" vertical="center"/>
    </xf>
    <xf numFmtId="0" fontId="12" fillId="0" borderId="4" xfId="13" applyFont="1" applyBorder="1" applyAlignment="1">
      <alignment horizontal="left" vertical="center"/>
    </xf>
    <xf numFmtId="0" fontId="31" fillId="0" borderId="4" xfId="13" applyFont="1" applyBorder="1" applyAlignment="1">
      <alignment horizontal="left" vertical="center" wrapText="1"/>
    </xf>
    <xf numFmtId="0" fontId="12" fillId="0" borderId="4" xfId="13" applyFont="1" applyBorder="1" applyAlignment="1" applyProtection="1">
      <alignment horizontal="left" vertical="center"/>
      <protection locked="0"/>
    </xf>
    <xf numFmtId="0" fontId="31" fillId="0" borderId="4" xfId="13" applyFont="1" applyBorder="1" applyAlignment="1" applyProtection="1">
      <alignment horizontal="left" vertical="center"/>
      <protection locked="0"/>
    </xf>
    <xf numFmtId="0" fontId="31" fillId="11" borderId="4" xfId="13" applyFont="1" applyFill="1" applyBorder="1" applyAlignment="1" applyProtection="1">
      <alignment horizontal="left" vertical="center" wrapText="1"/>
      <protection locked="0"/>
    </xf>
    <xf numFmtId="0" fontId="31" fillId="11" borderId="4" xfId="13" applyFont="1" applyFill="1" applyBorder="1" applyAlignment="1" applyProtection="1">
      <alignment horizontal="center" vertical="center"/>
      <protection locked="0"/>
    </xf>
    <xf numFmtId="0" fontId="12" fillId="0" borderId="4" xfId="13" applyFont="1" applyBorder="1" applyAlignment="1" applyProtection="1">
      <alignment horizontal="left" vertical="center" wrapText="1"/>
      <protection locked="0"/>
    </xf>
    <xf numFmtId="0" fontId="10" fillId="0" borderId="4" xfId="13" applyFont="1" applyBorder="1" applyAlignment="1" applyProtection="1">
      <alignment horizontal="left" vertical="center" wrapText="1"/>
      <protection locked="0"/>
    </xf>
    <xf numFmtId="0" fontId="31" fillId="0" borderId="4" xfId="13" applyFont="1" applyBorder="1" applyAlignment="1">
      <alignment horizontal="left" vertical="center"/>
    </xf>
    <xf numFmtId="0" fontId="31" fillId="11" borderId="4" xfId="13" applyFont="1" applyFill="1" applyBorder="1" applyAlignment="1">
      <alignment horizontal="center" vertical="center"/>
    </xf>
    <xf numFmtId="0" fontId="31" fillId="8" borderId="4" xfId="13" applyFont="1" applyFill="1" applyBorder="1" applyAlignment="1">
      <alignment horizontal="center" vertical="center"/>
    </xf>
    <xf numFmtId="0" fontId="23" fillId="16" borderId="20" xfId="6" applyFont="1" applyFill="1" applyBorder="1" applyAlignment="1">
      <alignment horizontal="center" vertical="center" wrapText="1"/>
    </xf>
    <xf numFmtId="0" fontId="8" fillId="0" borderId="20" xfId="6" applyFont="1" applyBorder="1" applyAlignment="1">
      <alignment horizontal="center" vertical="center" wrapText="1"/>
    </xf>
    <xf numFmtId="0" fontId="12" fillId="8" borderId="62" xfId="6" applyFont="1" applyFill="1" applyBorder="1" applyAlignment="1">
      <alignment horizontal="center" vertical="center"/>
    </xf>
    <xf numFmtId="0" fontId="21" fillId="11" borderId="63" xfId="6" applyFont="1" applyFill="1" applyBorder="1" applyAlignment="1">
      <alignment horizontal="center" vertical="center" wrapText="1"/>
    </xf>
    <xf numFmtId="0" fontId="10" fillId="11" borderId="46" xfId="6" applyFont="1" applyFill="1" applyBorder="1" applyAlignment="1">
      <alignment horizontal="center" vertical="center" textRotation="90"/>
    </xf>
    <xf numFmtId="0" fontId="8" fillId="11" borderId="44" xfId="6" applyFont="1" applyFill="1" applyBorder="1" applyAlignment="1">
      <alignment horizontal="center" vertical="center" wrapText="1"/>
    </xf>
    <xf numFmtId="0" fontId="21" fillId="11" borderId="51" xfId="6" applyFont="1" applyFill="1" applyBorder="1" applyAlignment="1">
      <alignment horizontal="center" vertical="center"/>
    </xf>
    <xf numFmtId="0" fontId="21" fillId="11" borderId="46" xfId="6" applyFont="1" applyFill="1" applyBorder="1" applyAlignment="1">
      <alignment horizontal="center" vertical="center" wrapText="1"/>
    </xf>
    <xf numFmtId="0" fontId="8" fillId="11" borderId="36" xfId="6" applyFont="1" applyFill="1" applyBorder="1" applyAlignment="1">
      <alignment horizontal="center" vertical="center" wrapText="1"/>
    </xf>
    <xf numFmtId="0" fontId="8" fillId="11" borderId="9" xfId="6" applyFont="1" applyFill="1" applyBorder="1" applyAlignment="1">
      <alignment horizontal="center" vertical="center" wrapText="1"/>
    </xf>
    <xf numFmtId="0" fontId="8" fillId="11" borderId="60" xfId="6" applyFont="1" applyFill="1" applyBorder="1" applyAlignment="1">
      <alignment horizontal="center" vertical="center" wrapText="1"/>
    </xf>
    <xf numFmtId="0" fontId="10" fillId="11" borderId="60" xfId="6" applyFont="1" applyFill="1" applyBorder="1" applyAlignment="1">
      <alignment horizontal="center" vertical="center" wrapText="1"/>
    </xf>
    <xf numFmtId="0" fontId="12" fillId="11" borderId="35" xfId="6" applyFont="1" applyFill="1" applyBorder="1" applyAlignment="1">
      <alignment horizontal="center" vertical="center" wrapText="1"/>
    </xf>
    <xf numFmtId="0" fontId="20" fillId="11" borderId="64" xfId="6" applyFont="1" applyFill="1" applyBorder="1" applyAlignment="1">
      <alignment horizontal="center" vertical="center" wrapText="1"/>
    </xf>
    <xf numFmtId="0" fontId="12" fillId="11" borderId="33" xfId="6" applyFont="1" applyFill="1" applyBorder="1" applyAlignment="1">
      <alignment horizontal="center" vertical="center" wrapText="1"/>
    </xf>
    <xf numFmtId="0" fontId="12" fillId="11" borderId="38" xfId="6" applyFont="1" applyFill="1" applyBorder="1" applyAlignment="1">
      <alignment horizontal="center" vertical="center" wrapText="1"/>
    </xf>
    <xf numFmtId="0" fontId="12" fillId="11" borderId="36" xfId="6" applyFont="1" applyFill="1" applyBorder="1" applyAlignment="1">
      <alignment horizontal="center" vertical="center" wrapText="1"/>
    </xf>
    <xf numFmtId="0" fontId="12" fillId="11" borderId="34" xfId="6" applyFont="1" applyFill="1" applyBorder="1" applyAlignment="1">
      <alignment horizontal="center" vertical="center" wrapText="1"/>
    </xf>
    <xf numFmtId="0" fontId="12" fillId="11" borderId="57" xfId="6" applyFont="1" applyFill="1" applyBorder="1" applyAlignment="1">
      <alignment horizontal="center" vertical="center" wrapText="1"/>
    </xf>
    <xf numFmtId="0" fontId="8" fillId="0" borderId="44" xfId="6" applyFont="1" applyBorder="1" applyAlignment="1">
      <alignment horizontal="center" vertical="center" textRotation="90"/>
    </xf>
    <xf numFmtId="0" fontId="12" fillId="0" borderId="44" xfId="6" applyFont="1" applyBorder="1" applyAlignment="1">
      <alignment horizontal="left" vertical="center" wrapText="1"/>
    </xf>
    <xf numFmtId="0" fontId="12" fillId="0" borderId="46" xfId="6" applyFont="1" applyBorder="1" applyAlignment="1">
      <alignment horizontal="left" vertical="top" wrapText="1"/>
    </xf>
    <xf numFmtId="0" fontId="4" fillId="0" borderId="3" xfId="6" applyFont="1" applyBorder="1" applyAlignment="1">
      <alignment horizontal="left" vertical="center" wrapText="1"/>
    </xf>
    <xf numFmtId="0" fontId="21" fillId="11" borderId="9" xfId="6" applyFont="1" applyFill="1" applyBorder="1" applyAlignment="1">
      <alignment horizontal="center" vertical="center" wrapText="1"/>
    </xf>
    <xf numFmtId="0" fontId="21" fillId="11" borderId="9" xfId="6" applyFont="1" applyFill="1" applyBorder="1" applyAlignment="1">
      <alignment horizontal="left" vertical="center"/>
    </xf>
    <xf numFmtId="0" fontId="16" fillId="0" borderId="44" xfId="6" applyFont="1" applyBorder="1" applyAlignment="1">
      <alignment horizontal="left"/>
    </xf>
    <xf numFmtId="4" fontId="10" fillId="12" borderId="28" xfId="17" applyNumberFormat="1" applyFont="1" applyFill="1" applyBorder="1" applyAlignment="1" applyProtection="1">
      <alignment horizontal="center" vertical="center" wrapText="1"/>
    </xf>
    <xf numFmtId="0" fontId="12" fillId="0" borderId="17" xfId="9" applyFont="1" applyBorder="1" applyAlignment="1">
      <alignment vertical="center"/>
    </xf>
    <xf numFmtId="0" fontId="10" fillId="11" borderId="51" xfId="9" applyFont="1" applyFill="1" applyBorder="1" applyAlignment="1">
      <alignment horizontal="left" vertical="center"/>
    </xf>
    <xf numFmtId="0" fontId="10" fillId="11" borderId="60" xfId="9" applyFont="1" applyFill="1" applyBorder="1" applyAlignment="1">
      <alignment horizontal="center" vertical="center"/>
    </xf>
    <xf numFmtId="0" fontId="12" fillId="0" borderId="17" xfId="9" applyFont="1" applyBorder="1" applyAlignment="1">
      <alignment horizontal="left" vertical="center"/>
    </xf>
    <xf numFmtId="0" fontId="10" fillId="11" borderId="45" xfId="9" applyFont="1" applyFill="1" applyBorder="1" applyAlignment="1">
      <alignment horizontal="center" vertical="center"/>
    </xf>
    <xf numFmtId="0" fontId="10" fillId="11" borderId="17" xfId="9" applyFont="1" applyFill="1" applyBorder="1" applyAlignment="1">
      <alignment vertical="center"/>
    </xf>
    <xf numFmtId="0" fontId="10" fillId="11" borderId="17" xfId="9" applyFont="1" applyFill="1" applyBorder="1" applyAlignment="1">
      <alignment vertical="center" wrapText="1"/>
    </xf>
    <xf numFmtId="0" fontId="10" fillId="11" borderId="22" xfId="0" applyFont="1" applyFill="1" applyBorder="1" applyAlignment="1">
      <alignment vertical="center"/>
    </xf>
    <xf numFmtId="0" fontId="12" fillId="0" borderId="17" xfId="9" applyFont="1" applyBorder="1" applyAlignment="1">
      <alignment horizontal="center" vertical="center"/>
    </xf>
    <xf numFmtId="4" fontId="12" fillId="0" borderId="50" xfId="9" applyNumberFormat="1" applyFont="1" applyBorder="1" applyAlignment="1">
      <alignment horizontal="center" vertical="center" wrapText="1"/>
    </xf>
    <xf numFmtId="0" fontId="12" fillId="0" borderId="17" xfId="9" applyFont="1" applyBorder="1" applyAlignment="1">
      <alignment horizontal="left" vertical="center" wrapText="1"/>
    </xf>
    <xf numFmtId="0" fontId="12" fillId="0" borderId="45" xfId="9" applyFont="1" applyBorder="1" applyAlignment="1">
      <alignment horizontal="left" vertical="center"/>
    </xf>
    <xf numFmtId="0" fontId="10" fillId="11" borderId="5" xfId="9" applyFont="1" applyFill="1" applyBorder="1" applyAlignment="1">
      <alignment horizontal="left" vertical="center"/>
    </xf>
    <xf numFmtId="0" fontId="10" fillId="11" borderId="34" xfId="9" applyFont="1" applyFill="1" applyBorder="1" applyAlignment="1">
      <alignment horizontal="center" vertical="center"/>
    </xf>
    <xf numFmtId="0" fontId="13" fillId="0" borderId="4" xfId="9" applyFont="1" applyBorder="1" applyAlignment="1">
      <alignment horizontal="center" vertical="center"/>
    </xf>
    <xf numFmtId="4" fontId="13" fillId="0" borderId="19" xfId="9" applyNumberFormat="1" applyFont="1" applyBorder="1" applyAlignment="1">
      <alignment horizontal="center" vertical="center" wrapText="1"/>
    </xf>
    <xf numFmtId="0" fontId="12" fillId="0" borderId="45" xfId="9" applyFont="1" applyBorder="1" applyAlignment="1">
      <alignment horizontal="center" vertical="center"/>
    </xf>
    <xf numFmtId="0" fontId="12" fillId="0" borderId="4" xfId="9" applyFont="1" applyBorder="1" applyAlignment="1" applyProtection="1">
      <alignment horizontal="left" vertical="center" wrapText="1"/>
      <protection locked="0"/>
    </xf>
    <xf numFmtId="0" fontId="10" fillId="11" borderId="4" xfId="9" applyFont="1" applyFill="1" applyBorder="1" applyAlignment="1">
      <alignment horizontal="left" vertical="center"/>
    </xf>
    <xf numFmtId="0" fontId="12" fillId="0" borderId="56" xfId="9" applyFont="1" applyBorder="1" applyAlignment="1">
      <alignment horizontal="left" vertical="center"/>
    </xf>
    <xf numFmtId="9" fontId="10" fillId="11" borderId="57" xfId="17" applyFont="1" applyFill="1" applyBorder="1" applyAlignment="1" applyProtection="1">
      <alignment horizontal="left" vertical="center"/>
    </xf>
    <xf numFmtId="0" fontId="10" fillId="11" borderId="15" xfId="9" applyFont="1" applyFill="1" applyBorder="1" applyAlignment="1">
      <alignment horizontal="center" vertical="center"/>
    </xf>
    <xf numFmtId="0" fontId="12" fillId="0" borderId="4" xfId="9" applyFont="1" applyBorder="1" applyAlignment="1">
      <alignment horizontal="center" vertical="center"/>
    </xf>
    <xf numFmtId="4" fontId="12" fillId="0" borderId="19" xfId="9" applyNumberFormat="1" applyFont="1" applyBorder="1" applyAlignment="1">
      <alignment horizontal="center" vertical="center"/>
    </xf>
    <xf numFmtId="0" fontId="21" fillId="11" borderId="9" xfId="9" applyFont="1" applyFill="1" applyBorder="1" applyAlignment="1">
      <alignment horizontal="center" vertical="center" wrapText="1"/>
    </xf>
    <xf numFmtId="0" fontId="21" fillId="11" borderId="44" xfId="9" applyFont="1" applyFill="1" applyBorder="1" applyAlignment="1">
      <alignment horizontal="center" vertical="center"/>
    </xf>
    <xf numFmtId="0" fontId="5" fillId="0" borderId="46" xfId="9" applyFont="1" applyBorder="1" applyAlignment="1">
      <alignment horizontal="left" vertical="center" wrapText="1"/>
    </xf>
    <xf numFmtId="0" fontId="10" fillId="0" borderId="34" xfId="9" applyFont="1" applyBorder="1" applyAlignment="1">
      <alignment horizontal="left" vertical="center" wrapText="1"/>
    </xf>
    <xf numFmtId="4" fontId="29" fillId="11" borderId="9" xfId="9" applyNumberFormat="1" applyFont="1" applyFill="1" applyBorder="1" applyAlignment="1">
      <alignment horizontal="center" vertical="center" wrapText="1"/>
    </xf>
    <xf numFmtId="0" fontId="10" fillId="11" borderId="53" xfId="9" applyFont="1" applyFill="1" applyBorder="1" applyAlignment="1">
      <alignment horizontal="left" vertical="center" wrapText="1"/>
    </xf>
    <xf numFmtId="0" fontId="21" fillId="15" borderId="4" xfId="0" applyFont="1" applyFill="1" applyBorder="1" applyAlignment="1">
      <alignment horizontal="center" vertical="center" wrapText="1"/>
    </xf>
    <xf numFmtId="0" fontId="29" fillId="0" borderId="21" xfId="0" applyFont="1" applyBorder="1" applyAlignment="1">
      <alignment horizontal="left" vertical="center"/>
    </xf>
    <xf numFmtId="0" fontId="10" fillId="15" borderId="4" xfId="0" applyFont="1" applyFill="1" applyBorder="1" applyAlignment="1">
      <alignment horizontal="center" vertical="center" wrapText="1"/>
    </xf>
    <xf numFmtId="0" fontId="32" fillId="15" borderId="4" xfId="0" applyFont="1" applyFill="1" applyBorder="1" applyAlignment="1">
      <alignment horizontal="center" vertical="center"/>
    </xf>
    <xf numFmtId="0" fontId="30" fillId="0" borderId="4" xfId="0" applyFont="1" applyBorder="1" applyAlignment="1">
      <alignment wrapText="1"/>
    </xf>
    <xf numFmtId="1" fontId="60" fillId="0" borderId="12" xfId="9" applyNumberFormat="1" applyFont="1" applyBorder="1" applyAlignment="1">
      <alignment horizontal="center" vertical="top" wrapText="1"/>
    </xf>
    <xf numFmtId="1" fontId="60" fillId="0" borderId="4" xfId="9" applyNumberFormat="1" applyFont="1" applyBorder="1" applyAlignment="1">
      <alignment horizontal="center" vertical="top" wrapText="1"/>
    </xf>
    <xf numFmtId="0" fontId="30" fillId="0" borderId="0" xfId="0" applyFont="1" applyAlignment="1">
      <alignment vertical="center" wrapText="1"/>
    </xf>
  </cellXfs>
  <cellStyles count="33">
    <cellStyle name="Excel Built-in Explanatory Text" xfId="29" xr:uid="{00000000-0005-0000-0000-000000000000}"/>
    <cellStyle name="Excel Built-in Explanatory Text 1" xfId="28" xr:uid="{00000000-0005-0000-0000-000001000000}"/>
    <cellStyle name="Excel Built-in Explanatory Text 2" xfId="30" xr:uid="{00000000-0005-0000-0000-000002000000}"/>
    <cellStyle name="Moeda" xfId="2" builtinId="4"/>
    <cellStyle name="Moeda 8" xfId="4" xr:uid="{00000000-0005-0000-0000-000004000000}"/>
    <cellStyle name="Normal" xfId="0" builtinId="0"/>
    <cellStyle name="Normal 12" xfId="5" xr:uid="{00000000-0005-0000-0000-000006000000}"/>
    <cellStyle name="Normal 2" xfId="6" xr:uid="{00000000-0005-0000-0000-000007000000}"/>
    <cellStyle name="Normal 2 2" xfId="7" xr:uid="{00000000-0005-0000-0000-000008000000}"/>
    <cellStyle name="Normal 2 2 2" xfId="8" xr:uid="{00000000-0005-0000-0000-000009000000}"/>
    <cellStyle name="Normal 3" xfId="9" xr:uid="{00000000-0005-0000-0000-00000A000000}"/>
    <cellStyle name="Normal 3 3" xfId="10" xr:uid="{00000000-0005-0000-0000-00000B000000}"/>
    <cellStyle name="Normal 4" xfId="11" xr:uid="{00000000-0005-0000-0000-00000C000000}"/>
    <cellStyle name="Normal 7 2" xfId="12" xr:uid="{00000000-0005-0000-0000-00000D000000}"/>
    <cellStyle name="Normal 8" xfId="13" xr:uid="{00000000-0005-0000-0000-00000E000000}"/>
    <cellStyle name="Normal 9" xfId="14" xr:uid="{00000000-0005-0000-0000-00000F000000}"/>
    <cellStyle name="Normal_Plan1" xfId="15" xr:uid="{00000000-0005-0000-0000-000010000000}"/>
    <cellStyle name="Porcentagem" xfId="3" builtinId="5"/>
    <cellStyle name="Porcentagem 12" xfId="16" xr:uid="{00000000-0005-0000-0000-000012000000}"/>
    <cellStyle name="Porcentagem 2" xfId="17" xr:uid="{00000000-0005-0000-0000-000013000000}"/>
    <cellStyle name="Porcentagem 4" xfId="18" xr:uid="{00000000-0005-0000-0000-000014000000}"/>
    <cellStyle name="Porcentagem 4 3" xfId="19" xr:uid="{00000000-0005-0000-0000-000015000000}"/>
    <cellStyle name="Separador de milhares 2" xfId="32" xr:uid="{00000000-0005-0000-0000-000017000000}"/>
    <cellStyle name="Separador de milhares 2 2" xfId="20" xr:uid="{00000000-0005-0000-0000-000018000000}"/>
    <cellStyle name="Separador de milhares 2 2 2" xfId="21" xr:uid="{00000000-0005-0000-0000-000019000000}"/>
    <cellStyle name="Separador de milhares 3" xfId="22" xr:uid="{00000000-0005-0000-0000-00001A000000}"/>
    <cellStyle name="Separador de milhares 3 3" xfId="23" xr:uid="{00000000-0005-0000-0000-00001B000000}"/>
    <cellStyle name="Separador de milhares 4 3" xfId="24" xr:uid="{00000000-0005-0000-0000-00001C000000}"/>
    <cellStyle name="Texto Explicativo 4" xfId="25" xr:uid="{00000000-0005-0000-0000-00001D000000}"/>
    <cellStyle name="Vírgula" xfId="1" builtinId="3"/>
    <cellStyle name="Vírgula 2" xfId="26" xr:uid="{00000000-0005-0000-0000-00001E000000}"/>
    <cellStyle name="Vírgula 4" xfId="27" xr:uid="{00000000-0005-0000-0000-00001F000000}"/>
    <cellStyle name="Vírgula 5" xfId="31" xr:uid="{00000000-0005-0000-0000-000020000000}"/>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indexedColors>
      <rgbColor rgb="FF000000"/>
      <rgbColor rgb="FFFFFFFF"/>
      <rgbColor rgb="FFFF0000"/>
      <rgbColor rgb="FF00FF00"/>
      <rgbColor rgb="FF0000FF"/>
      <rgbColor rgb="FFF2DCDB"/>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FC7CE"/>
      <rgbColor rgb="FF0070C0"/>
      <rgbColor rgb="FFBDD7EE"/>
      <rgbColor rgb="FF000080"/>
      <rgbColor rgb="FFFF00FF"/>
      <rgbColor rgb="FFF2F2F2"/>
      <rgbColor rgb="FF00FFFF"/>
      <rgbColor rgb="FF800080"/>
      <rgbColor rgb="FFC00000"/>
      <rgbColor rgb="FF008080"/>
      <rgbColor rgb="FF0000FF"/>
      <rgbColor rgb="FF00B0F0"/>
      <rgbColor rgb="FFDCE6F2"/>
      <rgbColor rgb="FFC6EFCE"/>
      <rgbColor rgb="FFFFFF99"/>
      <rgbColor rgb="FFADB9CA"/>
      <rgbColor rgb="FFD99797"/>
      <rgbColor rgb="FFBFBFBF"/>
      <rgbColor rgb="FFF8CBAD"/>
      <rgbColor rgb="FF3366CC"/>
      <rgbColor rgb="FF33CCCC"/>
      <rgbColor rgb="FF99CC00"/>
      <rgbColor rgb="FFFFD966"/>
      <rgbColor rgb="FFFF9900"/>
      <rgbColor rgb="FFFF6600"/>
      <rgbColor rgb="FF606060"/>
      <rgbColor rgb="FF999999"/>
      <rgbColor rgb="FF10243E"/>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38160</xdr:colOff>
      <xdr:row>0</xdr:row>
      <xdr:rowOff>76320</xdr:rowOff>
    </xdr:from>
    <xdr:to>
      <xdr:col>1</xdr:col>
      <xdr:colOff>3600</xdr:colOff>
      <xdr:row>2</xdr:row>
      <xdr:rowOff>85320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xdr:blipFill>
      <xdr:spPr>
        <a:xfrm>
          <a:off x="38160" y="76320"/>
          <a:ext cx="408600" cy="47556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580680</xdr:colOff>
      <xdr:row>2</xdr:row>
      <xdr:rowOff>133200</xdr:rowOff>
    </xdr:to>
    <xdr:pic>
      <xdr:nvPicPr>
        <xdr:cNvPr id="2" name="Picture 1">
          <a:extLst>
            <a:ext uri="{FF2B5EF4-FFF2-40B4-BE49-F238E27FC236}">
              <a16:creationId xmlns:a16="http://schemas.microsoft.com/office/drawing/2014/main" id="{92BB2993-FC62-4C22-88E9-1B3E0993F0A3}"/>
            </a:ext>
          </a:extLst>
        </xdr:cNvPr>
        <xdr:cNvPicPr/>
      </xdr:nvPicPr>
      <xdr:blipFill>
        <a:blip xmlns:r="http://schemas.openxmlformats.org/officeDocument/2006/relationships" r:embed="rId1" cstate="print"/>
        <a:stretch/>
      </xdr:blipFill>
      <xdr:spPr>
        <a:xfrm>
          <a:off x="171360" y="38160"/>
          <a:ext cx="409320" cy="4608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580680</xdr:colOff>
      <xdr:row>2</xdr:row>
      <xdr:rowOff>133200</xdr:rowOff>
    </xdr:to>
    <xdr:pic>
      <xdr:nvPicPr>
        <xdr:cNvPr id="2" name="Picture 1">
          <a:extLst>
            <a:ext uri="{FF2B5EF4-FFF2-40B4-BE49-F238E27FC236}">
              <a16:creationId xmlns:a16="http://schemas.microsoft.com/office/drawing/2014/main" id="{8F31009E-5F91-4841-838E-EC6D9B6C8D71}"/>
            </a:ext>
          </a:extLst>
        </xdr:cNvPr>
        <xdr:cNvPicPr/>
      </xdr:nvPicPr>
      <xdr:blipFill>
        <a:blip xmlns:r="http://schemas.openxmlformats.org/officeDocument/2006/relationships" r:embed="rId1" cstate="print"/>
        <a:stretch/>
      </xdr:blipFill>
      <xdr:spPr>
        <a:xfrm>
          <a:off x="171360" y="38160"/>
          <a:ext cx="409320" cy="46080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580680</xdr:colOff>
      <xdr:row>2</xdr:row>
      <xdr:rowOff>133200</xdr:rowOff>
    </xdr:to>
    <xdr:pic>
      <xdr:nvPicPr>
        <xdr:cNvPr id="36" name="Picture 1">
          <a:extLst>
            <a:ext uri="{FF2B5EF4-FFF2-40B4-BE49-F238E27FC236}">
              <a16:creationId xmlns:a16="http://schemas.microsoft.com/office/drawing/2014/main" id="{00000000-0008-0000-0800-000024000000}"/>
            </a:ext>
          </a:extLst>
        </xdr:cNvPr>
        <xdr:cNvPicPr/>
      </xdr:nvPicPr>
      <xdr:blipFill>
        <a:blip xmlns:r="http://schemas.openxmlformats.org/officeDocument/2006/relationships" r:embed="rId1" cstate="print"/>
        <a:stretch/>
      </xdr:blipFill>
      <xdr:spPr>
        <a:xfrm>
          <a:off x="171360" y="38160"/>
          <a:ext cx="409320" cy="41868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580680</xdr:colOff>
      <xdr:row>2</xdr:row>
      <xdr:rowOff>133200</xdr:rowOff>
    </xdr:to>
    <xdr:pic>
      <xdr:nvPicPr>
        <xdr:cNvPr id="37" name="Picture 1">
          <a:extLst>
            <a:ext uri="{FF2B5EF4-FFF2-40B4-BE49-F238E27FC236}">
              <a16:creationId xmlns:a16="http://schemas.microsoft.com/office/drawing/2014/main" id="{00000000-0008-0000-0900-000025000000}"/>
            </a:ext>
          </a:extLst>
        </xdr:cNvPr>
        <xdr:cNvPicPr/>
      </xdr:nvPicPr>
      <xdr:blipFill>
        <a:blip xmlns:r="http://schemas.openxmlformats.org/officeDocument/2006/relationships" r:embed="rId1" cstate="print"/>
        <a:stretch/>
      </xdr:blipFill>
      <xdr:spPr>
        <a:xfrm>
          <a:off x="171360" y="38160"/>
          <a:ext cx="409320" cy="41868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142920</xdr:colOff>
      <xdr:row>0</xdr:row>
      <xdr:rowOff>38160</xdr:rowOff>
    </xdr:from>
    <xdr:to>
      <xdr:col>0</xdr:col>
      <xdr:colOff>456840</xdr:colOff>
      <xdr:row>2</xdr:row>
      <xdr:rowOff>133200</xdr:rowOff>
    </xdr:to>
    <xdr:pic>
      <xdr:nvPicPr>
        <xdr:cNvPr id="41" name="Picture 1">
          <a:extLst>
            <a:ext uri="{FF2B5EF4-FFF2-40B4-BE49-F238E27FC236}">
              <a16:creationId xmlns:a16="http://schemas.microsoft.com/office/drawing/2014/main" id="{00000000-0008-0000-0D00-000029000000}"/>
            </a:ext>
          </a:extLst>
        </xdr:cNvPr>
        <xdr:cNvPicPr/>
      </xdr:nvPicPr>
      <xdr:blipFill>
        <a:blip xmlns:r="http://schemas.openxmlformats.org/officeDocument/2006/relationships" r:embed="rId1" cstate="print"/>
        <a:stretch/>
      </xdr:blipFill>
      <xdr:spPr>
        <a:xfrm>
          <a:off x="142920" y="38160"/>
          <a:ext cx="313920" cy="4759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402840</xdr:colOff>
      <xdr:row>2</xdr:row>
      <xdr:rowOff>28440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xdr:blipFill>
      <xdr:spPr>
        <a:xfrm>
          <a:off x="95400" y="57240"/>
          <a:ext cx="307440" cy="29484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112680</xdr:colOff>
      <xdr:row>0</xdr:row>
      <xdr:rowOff>56160</xdr:rowOff>
    </xdr:from>
    <xdr:to>
      <xdr:col>0</xdr:col>
      <xdr:colOff>571320</xdr:colOff>
      <xdr:row>2</xdr:row>
      <xdr:rowOff>204480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xdr:blipFill>
      <xdr:spPr>
        <a:xfrm>
          <a:off x="112680" y="56160"/>
          <a:ext cx="458640" cy="52920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47520</xdr:colOff>
      <xdr:row>0</xdr:row>
      <xdr:rowOff>0</xdr:rowOff>
    </xdr:from>
    <xdr:to>
      <xdr:col>0</xdr:col>
      <xdr:colOff>456840</xdr:colOff>
      <xdr:row>2</xdr:row>
      <xdr:rowOff>95040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tretch/>
      </xdr:blipFill>
      <xdr:spPr>
        <a:xfrm>
          <a:off x="47520" y="0"/>
          <a:ext cx="409320" cy="4759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67320</xdr:colOff>
      <xdr:row>0</xdr:row>
      <xdr:rowOff>111960</xdr:rowOff>
    </xdr:from>
    <xdr:to>
      <xdr:col>1</xdr:col>
      <xdr:colOff>24480</xdr:colOff>
      <xdr:row>2</xdr:row>
      <xdr:rowOff>44280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stretch/>
      </xdr:blipFill>
      <xdr:spPr>
        <a:xfrm>
          <a:off x="67320" y="111960"/>
          <a:ext cx="309960" cy="3416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38160</xdr:colOff>
      <xdr:row>0</xdr:row>
      <xdr:rowOff>85680</xdr:rowOff>
    </xdr:from>
    <xdr:to>
      <xdr:col>0</xdr:col>
      <xdr:colOff>361800</xdr:colOff>
      <xdr:row>2</xdr:row>
      <xdr:rowOff>104400</xdr:rowOff>
    </xdr:to>
    <xdr:pic>
      <xdr:nvPicPr>
        <xdr:cNvPr id="5" name="Picture 1">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stretch/>
      </xdr:blipFill>
      <xdr:spPr>
        <a:xfrm>
          <a:off x="38160" y="85680"/>
          <a:ext cx="323640" cy="30420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264600</xdr:colOff>
      <xdr:row>0</xdr:row>
      <xdr:rowOff>52200</xdr:rowOff>
    </xdr:from>
    <xdr:to>
      <xdr:col>0</xdr:col>
      <xdr:colOff>638640</xdr:colOff>
      <xdr:row>2</xdr:row>
      <xdr:rowOff>82440</xdr:rowOff>
    </xdr:to>
    <xdr:pic>
      <xdr:nvPicPr>
        <xdr:cNvPr id="6" name="Picture 1">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cstate="print"/>
        <a:stretch/>
      </xdr:blipFill>
      <xdr:spPr>
        <a:xfrm>
          <a:off x="264600" y="52200"/>
          <a:ext cx="374040" cy="35388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399960</xdr:colOff>
      <xdr:row>2</xdr:row>
      <xdr:rowOff>28440</xdr:rowOff>
    </xdr:to>
    <xdr:pic>
      <xdr:nvPicPr>
        <xdr:cNvPr id="40" name="Picture 1">
          <a:extLst>
            <a:ext uri="{FF2B5EF4-FFF2-40B4-BE49-F238E27FC236}">
              <a16:creationId xmlns:a16="http://schemas.microsoft.com/office/drawing/2014/main" id="{00000000-0008-0000-0C00-000028000000}"/>
            </a:ext>
          </a:extLst>
        </xdr:cNvPr>
        <xdr:cNvPicPr/>
      </xdr:nvPicPr>
      <xdr:blipFill>
        <a:blip xmlns:r="http://schemas.openxmlformats.org/officeDocument/2006/relationships" r:embed="rId1" cstate="print"/>
        <a:stretch/>
      </xdr:blipFill>
      <xdr:spPr>
        <a:xfrm>
          <a:off x="95400" y="57240"/>
          <a:ext cx="304560" cy="29484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257040</xdr:colOff>
      <xdr:row>0</xdr:row>
      <xdr:rowOff>66600</xdr:rowOff>
    </xdr:from>
    <xdr:to>
      <xdr:col>0</xdr:col>
      <xdr:colOff>666360</xdr:colOff>
      <xdr:row>2</xdr:row>
      <xdr:rowOff>104400</xdr:rowOff>
    </xdr:to>
    <xdr:pic>
      <xdr:nvPicPr>
        <xdr:cNvPr id="39" name="Picture 1">
          <a:extLst>
            <a:ext uri="{FF2B5EF4-FFF2-40B4-BE49-F238E27FC236}">
              <a16:creationId xmlns:a16="http://schemas.microsoft.com/office/drawing/2014/main" id="{00000000-0008-0000-0B00-000027000000}"/>
            </a:ext>
          </a:extLst>
        </xdr:cNvPr>
        <xdr:cNvPicPr/>
      </xdr:nvPicPr>
      <xdr:blipFill>
        <a:blip xmlns:r="http://schemas.openxmlformats.org/officeDocument/2006/relationships" r:embed="rId1" cstate="print"/>
        <a:stretch/>
      </xdr:blipFill>
      <xdr:spPr>
        <a:xfrm>
          <a:off x="257040" y="66600"/>
          <a:ext cx="409320" cy="41868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9797"/>
  </sheetPr>
  <dimension ref="A1:AMJ79"/>
  <sheetViews>
    <sheetView showGridLines="0" zoomScale="115" zoomScaleNormal="115" workbookViewId="0">
      <selection activeCell="A4" sqref="A4:XFD79"/>
    </sheetView>
  </sheetViews>
  <sheetFormatPr defaultColWidth="9.140625" defaultRowHeight="15" x14ac:dyDescent="0.25"/>
  <cols>
    <col min="1" max="1" width="6.28515625" style="2" customWidth="1"/>
    <col min="2" max="2" width="41.42578125" style="2" customWidth="1"/>
    <col min="3" max="3" width="7.85546875" style="2" customWidth="1"/>
    <col min="4" max="4" width="16.28515625" style="2" customWidth="1"/>
    <col min="5" max="5" width="16.140625" style="2" customWidth="1"/>
    <col min="6" max="7" width="16.28515625" style="2" customWidth="1"/>
    <col min="8" max="8" width="13.28515625" style="2" customWidth="1"/>
    <col min="9" max="10" width="16.28515625" style="2" customWidth="1"/>
    <col min="11" max="12" width="13.85546875" style="3" customWidth="1"/>
    <col min="13" max="13" width="14.28515625" style="3" customWidth="1"/>
    <col min="14" max="14" width="16.7109375" style="2" customWidth="1"/>
    <col min="15" max="15" width="12.85546875" style="2" customWidth="1"/>
    <col min="16" max="16" width="18.42578125" style="2" customWidth="1"/>
    <col min="17" max="17" width="13.7109375" style="2" customWidth="1"/>
    <col min="18" max="18" width="15.85546875" style="4" customWidth="1"/>
    <col min="19" max="19" width="9.42578125" style="4" customWidth="1"/>
    <col min="20" max="20" width="13.28515625" style="4" customWidth="1"/>
    <col min="21" max="21" width="13.85546875" style="4" customWidth="1"/>
    <col min="22" max="22" width="15.85546875" style="4" customWidth="1"/>
    <col min="23" max="23" width="12.28515625" style="4" customWidth="1"/>
    <col min="24" max="256" width="9.140625" style="2"/>
    <col min="257" max="257" width="6.28515625" style="2" customWidth="1"/>
    <col min="258" max="258" width="41.42578125" style="2" customWidth="1"/>
    <col min="259" max="259" width="7.85546875" style="2" customWidth="1"/>
    <col min="260" max="260" width="16.28515625" style="2" customWidth="1"/>
    <col min="261" max="261" width="12.85546875" style="2" customWidth="1"/>
    <col min="262" max="263" width="16.28515625" style="2" customWidth="1"/>
    <col min="264" max="264" width="13.28515625" style="2" customWidth="1"/>
    <col min="265" max="266" width="16.28515625" style="2" customWidth="1"/>
    <col min="267" max="268" width="13.85546875" style="2" customWidth="1"/>
    <col min="269" max="269" width="13" style="2" customWidth="1"/>
    <col min="270" max="270" width="13.5703125" style="2" customWidth="1"/>
    <col min="271" max="271" width="12.85546875" style="2" customWidth="1"/>
    <col min="272" max="272" width="14.140625" style="2" customWidth="1"/>
    <col min="273" max="273" width="12" style="2" customWidth="1"/>
    <col min="274" max="274" width="13" style="2" customWidth="1"/>
    <col min="275" max="275" width="11.85546875" style="2" customWidth="1"/>
    <col min="276" max="276" width="13.28515625" style="2" customWidth="1"/>
    <col min="277" max="277" width="12.28515625" style="2" customWidth="1"/>
    <col min="278" max="278" width="12.42578125" style="2" customWidth="1"/>
    <col min="279" max="279" width="10.5703125" style="2" customWidth="1"/>
    <col min="280" max="512" width="9.140625" style="2"/>
    <col min="513" max="513" width="6.28515625" style="2" customWidth="1"/>
    <col min="514" max="514" width="41.42578125" style="2" customWidth="1"/>
    <col min="515" max="515" width="7.85546875" style="2" customWidth="1"/>
    <col min="516" max="516" width="16.28515625" style="2" customWidth="1"/>
    <col min="517" max="517" width="12.85546875" style="2" customWidth="1"/>
    <col min="518" max="519" width="16.28515625" style="2" customWidth="1"/>
    <col min="520" max="520" width="13.28515625" style="2" customWidth="1"/>
    <col min="521" max="522" width="16.28515625" style="2" customWidth="1"/>
    <col min="523" max="524" width="13.85546875" style="2" customWidth="1"/>
    <col min="525" max="525" width="13" style="2" customWidth="1"/>
    <col min="526" max="526" width="13.5703125" style="2" customWidth="1"/>
    <col min="527" max="527" width="12.85546875" style="2" customWidth="1"/>
    <col min="528" max="528" width="14.140625" style="2" customWidth="1"/>
    <col min="529" max="529" width="12" style="2" customWidth="1"/>
    <col min="530" max="530" width="13" style="2" customWidth="1"/>
    <col min="531" max="531" width="11.85546875" style="2" customWidth="1"/>
    <col min="532" max="532" width="13.28515625" style="2" customWidth="1"/>
    <col min="533" max="533" width="12.28515625" style="2" customWidth="1"/>
    <col min="534" max="534" width="12.42578125" style="2" customWidth="1"/>
    <col min="535" max="535" width="10.5703125" style="2" customWidth="1"/>
    <col min="536" max="768" width="9.140625" style="2"/>
    <col min="769" max="769" width="6.28515625" style="2" customWidth="1"/>
    <col min="770" max="770" width="41.42578125" style="2" customWidth="1"/>
    <col min="771" max="771" width="7.85546875" style="2" customWidth="1"/>
    <col min="772" max="772" width="16.28515625" style="2" customWidth="1"/>
    <col min="773" max="773" width="12.85546875" style="2" customWidth="1"/>
    <col min="774" max="775" width="16.28515625" style="2" customWidth="1"/>
    <col min="776" max="776" width="13.28515625" style="2" customWidth="1"/>
    <col min="777" max="778" width="16.28515625" style="2" customWidth="1"/>
    <col min="779" max="780" width="13.85546875" style="2" customWidth="1"/>
    <col min="781" max="781" width="13" style="2" customWidth="1"/>
    <col min="782" max="782" width="13.5703125" style="2" customWidth="1"/>
    <col min="783" max="783" width="12.85546875" style="2" customWidth="1"/>
    <col min="784" max="784" width="14.140625" style="2" customWidth="1"/>
    <col min="785" max="785" width="12" style="2" customWidth="1"/>
    <col min="786" max="786" width="13" style="2" customWidth="1"/>
    <col min="787" max="787" width="11.85546875" style="2" customWidth="1"/>
    <col min="788" max="788" width="13.28515625" style="2" customWidth="1"/>
    <col min="789" max="789" width="12.28515625" style="2" customWidth="1"/>
    <col min="790" max="790" width="12.42578125" style="2" customWidth="1"/>
    <col min="791" max="791" width="10.5703125" style="2" customWidth="1"/>
    <col min="792" max="1024" width="9.140625" style="2"/>
  </cols>
  <sheetData>
    <row r="1" spans="1:23" ht="17.25" customHeight="1" x14ac:dyDescent="0.25">
      <c r="A1" s="5"/>
      <c r="B1" s="6" t="str">
        <f>INSTRUÇÕES!B1</f>
        <v>Tribunal Regional Federal da 6ª Região</v>
      </c>
      <c r="T1" s="7"/>
      <c r="U1" s="7"/>
      <c r="V1" s="7"/>
    </row>
    <row r="2" spans="1:23" s="12" customFormat="1" ht="19.5" customHeight="1" x14ac:dyDescent="0.25">
      <c r="A2" s="8"/>
      <c r="B2" s="9" t="str">
        <f>INSTRUÇÕES!B2</f>
        <v>Seção Judiciária de Minas Gerais</v>
      </c>
      <c r="C2" s="555" t="s">
        <v>0</v>
      </c>
      <c r="D2" s="555"/>
      <c r="E2" s="555"/>
      <c r="F2" s="555"/>
      <c r="G2" s="555"/>
      <c r="H2" s="555"/>
      <c r="I2" s="555"/>
      <c r="J2" s="555"/>
      <c r="K2" s="555"/>
      <c r="L2" s="555"/>
      <c r="M2" s="555"/>
      <c r="N2" s="555"/>
      <c r="O2" s="555"/>
      <c r="P2" s="555"/>
      <c r="Q2" s="555"/>
      <c r="R2" s="555"/>
      <c r="S2" s="555"/>
      <c r="T2" s="10"/>
      <c r="U2" s="10"/>
      <c r="V2" s="10"/>
      <c r="W2" s="11"/>
    </row>
    <row r="3" spans="1:23" s="12" customFormat="1" ht="21.75" customHeight="1" x14ac:dyDescent="0.25">
      <c r="A3" s="8"/>
      <c r="B3" s="13" t="str">
        <f>INSTRUÇÕES!B3</f>
        <v>Subseção Judiciária de Janaúba</v>
      </c>
      <c r="C3" s="555" t="s">
        <v>1</v>
      </c>
      <c r="D3" s="555"/>
      <c r="E3" s="555"/>
      <c r="F3" s="555"/>
      <c r="G3" s="555"/>
      <c r="H3" s="555"/>
      <c r="I3" s="555"/>
      <c r="J3" s="555"/>
      <c r="K3" s="555"/>
      <c r="L3" s="555"/>
      <c r="M3" s="555"/>
      <c r="N3" s="555"/>
      <c r="O3" s="555"/>
      <c r="P3" s="555"/>
      <c r="Q3" s="555"/>
      <c r="R3" s="555"/>
      <c r="S3" s="555"/>
      <c r="W3" s="11"/>
    </row>
    <row r="4" spans="1:23" s="17" customFormat="1" ht="30.75" hidden="1" customHeight="1" x14ac:dyDescent="0.25">
      <c r="A4" s="556" t="s">
        <v>2</v>
      </c>
      <c r="B4" s="556"/>
      <c r="C4" s="556"/>
      <c r="D4" s="557" t="s">
        <v>3</v>
      </c>
      <c r="E4" s="557"/>
      <c r="F4" s="14"/>
      <c r="G4" s="14"/>
      <c r="H4" s="14"/>
      <c r="I4" s="14"/>
      <c r="J4" s="15"/>
      <c r="K4" s="15"/>
      <c r="L4" s="15"/>
      <c r="M4" s="15"/>
      <c r="N4" s="15"/>
      <c r="O4" s="16"/>
      <c r="R4" s="18"/>
      <c r="S4" s="18"/>
      <c r="T4" s="18"/>
      <c r="U4" s="18"/>
      <c r="V4" s="18"/>
      <c r="W4" s="18"/>
    </row>
    <row r="5" spans="1:23" s="17" customFormat="1" ht="23.25" hidden="1" customHeight="1" x14ac:dyDescent="0.25">
      <c r="A5" s="556" t="s">
        <v>4</v>
      </c>
      <c r="B5" s="556"/>
      <c r="C5" s="556"/>
      <c r="D5" s="1" t="s">
        <v>5</v>
      </c>
      <c r="E5" s="19">
        <f>VLOOKUP(D5,B62:C65,2,FALSE())</f>
        <v>30</v>
      </c>
      <c r="F5" s="14" t="str">
        <f>VLOOKUP(D5,B63:D65,3,FALSE())</f>
        <v>Obs: Desconto atualmente aplicado (30 dias corridos).</v>
      </c>
      <c r="G5" s="14"/>
      <c r="H5" s="14"/>
      <c r="I5" s="14"/>
      <c r="J5" s="15"/>
      <c r="K5" s="15"/>
      <c r="L5" s="15"/>
      <c r="M5" s="15"/>
      <c r="N5" s="15"/>
      <c r="O5" s="16"/>
      <c r="R5" s="18"/>
      <c r="S5" s="18"/>
      <c r="T5" s="18"/>
      <c r="U5" s="18"/>
      <c r="V5" s="18"/>
      <c r="W5" s="18"/>
    </row>
    <row r="6" spans="1:23" s="17" customFormat="1" ht="24" hidden="1" thickBot="1" x14ac:dyDescent="0.3">
      <c r="A6" s="15"/>
      <c r="B6" s="15"/>
      <c r="C6" s="15"/>
      <c r="D6" s="15"/>
      <c r="E6" s="15"/>
      <c r="F6" s="15"/>
      <c r="G6" s="15"/>
      <c r="H6" s="15"/>
      <c r="I6" s="15"/>
      <c r="J6" s="15"/>
      <c r="K6" s="15"/>
      <c r="L6" s="15"/>
      <c r="M6" s="15"/>
      <c r="N6" s="15"/>
      <c r="O6" s="16"/>
      <c r="R6" s="18"/>
      <c r="S6" s="18"/>
      <c r="T6" s="18"/>
      <c r="U6" s="18"/>
      <c r="V6" s="18"/>
      <c r="W6" s="18"/>
    </row>
    <row r="7" spans="1:23" s="17" customFormat="1" ht="15.75" hidden="1" customHeight="1" thickBot="1" x14ac:dyDescent="0.3">
      <c r="A7" s="567" t="s">
        <v>6</v>
      </c>
      <c r="B7" s="567"/>
      <c r="C7" s="567"/>
      <c r="D7" s="566" t="s">
        <v>7</v>
      </c>
      <c r="E7" s="559" t="s">
        <v>8</v>
      </c>
      <c r="F7" s="554" t="s">
        <v>9</v>
      </c>
      <c r="G7" s="554" t="s">
        <v>10</v>
      </c>
      <c r="H7" s="566" t="s">
        <v>11</v>
      </c>
      <c r="I7" s="559" t="s">
        <v>12</v>
      </c>
      <c r="J7" s="554" t="s">
        <v>13</v>
      </c>
      <c r="K7" s="558" t="s">
        <v>14</v>
      </c>
      <c r="L7" s="563" t="s">
        <v>15</v>
      </c>
      <c r="M7" s="563" t="s">
        <v>16</v>
      </c>
      <c r="N7" s="564" t="s">
        <v>17</v>
      </c>
      <c r="O7" s="565" t="s">
        <v>18</v>
      </c>
      <c r="P7" s="554" t="s">
        <v>19</v>
      </c>
      <c r="Q7" s="554" t="s">
        <v>20</v>
      </c>
      <c r="R7" s="558" t="s">
        <v>21</v>
      </c>
      <c r="S7" s="559" t="s">
        <v>22</v>
      </c>
      <c r="T7" s="560" t="s">
        <v>23</v>
      </c>
      <c r="U7" s="560"/>
      <c r="V7" s="560"/>
      <c r="W7" s="560"/>
    </row>
    <row r="8" spans="1:23" s="17" customFormat="1" ht="16.5" hidden="1" thickBot="1" x14ac:dyDescent="0.3">
      <c r="A8" s="567"/>
      <c r="B8" s="567"/>
      <c r="C8" s="567"/>
      <c r="D8" s="566"/>
      <c r="E8" s="559"/>
      <c r="F8" s="554"/>
      <c r="G8" s="554"/>
      <c r="H8" s="566"/>
      <c r="I8" s="559"/>
      <c r="J8" s="554"/>
      <c r="K8" s="558"/>
      <c r="L8" s="563"/>
      <c r="M8" s="563"/>
      <c r="N8" s="564"/>
      <c r="O8" s="565"/>
      <c r="P8" s="554"/>
      <c r="Q8" s="554"/>
      <c r="R8" s="558"/>
      <c r="S8" s="559"/>
      <c r="T8" s="560"/>
      <c r="U8" s="560"/>
      <c r="V8" s="560"/>
      <c r="W8" s="560"/>
    </row>
    <row r="9" spans="1:23" s="17" customFormat="1" ht="60" hidden="1" customHeight="1" thickBot="1" x14ac:dyDescent="0.3">
      <c r="A9" s="567"/>
      <c r="B9" s="567"/>
      <c r="C9" s="567"/>
      <c r="D9" s="566"/>
      <c r="E9" s="559"/>
      <c r="F9" s="554"/>
      <c r="G9" s="554"/>
      <c r="H9" s="566"/>
      <c r="I9" s="559"/>
      <c r="J9" s="554"/>
      <c r="K9" s="558"/>
      <c r="L9" s="563"/>
      <c r="M9" s="563"/>
      <c r="N9" s="564"/>
      <c r="O9" s="565"/>
      <c r="P9" s="554"/>
      <c r="Q9" s="554"/>
      <c r="R9" s="558"/>
      <c r="S9" s="559"/>
      <c r="T9" s="560"/>
      <c r="U9" s="560"/>
      <c r="V9" s="560"/>
      <c r="W9" s="560"/>
    </row>
    <row r="10" spans="1:23" s="17" customFormat="1" ht="76.5" hidden="1" x14ac:dyDescent="0.25">
      <c r="A10" s="20" t="s">
        <v>24</v>
      </c>
      <c r="B10" s="21" t="s">
        <v>25</v>
      </c>
      <c r="C10" s="21" t="s">
        <v>26</v>
      </c>
      <c r="D10" s="22" t="s">
        <v>27</v>
      </c>
      <c r="E10" s="20" t="s">
        <v>28</v>
      </c>
      <c r="F10" s="21" t="s">
        <v>29</v>
      </c>
      <c r="G10" s="21" t="s">
        <v>30</v>
      </c>
      <c r="H10" s="22" t="s">
        <v>31</v>
      </c>
      <c r="I10" s="20" t="s">
        <v>32</v>
      </c>
      <c r="J10" s="21" t="s">
        <v>33</v>
      </c>
      <c r="K10" s="23" t="s">
        <v>33</v>
      </c>
      <c r="L10" s="24" t="s">
        <v>34</v>
      </c>
      <c r="M10" s="24" t="s">
        <v>35</v>
      </c>
      <c r="N10" s="24" t="s">
        <v>36</v>
      </c>
      <c r="O10" s="25" t="s">
        <v>37</v>
      </c>
      <c r="P10" s="21" t="s">
        <v>38</v>
      </c>
      <c r="Q10" s="21" t="s">
        <v>39</v>
      </c>
      <c r="R10" s="23" t="s">
        <v>40</v>
      </c>
      <c r="S10" s="20" t="s">
        <v>41</v>
      </c>
      <c r="T10" s="21" t="s">
        <v>42</v>
      </c>
      <c r="U10" s="21" t="s">
        <v>43</v>
      </c>
      <c r="V10" s="21" t="s">
        <v>44</v>
      </c>
      <c r="W10" s="23" t="s">
        <v>45</v>
      </c>
    </row>
    <row r="11" spans="1:23" s="17" customFormat="1" ht="15.75" hidden="1" x14ac:dyDescent="0.25">
      <c r="A11" s="26">
        <f>Dados!B7</f>
        <v>1</v>
      </c>
      <c r="B11" s="27" t="str">
        <f>Dados!C7</f>
        <v>Auxiliar Administrativo</v>
      </c>
      <c r="C11" s="28">
        <f>Dados!D7</f>
        <v>150</v>
      </c>
      <c r="D11" s="29">
        <v>0</v>
      </c>
      <c r="E11" s="26" t="s">
        <v>46</v>
      </c>
      <c r="F11" s="28">
        <f>IF(E11="NÃO",0,D11*Dados!$G$34)</f>
        <v>0</v>
      </c>
      <c r="G11" s="30">
        <v>0</v>
      </c>
      <c r="H11" s="29">
        <v>0</v>
      </c>
      <c r="I11" s="31">
        <v>0</v>
      </c>
      <c r="J11" s="30">
        <v>0</v>
      </c>
      <c r="K11" s="32">
        <f t="shared" ref="K11:K14" si="0">I11+J11</f>
        <v>0</v>
      </c>
      <c r="L11" s="33">
        <v>0</v>
      </c>
      <c r="M11" s="33">
        <v>0</v>
      </c>
      <c r="N11" s="363"/>
      <c r="O11" s="34">
        <f>Resumo!S12</f>
        <v>0</v>
      </c>
      <c r="P11" s="364"/>
      <c r="Q11" s="36">
        <f>Resumo!W12</f>
        <v>3230.55</v>
      </c>
      <c r="R11" s="37">
        <f>Dados!O7+Dados!P7</f>
        <v>0</v>
      </c>
      <c r="S11" s="26">
        <v>1</v>
      </c>
      <c r="T11" s="36">
        <f>Dados!M7*Encargos!$H$59</f>
        <v>440.48477374799995</v>
      </c>
      <c r="U11" s="38" t="s">
        <v>622</v>
      </c>
      <c r="V11" s="39">
        <f>SUMIF($S$11:$S$14,1,$Q$11:$Q$14)</f>
        <v>3230.55</v>
      </c>
      <c r="W11" s="40">
        <f>SUMIF($S$11:$S$14,1,$T$11:$T$14)</f>
        <v>440.48477374799995</v>
      </c>
    </row>
    <row r="12" spans="1:23" s="17" customFormat="1" ht="15.75" hidden="1" x14ac:dyDescent="0.25">
      <c r="A12" s="26">
        <f>Dados!B8</f>
        <v>1</v>
      </c>
      <c r="B12" s="27" t="str">
        <f>Dados!C8</f>
        <v>Zelador</v>
      </c>
      <c r="C12" s="28">
        <f>Dados!D8</f>
        <v>150</v>
      </c>
      <c r="D12" s="29">
        <v>0</v>
      </c>
      <c r="E12" s="26" t="s">
        <v>46</v>
      </c>
      <c r="F12" s="28">
        <f>IF(E12="NÃO",0,D12*Dados!$G$34)</f>
        <v>0</v>
      </c>
      <c r="G12" s="30">
        <v>0</v>
      </c>
      <c r="H12" s="29">
        <v>0</v>
      </c>
      <c r="I12" s="31">
        <v>0</v>
      </c>
      <c r="J12" s="30">
        <v>0</v>
      </c>
      <c r="K12" s="32">
        <f t="shared" si="0"/>
        <v>0</v>
      </c>
      <c r="L12" s="33">
        <v>0</v>
      </c>
      <c r="M12" s="33">
        <v>0</v>
      </c>
      <c r="N12" s="363"/>
      <c r="O12" s="34">
        <f>Resumo!S13</f>
        <v>0</v>
      </c>
      <c r="P12" s="364"/>
      <c r="Q12" s="36">
        <f>Resumo!W13</f>
        <v>3282.5</v>
      </c>
      <c r="R12" s="37">
        <f>Dados!O8+Dados!P8</f>
        <v>8.11</v>
      </c>
      <c r="S12" s="26">
        <v>2</v>
      </c>
      <c r="T12" s="36">
        <f>Dados!M8*Encargos!$H$59</f>
        <v>447.182889166</v>
      </c>
      <c r="U12" s="38" t="s">
        <v>47</v>
      </c>
      <c r="V12" s="39">
        <f>SUMIF($S$11:$S$14,2,$Q$11:$Q$14)</f>
        <v>12797.17</v>
      </c>
      <c r="W12" s="40">
        <f>SUMIF($S$11:$S$14,2,$T$11:$T$14)</f>
        <v>1399.322812954</v>
      </c>
    </row>
    <row r="13" spans="1:23" s="17" customFormat="1" ht="15.75" hidden="1" x14ac:dyDescent="0.25">
      <c r="A13" s="26">
        <f>Dados!B9</f>
        <v>1</v>
      </c>
      <c r="B13" s="27" t="str">
        <f>Dados!C9</f>
        <v>Servente de Limpeza</v>
      </c>
      <c r="C13" s="28">
        <f>Dados!D9</f>
        <v>150</v>
      </c>
      <c r="D13" s="29">
        <v>0</v>
      </c>
      <c r="E13" s="26" t="s">
        <v>46</v>
      </c>
      <c r="F13" s="28">
        <f>IF(E13="NÃO",0,D13*Dados!$G$34)</f>
        <v>0</v>
      </c>
      <c r="G13" s="30">
        <v>0</v>
      </c>
      <c r="H13" s="29">
        <v>0</v>
      </c>
      <c r="I13" s="31">
        <v>0</v>
      </c>
      <c r="J13" s="30">
        <v>0</v>
      </c>
      <c r="K13" s="32">
        <f t="shared" si="0"/>
        <v>0</v>
      </c>
      <c r="L13" s="33">
        <v>0</v>
      </c>
      <c r="M13" s="33">
        <v>0</v>
      </c>
      <c r="N13" s="363"/>
      <c r="O13" s="34">
        <f>Resumo!S14</f>
        <v>0</v>
      </c>
      <c r="P13" s="364"/>
      <c r="Q13" s="36">
        <f>Resumo!W14</f>
        <v>3379.63</v>
      </c>
      <c r="R13" s="37">
        <f>Dados!O9+Dados!P9</f>
        <v>777.84</v>
      </c>
      <c r="S13" s="26">
        <v>2</v>
      </c>
      <c r="T13" s="36">
        <f>Dados!M9*Encargos!$H$59</f>
        <v>315.059993996</v>
      </c>
      <c r="U13" s="38" t="s">
        <v>47</v>
      </c>
      <c r="V13" s="39"/>
      <c r="W13" s="40"/>
    </row>
    <row r="14" spans="1:23" s="17" customFormat="1" ht="16.5" hidden="1" thickBot="1" x14ac:dyDescent="0.3">
      <c r="A14" s="26">
        <f>Dados!B10</f>
        <v>1</v>
      </c>
      <c r="B14" s="27" t="str">
        <f>Dados!C10</f>
        <v>Servente de Limpeza (40%)</v>
      </c>
      <c r="C14" s="28">
        <f>Dados!D10</f>
        <v>220</v>
      </c>
      <c r="D14" s="29">
        <v>0</v>
      </c>
      <c r="E14" s="26" t="s">
        <v>46</v>
      </c>
      <c r="F14" s="28">
        <f>IF(E14="NÃO",0,D14*Dados!$G$34)</f>
        <v>0</v>
      </c>
      <c r="G14" s="30">
        <v>0</v>
      </c>
      <c r="H14" s="29">
        <v>0</v>
      </c>
      <c r="I14" s="31">
        <v>0</v>
      </c>
      <c r="J14" s="30">
        <v>0</v>
      </c>
      <c r="K14" s="32">
        <f t="shared" si="0"/>
        <v>0</v>
      </c>
      <c r="L14" s="33">
        <v>0</v>
      </c>
      <c r="M14" s="33">
        <v>0</v>
      </c>
      <c r="N14" s="33">
        <v>0</v>
      </c>
      <c r="O14" s="34">
        <f>Resumo!S15</f>
        <v>0</v>
      </c>
      <c r="P14" s="36">
        <f>Resumo!V14</f>
        <v>0</v>
      </c>
      <c r="Q14" s="36">
        <f>Resumo!W15</f>
        <v>6135.04</v>
      </c>
      <c r="R14" s="37">
        <f>Dados!O10+Dados!P10</f>
        <v>777.84</v>
      </c>
      <c r="S14" s="26">
        <v>2</v>
      </c>
      <c r="T14" s="36">
        <f>Dados!M10*Encargos!$H$59</f>
        <v>637.07992979200003</v>
      </c>
      <c r="U14" s="38" t="s">
        <v>47</v>
      </c>
      <c r="V14" s="39"/>
      <c r="W14" s="40"/>
    </row>
    <row r="15" spans="1:23" s="49" customFormat="1" ht="13.5" hidden="1" customHeight="1" thickBot="1" x14ac:dyDescent="0.3">
      <c r="A15" s="561" t="s">
        <v>48</v>
      </c>
      <c r="B15" s="561"/>
      <c r="C15" s="561"/>
      <c r="D15" s="561"/>
      <c r="E15" s="561"/>
      <c r="F15" s="561"/>
      <c r="G15" s="561"/>
      <c r="H15" s="41">
        <f>Resumo!I16</f>
        <v>0</v>
      </c>
      <c r="I15" s="562"/>
      <c r="J15" s="562"/>
      <c r="K15" s="42">
        <f>Resumo!L16</f>
        <v>0</v>
      </c>
      <c r="L15" s="43">
        <f>Resumo!O16</f>
        <v>0</v>
      </c>
      <c r="M15" s="43">
        <f>Resumo!R16</f>
        <v>0</v>
      </c>
      <c r="N15" s="44">
        <f>Resumo!V16</f>
        <v>0</v>
      </c>
      <c r="O15" s="45">
        <f>(H15+K15+L15+M15)</f>
        <v>0</v>
      </c>
      <c r="P15" s="46">
        <f>Resumo!V16</f>
        <v>0</v>
      </c>
      <c r="Q15" s="46">
        <f>SUM(Q11:Q14)</f>
        <v>16027.720000000001</v>
      </c>
      <c r="R15" s="47">
        <f>SUM(R11:R14)</f>
        <v>1563.79</v>
      </c>
      <c r="S15" s="48"/>
      <c r="T15" s="46">
        <f>SUM(T11:T14)</f>
        <v>1839.807586702</v>
      </c>
      <c r="U15" s="46"/>
      <c r="V15" s="46">
        <f>SUM(V11:V14)</f>
        <v>16027.720000000001</v>
      </c>
      <c r="W15" s="47">
        <f>SUM(W11:W14)</f>
        <v>1839.807586702</v>
      </c>
    </row>
    <row r="16" spans="1:23" hidden="1" x14ac:dyDescent="0.25">
      <c r="A16" s="50" t="s">
        <v>49</v>
      </c>
      <c r="B16" s="51"/>
      <c r="C16" s="51"/>
      <c r="D16" s="51"/>
      <c r="E16" s="51"/>
      <c r="F16" s="51"/>
      <c r="G16" s="51"/>
      <c r="H16" s="51"/>
      <c r="I16" s="51"/>
      <c r="J16" s="51"/>
    </row>
    <row r="17" spans="1:23" hidden="1" x14ac:dyDescent="0.25">
      <c r="A17" s="52" t="s">
        <v>50</v>
      </c>
      <c r="B17" s="53"/>
      <c r="C17" s="53"/>
      <c r="D17" s="53"/>
      <c r="E17" s="53"/>
      <c r="F17" s="53"/>
      <c r="G17" s="53"/>
      <c r="H17" s="53"/>
      <c r="I17" s="53"/>
      <c r="J17" s="53"/>
    </row>
    <row r="18" spans="1:23" s="49" customFormat="1" ht="25.5" hidden="1" customHeight="1" x14ac:dyDescent="0.25">
      <c r="A18" s="568" t="s">
        <v>51</v>
      </c>
      <c r="B18" s="568"/>
      <c r="C18" s="54" t="s">
        <v>52</v>
      </c>
      <c r="D18" s="54" t="s">
        <v>53</v>
      </c>
      <c r="E18" s="54" t="s">
        <v>54</v>
      </c>
      <c r="F18" s="54" t="s">
        <v>55</v>
      </c>
      <c r="H18" s="52"/>
      <c r="I18" s="55"/>
      <c r="J18" s="52"/>
      <c r="K18" s="55"/>
      <c r="L18" s="55"/>
      <c r="M18" s="55"/>
      <c r="R18" s="55"/>
      <c r="S18" s="55"/>
      <c r="T18" s="55"/>
      <c r="U18" s="55"/>
      <c r="V18" s="55"/>
      <c r="W18" s="55"/>
    </row>
    <row r="19" spans="1:23" s="49" customFormat="1" ht="12.75" hidden="1" x14ac:dyDescent="0.25">
      <c r="A19" s="568"/>
      <c r="B19" s="568"/>
      <c r="C19" s="56">
        <v>220</v>
      </c>
      <c r="D19" s="56">
        <v>10</v>
      </c>
      <c r="E19" s="56">
        <v>25</v>
      </c>
      <c r="F19" s="57">
        <f>ROUND((D19/VLOOKUP(C19,$B$68:$C$74,2,FALSE())+E19/60/VLOOKUP(C19,$B$68:$C$74,2,FALSE())),2)</f>
        <v>1.18</v>
      </c>
      <c r="H19" s="52"/>
      <c r="I19" s="55"/>
      <c r="J19" s="52"/>
      <c r="K19" s="55"/>
      <c r="L19" s="55"/>
      <c r="M19" s="55"/>
      <c r="R19" s="55"/>
      <c r="S19" s="55"/>
      <c r="T19" s="55"/>
      <c r="U19" s="55"/>
      <c r="V19" s="55"/>
      <c r="W19" s="55"/>
    </row>
    <row r="20" spans="1:23" s="49" customFormat="1" ht="15" hidden="1" customHeight="1" x14ac:dyDescent="0.25">
      <c r="A20" s="569" t="s">
        <v>579</v>
      </c>
      <c r="B20" s="569"/>
      <c r="C20" s="569"/>
      <c r="D20" s="569"/>
      <c r="E20" s="569"/>
      <c r="F20" s="569"/>
      <c r="G20" s="14"/>
      <c r="H20" s="14"/>
      <c r="I20" s="14"/>
      <c r="J20" s="52"/>
      <c r="K20" s="55"/>
      <c r="L20" s="55"/>
      <c r="M20" s="55"/>
      <c r="R20" s="55"/>
      <c r="S20" s="55"/>
      <c r="T20" s="55"/>
      <c r="U20" s="55"/>
      <c r="V20" s="55"/>
      <c r="W20" s="55"/>
    </row>
    <row r="21" spans="1:23" s="49" customFormat="1" ht="28.9" hidden="1" customHeight="1" x14ac:dyDescent="0.25">
      <c r="A21" s="569"/>
      <c r="B21" s="569"/>
      <c r="C21" s="569"/>
      <c r="D21" s="569"/>
      <c r="E21" s="569"/>
      <c r="F21" s="569"/>
      <c r="G21" s="14"/>
      <c r="H21" s="14"/>
      <c r="I21" s="14"/>
      <c r="J21" s="52"/>
      <c r="K21" s="55"/>
      <c r="L21" s="55"/>
      <c r="M21" s="55"/>
      <c r="R21" s="55"/>
      <c r="S21" s="55"/>
      <c r="T21" s="55"/>
      <c r="U21" s="55"/>
      <c r="V21" s="55"/>
      <c r="W21" s="55"/>
    </row>
    <row r="22" spans="1:23" hidden="1" x14ac:dyDescent="0.25">
      <c r="A22" s="52" t="s">
        <v>580</v>
      </c>
      <c r="B22" s="51"/>
      <c r="C22" s="51"/>
      <c r="D22" s="51"/>
      <c r="E22" s="51"/>
      <c r="F22" s="51"/>
      <c r="G22" s="51"/>
      <c r="H22" s="51"/>
      <c r="I22" s="51"/>
      <c r="J22" s="51"/>
    </row>
    <row r="23" spans="1:23" ht="15.75" hidden="1" thickBot="1" x14ac:dyDescent="0.3">
      <c r="A23" s="51"/>
      <c r="B23" s="51"/>
      <c r="C23" s="51"/>
      <c r="D23" s="51"/>
      <c r="E23" s="51"/>
      <c r="F23" s="51"/>
      <c r="G23" s="51"/>
      <c r="H23" s="51"/>
      <c r="I23" s="51"/>
      <c r="J23" s="51"/>
      <c r="N23" s="58"/>
      <c r="O23" s="59"/>
      <c r="P23" s="59"/>
    </row>
    <row r="24" spans="1:23" s="2" customFormat="1" ht="48" hidden="1" customHeight="1" thickBot="1" x14ac:dyDescent="0.3">
      <c r="A24" s="570" t="s">
        <v>56</v>
      </c>
      <c r="B24" s="571" t="s">
        <v>57</v>
      </c>
      <c r="C24" s="571"/>
      <c r="D24" s="571"/>
      <c r="E24" s="571"/>
      <c r="F24" s="572" t="s">
        <v>58</v>
      </c>
      <c r="G24" s="572"/>
      <c r="H24" s="572"/>
      <c r="I24" s="573" t="s">
        <v>59</v>
      </c>
      <c r="J24" s="573"/>
      <c r="K24" s="573"/>
      <c r="L24" s="574" t="s">
        <v>60</v>
      </c>
      <c r="M24" s="574"/>
      <c r="N24" s="574"/>
      <c r="O24" s="574"/>
      <c r="P24" s="574" t="s">
        <v>61</v>
      </c>
      <c r="Q24" s="574"/>
      <c r="R24" s="574"/>
      <c r="S24" s="574"/>
      <c r="T24" s="574"/>
      <c r="U24" s="574"/>
    </row>
    <row r="25" spans="1:23" s="2" customFormat="1" ht="63.75" hidden="1" customHeight="1" x14ac:dyDescent="0.25">
      <c r="A25" s="570"/>
      <c r="B25" s="568" t="s">
        <v>62</v>
      </c>
      <c r="C25" s="568"/>
      <c r="D25" s="568"/>
      <c r="E25" s="54" t="s">
        <v>63</v>
      </c>
      <c r="F25" s="54" t="s">
        <v>64</v>
      </c>
      <c r="G25" s="54" t="s">
        <v>65</v>
      </c>
      <c r="H25" s="60" t="s">
        <v>66</v>
      </c>
      <c r="I25" s="573"/>
      <c r="J25" s="573"/>
      <c r="K25" s="573"/>
      <c r="L25" s="61" t="s">
        <v>67</v>
      </c>
      <c r="M25" s="54" t="s">
        <v>68</v>
      </c>
      <c r="N25" s="54" t="s">
        <v>69</v>
      </c>
      <c r="O25" s="60" t="s">
        <v>70</v>
      </c>
      <c r="P25" s="62" t="s">
        <v>71</v>
      </c>
      <c r="Q25" s="54" t="s">
        <v>72</v>
      </c>
      <c r="R25" s="54" t="s">
        <v>73</v>
      </c>
      <c r="S25" s="54" t="s">
        <v>74</v>
      </c>
      <c r="T25" s="54" t="s">
        <v>75</v>
      </c>
      <c r="U25" s="60" t="s">
        <v>76</v>
      </c>
      <c r="V25" s="14" t="s">
        <v>77</v>
      </c>
    </row>
    <row r="26" spans="1:23" s="2" customFormat="1" ht="15" hidden="1" customHeight="1" x14ac:dyDescent="0.25">
      <c r="A26" s="365">
        <v>1</v>
      </c>
      <c r="B26" s="575" t="s">
        <v>508</v>
      </c>
      <c r="C26" s="576"/>
      <c r="D26" s="577"/>
      <c r="E26" s="413" t="s">
        <v>63</v>
      </c>
      <c r="F26" s="414" t="s">
        <v>534</v>
      </c>
      <c r="G26" s="367">
        <f t="shared" ref="G26:G53" si="1">IF($D$4="PLANILHA PARA LICITAÇÃO (PRECIFICAÇÃO)",L26,0)</f>
        <v>3</v>
      </c>
      <c r="H26" s="368">
        <f t="shared" ref="H26:H53" si="2">G26*P26</f>
        <v>36.660000000000004</v>
      </c>
      <c r="I26" s="553" t="str">
        <f t="shared" ref="I26:I49" si="3">IF(G26&lt;L26,"Fornecimento inferior ao estimado mensalmente",IF(G26=L26,"Fornecimento igual ao estimado mensalmente",IF(G26&gt;L26,"Fornecimento superior ao estimado mensalmente",)))</f>
        <v>Fornecimento igual ao estimado mensalmente</v>
      </c>
      <c r="J26" s="553"/>
      <c r="K26" s="553"/>
      <c r="L26" s="374">
        <f t="shared" ref="L26:L53" si="4">M26/O26</f>
        <v>3</v>
      </c>
      <c r="M26" s="369">
        <f>Materiais!J9</f>
        <v>3</v>
      </c>
      <c r="N26" s="370" t="str">
        <f>Materiais!K9</f>
        <v>Mensal</v>
      </c>
      <c r="O26" s="371">
        <f t="shared" ref="O26:O53" si="5">IF(N26="MENSAL",1,IF(N26="BIMESTRAL",2,IF(N26="TRIMESTRAL",3,IF(N26="QUADRIMESTRAL",4,IF(N26="SEMESTRAL",6,IF(N26="ANUAL",12,IF(N26="BIENAL",24,"")))))))</f>
        <v>1</v>
      </c>
      <c r="P26" s="551">
        <v>12.22</v>
      </c>
      <c r="Q26" s="372">
        <f>ROUND(IF(Dados!$J$56="SIM",P26*Dados!$N$56,P26),2)</f>
        <v>12.22</v>
      </c>
      <c r="R26" s="372">
        <f>ROUND(IF(Dados!$J$57="SIM",Q26*Dados!$N$57,Q26),2)</f>
        <v>12.22</v>
      </c>
      <c r="S26" s="372">
        <f>ROUND(IF(Dados!$J$58="SIM",R26*Dados!$N$58,R26),2)</f>
        <v>12.22</v>
      </c>
      <c r="T26" s="372">
        <f>ROUND(IF(Dados!$J$59="SIM",S26*Dados!$N$59,S26),2)</f>
        <v>12.22</v>
      </c>
      <c r="U26" s="373">
        <f>ROUND(IF(Dados!$J$60="SIM",T26*Dados!$N$60,T26),2)</f>
        <v>12.22</v>
      </c>
      <c r="V26" s="375">
        <f>IF(Dados!$D$69="INICIAL",'Ocorrências Mensais - FAT'!P26,IF(Dados!$D$69="1º IPCA",'Ocorrências Mensais - FAT'!Q26,IF(Dados!$D$69="2º IPCA",'Ocorrências Mensais - FAT'!R26,IF(Dados!$D$69="3º IPCA",'Ocorrências Mensais - FAT'!S26,IF(Dados!$D$69="4º IPCA",'Ocorrências Mensais - FAT'!T26,IF(Dados!$D$69="5º IPCA",'Ocorrências Mensais - FAT'!U26,))))))</f>
        <v>12.22</v>
      </c>
    </row>
    <row r="27" spans="1:23" s="2" customFormat="1" ht="15" hidden="1" customHeight="1" x14ac:dyDescent="0.25">
      <c r="A27" s="365">
        <v>2</v>
      </c>
      <c r="B27" s="575" t="s">
        <v>509</v>
      </c>
      <c r="C27" s="576"/>
      <c r="D27" s="577"/>
      <c r="E27" s="415" t="s">
        <v>63</v>
      </c>
      <c r="F27" s="416"/>
      <c r="G27" s="367">
        <f t="shared" si="1"/>
        <v>0.66666666666666663</v>
      </c>
      <c r="H27" s="368">
        <f t="shared" si="2"/>
        <v>9.6999999999999993</v>
      </c>
      <c r="I27" s="553" t="str">
        <f t="shared" si="3"/>
        <v>Fornecimento igual ao estimado mensalmente</v>
      </c>
      <c r="J27" s="553"/>
      <c r="K27" s="553"/>
      <c r="L27" s="374">
        <f t="shared" si="4"/>
        <v>0.66666666666666663</v>
      </c>
      <c r="M27" s="369">
        <f>Materiais!J10</f>
        <v>2</v>
      </c>
      <c r="N27" s="370" t="str">
        <f>Materiais!K10</f>
        <v>Trimestral</v>
      </c>
      <c r="O27" s="371">
        <f t="shared" si="5"/>
        <v>3</v>
      </c>
      <c r="P27" s="551">
        <v>14.55</v>
      </c>
      <c r="Q27" s="372">
        <f>ROUND(IF(Dados!$J$56="SIM",P27*Dados!$N$56,P27),2)</f>
        <v>14.55</v>
      </c>
      <c r="R27" s="372">
        <f>ROUND(IF(Dados!$J$57="SIM",Q27*Dados!$N$57,Q27),2)</f>
        <v>14.55</v>
      </c>
      <c r="S27" s="372">
        <f>ROUND(IF(Dados!$J$58="SIM",R27*Dados!$N$58,R27),2)</f>
        <v>14.55</v>
      </c>
      <c r="T27" s="372">
        <f>ROUND(IF(Dados!$J$59="SIM",S27*Dados!$N$59,S27),2)</f>
        <v>14.55</v>
      </c>
      <c r="U27" s="373">
        <f>ROUND(IF(Dados!$J$60="SIM",T27*Dados!$N$60,T27),2)</f>
        <v>14.55</v>
      </c>
      <c r="V27" s="375">
        <f>IF(Dados!$D$69="INICIAL",'Ocorrências Mensais - FAT'!P27,IF(Dados!$D$69="1º IPCA",'Ocorrências Mensais - FAT'!Q27,IF(Dados!$D$69="2º IPCA",'Ocorrências Mensais - FAT'!R27,IF(Dados!$D$69="3º IPCA",'Ocorrências Mensais - FAT'!S27,IF(Dados!$D$69="4º IPCA",'Ocorrências Mensais - FAT'!T27,IF(Dados!$D$69="5º IPCA",'Ocorrências Mensais - FAT'!U27,))))))</f>
        <v>14.55</v>
      </c>
    </row>
    <row r="28" spans="1:23" s="2" customFormat="1" ht="15" hidden="1" customHeight="1" x14ac:dyDescent="0.25">
      <c r="A28" s="365">
        <v>3</v>
      </c>
      <c r="B28" s="575" t="s">
        <v>510</v>
      </c>
      <c r="C28" s="576"/>
      <c r="D28" s="577"/>
      <c r="E28" s="415" t="s">
        <v>78</v>
      </c>
      <c r="F28" s="416" t="s">
        <v>535</v>
      </c>
      <c r="G28" s="367">
        <f t="shared" si="1"/>
        <v>0.33333333333333331</v>
      </c>
      <c r="H28" s="368">
        <f t="shared" si="2"/>
        <v>6.5233333333333334</v>
      </c>
      <c r="I28" s="553" t="str">
        <f t="shared" si="3"/>
        <v>Fornecimento igual ao estimado mensalmente</v>
      </c>
      <c r="J28" s="553"/>
      <c r="K28" s="553"/>
      <c r="L28" s="374">
        <f t="shared" si="4"/>
        <v>0.33333333333333331</v>
      </c>
      <c r="M28" s="369">
        <f>Materiais!J11</f>
        <v>2</v>
      </c>
      <c r="N28" s="370" t="str">
        <f>Materiais!K11</f>
        <v>Semestral</v>
      </c>
      <c r="O28" s="371">
        <f t="shared" si="5"/>
        <v>6</v>
      </c>
      <c r="P28" s="551">
        <v>19.57</v>
      </c>
      <c r="Q28" s="372">
        <f>ROUND(IF(Dados!$J$56="SIM",P28*Dados!$N$56,P28),2)</f>
        <v>19.57</v>
      </c>
      <c r="R28" s="372">
        <f>ROUND(IF(Dados!$J$57="SIM",Q28*Dados!$N$57,Q28),2)</f>
        <v>19.57</v>
      </c>
      <c r="S28" s="372">
        <f>ROUND(IF(Dados!$J$58="SIM",R28*Dados!$N$58,R28),2)</f>
        <v>19.57</v>
      </c>
      <c r="T28" s="372">
        <f>ROUND(IF(Dados!$J$59="SIM",S28*Dados!$N$59,S28),2)</f>
        <v>19.57</v>
      </c>
      <c r="U28" s="373">
        <f>ROUND(IF(Dados!$J$60="SIM",T28*Dados!$N$60,T28),2)</f>
        <v>19.57</v>
      </c>
      <c r="V28" s="375">
        <f>IF(Dados!$D$69="INICIAL",'Ocorrências Mensais - FAT'!P28,IF(Dados!$D$69="1º IPCA",'Ocorrências Mensais - FAT'!Q28,IF(Dados!$D$69="2º IPCA",'Ocorrências Mensais - FAT'!R28,IF(Dados!$D$69="3º IPCA",'Ocorrências Mensais - FAT'!S28,IF(Dados!$D$69="4º IPCA",'Ocorrências Mensais - FAT'!T28,IF(Dados!$D$69="5º IPCA",'Ocorrências Mensais - FAT'!U28,))))))</f>
        <v>19.57</v>
      </c>
    </row>
    <row r="29" spans="1:23" s="2" customFormat="1" ht="15" hidden="1" customHeight="1" x14ac:dyDescent="0.25">
      <c r="A29" s="365">
        <v>4</v>
      </c>
      <c r="B29" s="575" t="s">
        <v>511</v>
      </c>
      <c r="C29" s="576"/>
      <c r="D29" s="577"/>
      <c r="E29" s="415" t="s">
        <v>78</v>
      </c>
      <c r="F29" s="416" t="s">
        <v>535</v>
      </c>
      <c r="G29" s="367">
        <f t="shared" si="1"/>
        <v>0.33333333333333331</v>
      </c>
      <c r="H29" s="368">
        <f t="shared" si="2"/>
        <v>4.1266666666666669</v>
      </c>
      <c r="I29" s="553" t="str">
        <f t="shared" si="3"/>
        <v>Fornecimento igual ao estimado mensalmente</v>
      </c>
      <c r="J29" s="553"/>
      <c r="K29" s="553"/>
      <c r="L29" s="374">
        <f t="shared" si="4"/>
        <v>0.33333333333333331</v>
      </c>
      <c r="M29" s="369">
        <f>Materiais!J12</f>
        <v>2</v>
      </c>
      <c r="N29" s="370" t="str">
        <f>Materiais!K12</f>
        <v>Semestral</v>
      </c>
      <c r="O29" s="371">
        <f t="shared" si="5"/>
        <v>6</v>
      </c>
      <c r="P29" s="551">
        <v>12.38</v>
      </c>
      <c r="Q29" s="372">
        <f>ROUND(IF(Dados!$J$56="SIM",P29*Dados!$N$56,P29),2)</f>
        <v>12.38</v>
      </c>
      <c r="R29" s="372">
        <f>ROUND(IF(Dados!$J$57="SIM",Q29*Dados!$N$57,Q29),2)</f>
        <v>12.38</v>
      </c>
      <c r="S29" s="372">
        <f>ROUND(IF(Dados!$J$58="SIM",R29*Dados!$N$58,R29),2)</f>
        <v>12.38</v>
      </c>
      <c r="T29" s="372">
        <f>ROUND(IF(Dados!$J$59="SIM",S29*Dados!$N$59,S29),2)</f>
        <v>12.38</v>
      </c>
      <c r="U29" s="373">
        <f>ROUND(IF(Dados!$J$60="SIM",T29*Dados!$N$60,T29),2)</f>
        <v>12.38</v>
      </c>
      <c r="V29" s="375">
        <f>IF(Dados!$D$69="INICIAL",'Ocorrências Mensais - FAT'!P29,IF(Dados!$D$69="1º IPCA",'Ocorrências Mensais - FAT'!Q29,IF(Dados!$D$69="2º IPCA",'Ocorrências Mensais - FAT'!R29,IF(Dados!$D$69="3º IPCA",'Ocorrências Mensais - FAT'!S29,IF(Dados!$D$69="4º IPCA",'Ocorrências Mensais - FAT'!T29,IF(Dados!$D$69="5º IPCA",'Ocorrências Mensais - FAT'!U29,))))))</f>
        <v>12.38</v>
      </c>
    </row>
    <row r="30" spans="1:23" s="2" customFormat="1" ht="15" hidden="1" customHeight="1" x14ac:dyDescent="0.25">
      <c r="A30" s="365">
        <v>5</v>
      </c>
      <c r="B30" s="578" t="s">
        <v>512</v>
      </c>
      <c r="C30" s="579"/>
      <c r="D30" s="580"/>
      <c r="E30" s="415" t="s">
        <v>513</v>
      </c>
      <c r="F30" s="416" t="s">
        <v>536</v>
      </c>
      <c r="G30" s="367">
        <f t="shared" si="1"/>
        <v>1</v>
      </c>
      <c r="H30" s="368">
        <f t="shared" si="2"/>
        <v>31.92</v>
      </c>
      <c r="I30" s="553" t="str">
        <f t="shared" si="3"/>
        <v>Fornecimento igual ao estimado mensalmente</v>
      </c>
      <c r="J30" s="553"/>
      <c r="K30" s="553"/>
      <c r="L30" s="374">
        <f t="shared" si="4"/>
        <v>1</v>
      </c>
      <c r="M30" s="369">
        <f>Materiais!J13</f>
        <v>1</v>
      </c>
      <c r="N30" s="370" t="str">
        <f>Materiais!K13</f>
        <v>Mensal</v>
      </c>
      <c r="O30" s="371">
        <f t="shared" si="5"/>
        <v>1</v>
      </c>
      <c r="P30" s="551">
        <v>31.92</v>
      </c>
      <c r="Q30" s="372">
        <f>ROUND(IF(Dados!$J$56="SIM",P30*Dados!$N$56,P30),2)</f>
        <v>31.92</v>
      </c>
      <c r="R30" s="372">
        <f>ROUND(IF(Dados!$J$57="SIM",Q30*Dados!$N$57,Q30),2)</f>
        <v>31.92</v>
      </c>
      <c r="S30" s="372">
        <f>ROUND(IF(Dados!$J$58="SIM",R30*Dados!$N$58,R30),2)</f>
        <v>31.92</v>
      </c>
      <c r="T30" s="372">
        <f>ROUND(IF(Dados!$J$59="SIM",S30*Dados!$N$59,S30),2)</f>
        <v>31.92</v>
      </c>
      <c r="U30" s="373">
        <f>ROUND(IF(Dados!$J$60="SIM",T30*Dados!$N$60,T30),2)</f>
        <v>31.92</v>
      </c>
      <c r="V30" s="375">
        <f>IF(Dados!$D$69="INICIAL",'Ocorrências Mensais - FAT'!P30,IF(Dados!$D$69="1º IPCA",'Ocorrências Mensais - FAT'!Q30,IF(Dados!$D$69="2º IPCA",'Ocorrências Mensais - FAT'!R30,IF(Dados!$D$69="3º IPCA",'Ocorrências Mensais - FAT'!S30,IF(Dados!$D$69="4º IPCA",'Ocorrências Mensais - FAT'!T30,IF(Dados!$D$69="5º IPCA",'Ocorrências Mensais - FAT'!U30,))))))</f>
        <v>31.92</v>
      </c>
    </row>
    <row r="31" spans="1:23" s="2" customFormat="1" ht="15" hidden="1" customHeight="1" x14ac:dyDescent="0.25">
      <c r="A31" s="365">
        <v>6</v>
      </c>
      <c r="B31" s="575" t="s">
        <v>514</v>
      </c>
      <c r="C31" s="576"/>
      <c r="D31" s="577"/>
      <c r="E31" s="415" t="s">
        <v>515</v>
      </c>
      <c r="F31" s="416" t="s">
        <v>537</v>
      </c>
      <c r="G31" s="367">
        <f t="shared" si="1"/>
        <v>50</v>
      </c>
      <c r="H31" s="368">
        <f t="shared" si="2"/>
        <v>190</v>
      </c>
      <c r="I31" s="553" t="str">
        <f t="shared" si="3"/>
        <v>Fornecimento igual ao estimado mensalmente</v>
      </c>
      <c r="J31" s="553"/>
      <c r="K31" s="553"/>
      <c r="L31" s="374">
        <f t="shared" si="4"/>
        <v>50</v>
      </c>
      <c r="M31" s="369">
        <f>Materiais!J14</f>
        <v>50</v>
      </c>
      <c r="N31" s="370" t="str">
        <f>Materiais!K14</f>
        <v>Mensal</v>
      </c>
      <c r="O31" s="371">
        <f t="shared" si="5"/>
        <v>1</v>
      </c>
      <c r="P31" s="551">
        <v>3.8</v>
      </c>
      <c r="Q31" s="372">
        <f>ROUND(IF(Dados!$J$56="SIM",P31*Dados!$N$56,P31),2)</f>
        <v>3.8</v>
      </c>
      <c r="R31" s="372">
        <f>ROUND(IF(Dados!$J$57="SIM",Q31*Dados!$N$57,Q31),2)</f>
        <v>3.8</v>
      </c>
      <c r="S31" s="372">
        <f>ROUND(IF(Dados!$J$58="SIM",R31*Dados!$N$58,R31),2)</f>
        <v>3.8</v>
      </c>
      <c r="T31" s="372">
        <f>ROUND(IF(Dados!$J$59="SIM",S31*Dados!$N$59,S31),2)</f>
        <v>3.8</v>
      </c>
      <c r="U31" s="373">
        <f>ROUND(IF(Dados!$J$60="SIM",T31*Dados!$N$60,T31),2)</f>
        <v>3.8</v>
      </c>
      <c r="V31" s="375">
        <f>IF(Dados!$D$69="INICIAL",'Ocorrências Mensais - FAT'!P31,IF(Dados!$D$69="1º IPCA",'Ocorrências Mensais - FAT'!Q31,IF(Dados!$D$69="2º IPCA",'Ocorrências Mensais - FAT'!R31,IF(Dados!$D$69="3º IPCA",'Ocorrências Mensais - FAT'!S31,IF(Dados!$D$69="4º IPCA",'Ocorrências Mensais - FAT'!T31,IF(Dados!$D$69="5º IPCA",'Ocorrências Mensais - FAT'!U31,))))))</f>
        <v>3.8</v>
      </c>
    </row>
    <row r="32" spans="1:23" s="2" customFormat="1" ht="15" hidden="1" customHeight="1" x14ac:dyDescent="0.25">
      <c r="A32" s="365">
        <v>7</v>
      </c>
      <c r="B32" s="575" t="s">
        <v>589</v>
      </c>
      <c r="C32" s="576"/>
      <c r="D32" s="577"/>
      <c r="E32" s="415" t="s">
        <v>63</v>
      </c>
      <c r="F32" s="416" t="s">
        <v>535</v>
      </c>
      <c r="G32" s="367">
        <f t="shared" si="1"/>
        <v>5</v>
      </c>
      <c r="H32" s="368">
        <f t="shared" si="2"/>
        <v>16.25</v>
      </c>
      <c r="I32" s="553" t="str">
        <f t="shared" si="3"/>
        <v>Fornecimento igual ao estimado mensalmente</v>
      </c>
      <c r="J32" s="553"/>
      <c r="K32" s="553"/>
      <c r="L32" s="374">
        <f t="shared" si="4"/>
        <v>5</v>
      </c>
      <c r="M32" s="369">
        <f>Materiais!J15</f>
        <v>5</v>
      </c>
      <c r="N32" s="370" t="str">
        <f>Materiais!K15</f>
        <v>Mensal</v>
      </c>
      <c r="O32" s="371">
        <f t="shared" si="5"/>
        <v>1</v>
      </c>
      <c r="P32" s="551">
        <v>3.25</v>
      </c>
      <c r="Q32" s="372">
        <f>ROUND(IF(Dados!$J$56="SIM",P32*Dados!$N$56,P32),2)</f>
        <v>3.25</v>
      </c>
      <c r="R32" s="372">
        <f>ROUND(IF(Dados!$J$57="SIM",Q32*Dados!$N$57,Q32),2)</f>
        <v>3.25</v>
      </c>
      <c r="S32" s="372">
        <f>ROUND(IF(Dados!$J$58="SIM",R32*Dados!$N$58,R32),2)</f>
        <v>3.25</v>
      </c>
      <c r="T32" s="372">
        <f>ROUND(IF(Dados!$J$59="SIM",S32*Dados!$N$59,S32),2)</f>
        <v>3.25</v>
      </c>
      <c r="U32" s="373">
        <f>ROUND(IF(Dados!$J$60="SIM",T32*Dados!$N$60,T32),2)</f>
        <v>3.25</v>
      </c>
      <c r="V32" s="375">
        <f>IF(Dados!$D$69="INICIAL",'Ocorrências Mensais - FAT'!P32,IF(Dados!$D$69="1º IPCA",'Ocorrências Mensais - FAT'!Q32,IF(Dados!$D$69="2º IPCA",'Ocorrências Mensais - FAT'!R32,IF(Dados!$D$69="3º IPCA",'Ocorrências Mensais - FAT'!S32,IF(Dados!$D$69="4º IPCA",'Ocorrências Mensais - FAT'!T32,IF(Dados!$D$69="5º IPCA",'Ocorrências Mensais - FAT'!U32,))))))</f>
        <v>3.25</v>
      </c>
    </row>
    <row r="33" spans="1:22" s="2" customFormat="1" ht="25.5" hidden="1" customHeight="1" x14ac:dyDescent="0.25">
      <c r="A33" s="366">
        <v>8</v>
      </c>
      <c r="B33" s="575" t="s">
        <v>516</v>
      </c>
      <c r="C33" s="576"/>
      <c r="D33" s="577"/>
      <c r="E33" s="415" t="s">
        <v>63</v>
      </c>
      <c r="F33" s="416" t="s">
        <v>538</v>
      </c>
      <c r="G33" s="367">
        <f t="shared" si="1"/>
        <v>5</v>
      </c>
      <c r="H33" s="368">
        <f t="shared" si="2"/>
        <v>84.9</v>
      </c>
      <c r="I33" s="553" t="str">
        <f t="shared" si="3"/>
        <v>Fornecimento igual ao estimado mensalmente</v>
      </c>
      <c r="J33" s="553"/>
      <c r="K33" s="553"/>
      <c r="L33" s="374">
        <f t="shared" si="4"/>
        <v>5</v>
      </c>
      <c r="M33" s="369">
        <f>Materiais!J16</f>
        <v>5</v>
      </c>
      <c r="N33" s="370" t="str">
        <f>Materiais!K16</f>
        <v>Mensal</v>
      </c>
      <c r="O33" s="371">
        <f t="shared" si="5"/>
        <v>1</v>
      </c>
      <c r="P33" s="551">
        <v>16.98</v>
      </c>
      <c r="Q33" s="372">
        <f>ROUND(IF(Dados!$J$56="SIM",P33*Dados!$N$56,P33),2)</f>
        <v>16.98</v>
      </c>
      <c r="R33" s="372">
        <f>ROUND(IF(Dados!$J$57="SIM",Q33*Dados!$N$57,Q33),2)</f>
        <v>16.98</v>
      </c>
      <c r="S33" s="372">
        <f>ROUND(IF(Dados!$J$58="SIM",R33*Dados!$N$58,R33),2)</f>
        <v>16.98</v>
      </c>
      <c r="T33" s="372">
        <f>ROUND(IF(Dados!$J$59="SIM",S33*Dados!$N$59,S33),2)</f>
        <v>16.98</v>
      </c>
      <c r="U33" s="373">
        <f>ROUND(IF(Dados!$J$60="SIM",T33*Dados!$N$60,T33),2)</f>
        <v>16.98</v>
      </c>
      <c r="V33" s="375">
        <f>IF(Dados!$D$69="INICIAL",'Ocorrências Mensais - FAT'!P33,IF(Dados!$D$69="1º IPCA",'Ocorrências Mensais - FAT'!Q33,IF(Dados!$D$69="2º IPCA",'Ocorrências Mensais - FAT'!R33,IF(Dados!$D$69="3º IPCA",'Ocorrências Mensais - FAT'!S33,IF(Dados!$D$69="4º IPCA",'Ocorrências Mensais - FAT'!T33,IF(Dados!$D$69="5º IPCA",'Ocorrências Mensais - FAT'!U33,))))))</f>
        <v>16.98</v>
      </c>
    </row>
    <row r="34" spans="1:22" s="2" customFormat="1" ht="15" hidden="1" customHeight="1" x14ac:dyDescent="0.25">
      <c r="A34" s="365">
        <v>9</v>
      </c>
      <c r="B34" s="575" t="s">
        <v>517</v>
      </c>
      <c r="C34" s="576"/>
      <c r="D34" s="577"/>
      <c r="E34" s="415" t="s">
        <v>515</v>
      </c>
      <c r="F34" s="416" t="s">
        <v>539</v>
      </c>
      <c r="G34" s="367">
        <f t="shared" si="1"/>
        <v>8</v>
      </c>
      <c r="H34" s="368">
        <f t="shared" si="2"/>
        <v>25.6</v>
      </c>
      <c r="I34" s="553" t="str">
        <f t="shared" si="3"/>
        <v>Fornecimento igual ao estimado mensalmente</v>
      </c>
      <c r="J34" s="553"/>
      <c r="K34" s="553"/>
      <c r="L34" s="374">
        <f t="shared" si="4"/>
        <v>8</v>
      </c>
      <c r="M34" s="369">
        <f>Materiais!J17</f>
        <v>8</v>
      </c>
      <c r="N34" s="370" t="str">
        <f>Materiais!K17</f>
        <v>Mensal</v>
      </c>
      <c r="O34" s="371">
        <f t="shared" si="5"/>
        <v>1</v>
      </c>
      <c r="P34" s="551">
        <v>3.2</v>
      </c>
      <c r="Q34" s="372">
        <f>ROUND(IF(Dados!$J$56="SIM",P34*Dados!$N$56,P34),2)</f>
        <v>3.2</v>
      </c>
      <c r="R34" s="372">
        <f>ROUND(IF(Dados!$J$57="SIM",Q34*Dados!$N$57,Q34),2)</f>
        <v>3.2</v>
      </c>
      <c r="S34" s="372">
        <f>ROUND(IF(Dados!$J$58="SIM",R34*Dados!$N$58,R34),2)</f>
        <v>3.2</v>
      </c>
      <c r="T34" s="372">
        <f>ROUND(IF(Dados!$J$59="SIM",S34*Dados!$N$59,S34),2)</f>
        <v>3.2</v>
      </c>
      <c r="U34" s="373">
        <f>ROUND(IF(Dados!$J$60="SIM",T34*Dados!$N$60,T34),2)</f>
        <v>3.2</v>
      </c>
      <c r="V34" s="375">
        <f>IF(Dados!$D$69="INICIAL",'Ocorrências Mensais - FAT'!P34,IF(Dados!$D$69="1º IPCA",'Ocorrências Mensais - FAT'!Q34,IF(Dados!$D$69="2º IPCA",'Ocorrências Mensais - FAT'!R34,IF(Dados!$D$69="3º IPCA",'Ocorrências Mensais - FAT'!S34,IF(Dados!$D$69="4º IPCA",'Ocorrências Mensais - FAT'!T34,IF(Dados!$D$69="5º IPCA",'Ocorrências Mensais - FAT'!U34,))))))</f>
        <v>3.2</v>
      </c>
    </row>
    <row r="35" spans="1:22" s="2" customFormat="1" ht="15" hidden="1" customHeight="1" x14ac:dyDescent="0.25">
      <c r="A35" s="365">
        <v>10</v>
      </c>
      <c r="B35" s="581" t="s">
        <v>617</v>
      </c>
      <c r="C35" s="582"/>
      <c r="D35" s="583"/>
      <c r="E35" s="415" t="s">
        <v>515</v>
      </c>
      <c r="F35" s="416" t="s">
        <v>540</v>
      </c>
      <c r="G35" s="367">
        <f t="shared" si="1"/>
        <v>8.3333333333333329E-2</v>
      </c>
      <c r="H35" s="368">
        <f t="shared" si="2"/>
        <v>22.219166666666666</v>
      </c>
      <c r="I35" s="553" t="str">
        <f t="shared" si="3"/>
        <v>Fornecimento igual ao estimado mensalmente</v>
      </c>
      <c r="J35" s="553"/>
      <c r="K35" s="553"/>
      <c r="L35" s="374">
        <f t="shared" si="4"/>
        <v>8.3333333333333329E-2</v>
      </c>
      <c r="M35" s="369">
        <f>Materiais!J18</f>
        <v>1</v>
      </c>
      <c r="N35" s="370" t="str">
        <f>Materiais!K18</f>
        <v>Anual</v>
      </c>
      <c r="O35" s="371">
        <f t="shared" si="5"/>
        <v>12</v>
      </c>
      <c r="P35" s="551">
        <v>266.63</v>
      </c>
      <c r="Q35" s="372">
        <f>ROUND(IF(Dados!$J$56="SIM",P35*Dados!$N$56,P35),2)</f>
        <v>266.63</v>
      </c>
      <c r="R35" s="372">
        <f>ROUND(IF(Dados!$J$57="SIM",Q35*Dados!$N$57,Q35),2)</f>
        <v>266.63</v>
      </c>
      <c r="S35" s="372">
        <f>ROUND(IF(Dados!$J$58="SIM",R35*Dados!$N$58,R35),2)</f>
        <v>266.63</v>
      </c>
      <c r="T35" s="372">
        <f>ROUND(IF(Dados!$J$59="SIM",S35*Dados!$N$59,S35),2)</f>
        <v>266.63</v>
      </c>
      <c r="U35" s="373">
        <f>ROUND(IF(Dados!$J$60="SIM",T35*Dados!$N$60,T35),2)</f>
        <v>266.63</v>
      </c>
      <c r="V35" s="375">
        <f>IF(Dados!$D$69="INICIAL",'Ocorrências Mensais - FAT'!P35,IF(Dados!$D$69="1º IPCA",'Ocorrências Mensais - FAT'!Q35,IF(Dados!$D$69="2º IPCA",'Ocorrências Mensais - FAT'!R35,IF(Dados!$D$69="3º IPCA",'Ocorrências Mensais - FAT'!S35,IF(Dados!$D$69="4º IPCA",'Ocorrências Mensais - FAT'!T35,IF(Dados!$D$69="5º IPCA",'Ocorrências Mensais - FAT'!U35,))))))</f>
        <v>266.63</v>
      </c>
    </row>
    <row r="36" spans="1:22" s="2" customFormat="1" ht="15" hidden="1" customHeight="1" x14ac:dyDescent="0.25">
      <c r="A36" s="365">
        <v>11</v>
      </c>
      <c r="B36" s="575" t="s">
        <v>518</v>
      </c>
      <c r="C36" s="576"/>
      <c r="D36" s="577"/>
      <c r="E36" s="415" t="s">
        <v>513</v>
      </c>
      <c r="F36" s="416" t="s">
        <v>541</v>
      </c>
      <c r="G36" s="367">
        <f t="shared" si="1"/>
        <v>6</v>
      </c>
      <c r="H36" s="368">
        <f t="shared" si="2"/>
        <v>29.64</v>
      </c>
      <c r="I36" s="553" t="str">
        <f t="shared" si="3"/>
        <v>Fornecimento igual ao estimado mensalmente</v>
      </c>
      <c r="J36" s="553"/>
      <c r="K36" s="553"/>
      <c r="L36" s="374">
        <f t="shared" si="4"/>
        <v>6</v>
      </c>
      <c r="M36" s="369">
        <f>Materiais!J19</f>
        <v>6</v>
      </c>
      <c r="N36" s="370" t="str">
        <f>Materiais!K19</f>
        <v>Mensal</v>
      </c>
      <c r="O36" s="371">
        <f t="shared" si="5"/>
        <v>1</v>
      </c>
      <c r="P36" s="551">
        <v>4.9400000000000004</v>
      </c>
      <c r="Q36" s="372">
        <f>ROUND(IF(Dados!$J$56="SIM",P36*Dados!$N$56,P36),2)</f>
        <v>4.9400000000000004</v>
      </c>
      <c r="R36" s="372">
        <f>ROUND(IF(Dados!$J$57="SIM",Q36*Dados!$N$57,Q36),2)</f>
        <v>4.9400000000000004</v>
      </c>
      <c r="S36" s="372">
        <f>ROUND(IF(Dados!$J$58="SIM",R36*Dados!$N$58,R36),2)</f>
        <v>4.9400000000000004</v>
      </c>
      <c r="T36" s="372">
        <f>ROUND(IF(Dados!$J$59="SIM",S36*Dados!$N$59,S36),2)</f>
        <v>4.9400000000000004</v>
      </c>
      <c r="U36" s="373">
        <f>ROUND(IF(Dados!$J$60="SIM",T36*Dados!$N$60,T36),2)</f>
        <v>4.9400000000000004</v>
      </c>
      <c r="V36" s="375">
        <f>IF(Dados!$D$69="INICIAL",'Ocorrências Mensais - FAT'!P36,IF(Dados!$D$69="1º IPCA",'Ocorrências Mensais - FAT'!Q36,IF(Dados!$D$69="2º IPCA",'Ocorrências Mensais - FAT'!R36,IF(Dados!$D$69="3º IPCA",'Ocorrências Mensais - FAT'!S36,IF(Dados!$D$69="4º IPCA",'Ocorrências Mensais - FAT'!T36,IF(Dados!$D$69="5º IPCA",'Ocorrências Mensais - FAT'!U36,))))))</f>
        <v>4.9400000000000004</v>
      </c>
    </row>
    <row r="37" spans="1:22" s="2" customFormat="1" ht="15.75" hidden="1" customHeight="1" x14ac:dyDescent="0.25">
      <c r="A37" s="365">
        <v>12</v>
      </c>
      <c r="B37" s="575" t="s">
        <v>588</v>
      </c>
      <c r="C37" s="576"/>
      <c r="D37" s="577"/>
      <c r="E37" s="415" t="s">
        <v>63</v>
      </c>
      <c r="F37" s="416" t="s">
        <v>542</v>
      </c>
      <c r="G37" s="367">
        <f t="shared" si="1"/>
        <v>1</v>
      </c>
      <c r="H37" s="368">
        <f t="shared" si="2"/>
        <v>50.83</v>
      </c>
      <c r="I37" s="553" t="str">
        <f t="shared" si="3"/>
        <v>Fornecimento igual ao estimado mensalmente</v>
      </c>
      <c r="J37" s="553"/>
      <c r="K37" s="553"/>
      <c r="L37" s="374">
        <f t="shared" si="4"/>
        <v>1</v>
      </c>
      <c r="M37" s="369">
        <f>Materiais!J20</f>
        <v>1</v>
      </c>
      <c r="N37" s="370" t="str">
        <f>Materiais!K20</f>
        <v>Mensal</v>
      </c>
      <c r="O37" s="371">
        <f t="shared" si="5"/>
        <v>1</v>
      </c>
      <c r="P37" s="551">
        <v>50.83</v>
      </c>
      <c r="Q37" s="372">
        <f>ROUND(IF(Dados!$J$56="SIM",P37*Dados!$N$56,P37),2)</f>
        <v>50.83</v>
      </c>
      <c r="R37" s="372">
        <f>ROUND(IF(Dados!$J$57="SIM",Q37*Dados!$N$57,Q37),2)</f>
        <v>50.83</v>
      </c>
      <c r="S37" s="372">
        <f>ROUND(IF(Dados!$J$58="SIM",R37*Dados!$N$58,R37),2)</f>
        <v>50.83</v>
      </c>
      <c r="T37" s="372">
        <f>ROUND(IF(Dados!$J$59="SIM",S37*Dados!$N$59,S37),2)</f>
        <v>50.83</v>
      </c>
      <c r="U37" s="373">
        <f>ROUND(IF(Dados!$J$60="SIM",T37*Dados!$N$60,T37),2)</f>
        <v>50.83</v>
      </c>
      <c r="V37" s="375">
        <f>IF(Dados!$D$69="INICIAL",'Ocorrências Mensais - FAT'!P37,IF(Dados!$D$69="1º IPCA",'Ocorrências Mensais - FAT'!Q37,IF(Dados!$D$69="2º IPCA",'Ocorrências Mensais - FAT'!R37,IF(Dados!$D$69="3º IPCA",'Ocorrências Mensais - FAT'!S37,IF(Dados!$D$69="4º IPCA",'Ocorrências Mensais - FAT'!T37,IF(Dados!$D$69="5º IPCA",'Ocorrências Mensais - FAT'!U37,))))))</f>
        <v>50.83</v>
      </c>
    </row>
    <row r="38" spans="1:22" s="2" customFormat="1" ht="15" hidden="1" customHeight="1" x14ac:dyDescent="0.25">
      <c r="A38" s="365">
        <v>13</v>
      </c>
      <c r="B38" s="575" t="s">
        <v>519</v>
      </c>
      <c r="C38" s="576"/>
      <c r="D38" s="577"/>
      <c r="E38" s="415" t="s">
        <v>515</v>
      </c>
      <c r="F38" s="416"/>
      <c r="G38" s="367">
        <f t="shared" si="1"/>
        <v>2</v>
      </c>
      <c r="H38" s="368">
        <f t="shared" si="2"/>
        <v>24.8</v>
      </c>
      <c r="I38" s="553" t="str">
        <f t="shared" si="3"/>
        <v>Fornecimento igual ao estimado mensalmente</v>
      </c>
      <c r="J38" s="553"/>
      <c r="K38" s="553"/>
      <c r="L38" s="374">
        <f t="shared" si="4"/>
        <v>2</v>
      </c>
      <c r="M38" s="369">
        <f>Materiais!J21</f>
        <v>2</v>
      </c>
      <c r="N38" s="370" t="str">
        <f>Materiais!K21</f>
        <v>Mensal</v>
      </c>
      <c r="O38" s="371">
        <f t="shared" si="5"/>
        <v>1</v>
      </c>
      <c r="P38" s="551">
        <v>12.4</v>
      </c>
      <c r="Q38" s="372">
        <f>ROUND(IF(Dados!$J$56="SIM",P38*Dados!$N$56,P38),2)</f>
        <v>12.4</v>
      </c>
      <c r="R38" s="372">
        <f>ROUND(IF(Dados!$J$57="SIM",Q38*Dados!$N$57,Q38),2)</f>
        <v>12.4</v>
      </c>
      <c r="S38" s="372">
        <f>ROUND(IF(Dados!$J$58="SIM",R38*Dados!$N$58,R38),2)</f>
        <v>12.4</v>
      </c>
      <c r="T38" s="372">
        <f>ROUND(IF(Dados!$J$59="SIM",S38*Dados!$N$59,S38),2)</f>
        <v>12.4</v>
      </c>
      <c r="U38" s="373">
        <f>ROUND(IF(Dados!$J$60="SIM",T38*Dados!$N$60,T38),2)</f>
        <v>12.4</v>
      </c>
      <c r="V38" s="375">
        <f>IF(Dados!$D$69="INICIAL",'Ocorrências Mensais - FAT'!P38,IF(Dados!$D$69="1º IPCA",'Ocorrências Mensais - FAT'!Q38,IF(Dados!$D$69="2º IPCA",'Ocorrências Mensais - FAT'!R38,IF(Dados!$D$69="3º IPCA",'Ocorrências Mensais - FAT'!S38,IF(Dados!$D$69="4º IPCA",'Ocorrências Mensais - FAT'!T38,IF(Dados!$D$69="5º IPCA",'Ocorrências Mensais - FAT'!U38,))))))</f>
        <v>12.4</v>
      </c>
    </row>
    <row r="39" spans="1:22" s="2" customFormat="1" ht="15" hidden="1" customHeight="1" x14ac:dyDescent="0.25">
      <c r="A39" s="365">
        <v>14</v>
      </c>
      <c r="B39" s="575" t="s">
        <v>520</v>
      </c>
      <c r="C39" s="576"/>
      <c r="D39" s="577"/>
      <c r="E39" s="415" t="s">
        <v>515</v>
      </c>
      <c r="F39" s="416" t="s">
        <v>543</v>
      </c>
      <c r="G39" s="367">
        <f t="shared" si="1"/>
        <v>1</v>
      </c>
      <c r="H39" s="368">
        <f t="shared" si="2"/>
        <v>63.64</v>
      </c>
      <c r="I39" s="553" t="str">
        <f t="shared" si="3"/>
        <v>Fornecimento igual ao estimado mensalmente</v>
      </c>
      <c r="J39" s="553"/>
      <c r="K39" s="553"/>
      <c r="L39" s="374">
        <f t="shared" si="4"/>
        <v>1</v>
      </c>
      <c r="M39" s="369">
        <f>Materiais!J22</f>
        <v>1</v>
      </c>
      <c r="N39" s="370" t="str">
        <f>Materiais!K22</f>
        <v>Mensal</v>
      </c>
      <c r="O39" s="371">
        <f t="shared" si="5"/>
        <v>1</v>
      </c>
      <c r="P39" s="551">
        <v>63.64</v>
      </c>
      <c r="Q39" s="372">
        <f>ROUND(IF(Dados!$J$56="SIM",P39*Dados!$N$56,P39),2)</f>
        <v>63.64</v>
      </c>
      <c r="R39" s="372">
        <f>ROUND(IF(Dados!$J$57="SIM",Q39*Dados!$N$57,Q39),2)</f>
        <v>63.64</v>
      </c>
      <c r="S39" s="372">
        <f>ROUND(IF(Dados!$J$58="SIM",R39*Dados!$N$58,R39),2)</f>
        <v>63.64</v>
      </c>
      <c r="T39" s="372">
        <f>ROUND(IF(Dados!$J$59="SIM",S39*Dados!$N$59,S39),2)</f>
        <v>63.64</v>
      </c>
      <c r="U39" s="373">
        <f>ROUND(IF(Dados!$J$60="SIM",T39*Dados!$N$60,T39),2)</f>
        <v>63.64</v>
      </c>
      <c r="V39" s="375">
        <f>IF(Dados!$D$69="INICIAL",'Ocorrências Mensais - FAT'!P39,IF(Dados!$D$69="1º IPCA",'Ocorrências Mensais - FAT'!Q39,IF(Dados!$D$69="2º IPCA",'Ocorrências Mensais - FAT'!R39,IF(Dados!$D$69="3º IPCA",'Ocorrências Mensais - FAT'!S39,IF(Dados!$D$69="4º IPCA",'Ocorrências Mensais - FAT'!T39,IF(Dados!$D$69="5º IPCA",'Ocorrências Mensais - FAT'!U39,))))))</f>
        <v>63.64</v>
      </c>
    </row>
    <row r="40" spans="1:22" s="2" customFormat="1" ht="15" hidden="1" customHeight="1" x14ac:dyDescent="0.25">
      <c r="A40" s="365">
        <v>15</v>
      </c>
      <c r="B40" s="575" t="s">
        <v>521</v>
      </c>
      <c r="C40" s="576"/>
      <c r="D40" s="577"/>
      <c r="E40" s="415" t="s">
        <v>63</v>
      </c>
      <c r="F40" s="416" t="s">
        <v>535</v>
      </c>
      <c r="G40" s="367">
        <f t="shared" si="1"/>
        <v>3</v>
      </c>
      <c r="H40" s="368">
        <f t="shared" si="2"/>
        <v>24.900000000000002</v>
      </c>
      <c r="I40" s="553" t="str">
        <f t="shared" si="3"/>
        <v>Fornecimento igual ao estimado mensalmente</v>
      </c>
      <c r="J40" s="553"/>
      <c r="K40" s="553"/>
      <c r="L40" s="374">
        <f t="shared" si="4"/>
        <v>3</v>
      </c>
      <c r="M40" s="369">
        <f>Materiais!J23</f>
        <v>3</v>
      </c>
      <c r="N40" s="370" t="str">
        <f>Materiais!K23</f>
        <v>Mensal</v>
      </c>
      <c r="O40" s="371">
        <f t="shared" si="5"/>
        <v>1</v>
      </c>
      <c r="P40" s="551">
        <v>8.3000000000000007</v>
      </c>
      <c r="Q40" s="372">
        <f>ROUND(IF(Dados!$J$56="SIM",P40*Dados!$N$56,P40),2)</f>
        <v>8.3000000000000007</v>
      </c>
      <c r="R40" s="372">
        <f>ROUND(IF(Dados!$J$57="SIM",Q40*Dados!$N$57,Q40),2)</f>
        <v>8.3000000000000007</v>
      </c>
      <c r="S40" s="372">
        <f>ROUND(IF(Dados!$J$58="SIM",R40*Dados!$N$58,R40),2)</f>
        <v>8.3000000000000007</v>
      </c>
      <c r="T40" s="372">
        <f>ROUND(IF(Dados!$J$59="SIM",S40*Dados!$N$59,S40),2)</f>
        <v>8.3000000000000007</v>
      </c>
      <c r="U40" s="373">
        <f>ROUND(IF(Dados!$J$60="SIM",T40*Dados!$N$60,T40),2)</f>
        <v>8.3000000000000007</v>
      </c>
      <c r="V40" s="375">
        <f>IF(Dados!$D$69="INICIAL",'Ocorrências Mensais - FAT'!P40,IF(Dados!$D$69="1º IPCA",'Ocorrências Mensais - FAT'!Q40,IF(Dados!$D$69="2º IPCA",'Ocorrências Mensais - FAT'!R40,IF(Dados!$D$69="3º IPCA",'Ocorrências Mensais - FAT'!S40,IF(Dados!$D$69="4º IPCA",'Ocorrências Mensais - FAT'!T40,IF(Dados!$D$69="5º IPCA",'Ocorrências Mensais - FAT'!U40,))))))</f>
        <v>8.3000000000000007</v>
      </c>
    </row>
    <row r="41" spans="1:22" s="2" customFormat="1" ht="15" hidden="1" customHeight="1" x14ac:dyDescent="0.25">
      <c r="A41" s="365">
        <v>16</v>
      </c>
      <c r="B41" s="575" t="s">
        <v>522</v>
      </c>
      <c r="C41" s="576"/>
      <c r="D41" s="577"/>
      <c r="E41" s="415" t="s">
        <v>524</v>
      </c>
      <c r="F41" s="416" t="s">
        <v>544</v>
      </c>
      <c r="G41" s="367">
        <f t="shared" si="1"/>
        <v>8.3333333333333329E-2</v>
      </c>
      <c r="H41" s="368">
        <f t="shared" si="2"/>
        <v>19.993333333333332</v>
      </c>
      <c r="I41" s="553" t="str">
        <f t="shared" si="3"/>
        <v>Fornecimento igual ao estimado mensalmente</v>
      </c>
      <c r="J41" s="553"/>
      <c r="K41" s="553"/>
      <c r="L41" s="374">
        <f t="shared" si="4"/>
        <v>8.3333333333333329E-2</v>
      </c>
      <c r="M41" s="369">
        <f>Materiais!J24</f>
        <v>1</v>
      </c>
      <c r="N41" s="370" t="str">
        <f>Materiais!K24</f>
        <v>Anual</v>
      </c>
      <c r="O41" s="371">
        <f t="shared" si="5"/>
        <v>12</v>
      </c>
      <c r="P41" s="551">
        <v>239.92</v>
      </c>
      <c r="Q41" s="372">
        <f>ROUND(IF(Dados!$J$56="SIM",P41*Dados!$N$56,P41),2)</f>
        <v>239.92</v>
      </c>
      <c r="R41" s="372">
        <f>ROUND(IF(Dados!$J$57="SIM",Q41*Dados!$N$57,Q41),2)</f>
        <v>239.92</v>
      </c>
      <c r="S41" s="372">
        <f>ROUND(IF(Dados!$J$58="SIM",R41*Dados!$N$58,R41),2)</f>
        <v>239.92</v>
      </c>
      <c r="T41" s="372">
        <f>ROUND(IF(Dados!$J$59="SIM",S41*Dados!$N$59,S41),2)</f>
        <v>239.92</v>
      </c>
      <c r="U41" s="373">
        <f>ROUND(IF(Dados!$J$60="SIM",T41*Dados!$N$60,T41),2)</f>
        <v>239.92</v>
      </c>
      <c r="V41" s="375">
        <f>IF(Dados!$D$69="INICIAL",'Ocorrências Mensais - FAT'!P41,IF(Dados!$D$69="1º IPCA",'Ocorrências Mensais - FAT'!Q41,IF(Dados!$D$69="2º IPCA",'Ocorrências Mensais - FAT'!R41,IF(Dados!$D$69="3º IPCA",'Ocorrências Mensais - FAT'!S41,IF(Dados!$D$69="4º IPCA",'Ocorrências Mensais - FAT'!T41,IF(Dados!$D$69="5º IPCA",'Ocorrências Mensais - FAT'!U41,))))))</f>
        <v>239.92</v>
      </c>
    </row>
    <row r="42" spans="1:22" s="2" customFormat="1" ht="15.75" hidden="1" customHeight="1" x14ac:dyDescent="0.25">
      <c r="A42" s="365">
        <v>17</v>
      </c>
      <c r="B42" s="584" t="s">
        <v>618</v>
      </c>
      <c r="C42" s="585"/>
      <c r="D42" s="586"/>
      <c r="E42" s="415" t="s">
        <v>526</v>
      </c>
      <c r="F42" s="416" t="s">
        <v>545</v>
      </c>
      <c r="G42" s="367">
        <f t="shared" si="1"/>
        <v>0.16666666666666666</v>
      </c>
      <c r="H42" s="368">
        <f t="shared" si="2"/>
        <v>0.49666666666666665</v>
      </c>
      <c r="I42" s="553" t="str">
        <f t="shared" si="3"/>
        <v>Fornecimento igual ao estimado mensalmente</v>
      </c>
      <c r="J42" s="553"/>
      <c r="K42" s="553"/>
      <c r="L42" s="374">
        <f t="shared" si="4"/>
        <v>0.16666666666666666</v>
      </c>
      <c r="M42" s="369">
        <f>Materiais!J25</f>
        <v>2</v>
      </c>
      <c r="N42" s="370" t="str">
        <f>Materiais!K25</f>
        <v>Anual</v>
      </c>
      <c r="O42" s="371">
        <f t="shared" si="5"/>
        <v>12</v>
      </c>
      <c r="P42" s="551">
        <v>2.98</v>
      </c>
      <c r="Q42" s="372">
        <f>ROUND(IF(Dados!$J$56="SIM",P42*Dados!$N$56,P42),2)</f>
        <v>2.98</v>
      </c>
      <c r="R42" s="372">
        <f>ROUND(IF(Dados!$J$57="SIM",Q42*Dados!$N$57,Q42),2)</f>
        <v>2.98</v>
      </c>
      <c r="S42" s="372">
        <f>ROUND(IF(Dados!$J$58="SIM",R42*Dados!$N$58,R42),2)</f>
        <v>2.98</v>
      </c>
      <c r="T42" s="372">
        <f>ROUND(IF(Dados!$J$59="SIM",S42*Dados!$N$59,S42),2)</f>
        <v>2.98</v>
      </c>
      <c r="U42" s="373">
        <f>ROUND(IF(Dados!$J$60="SIM",T42*Dados!$N$60,T42),2)</f>
        <v>2.98</v>
      </c>
      <c r="V42" s="375">
        <f>IF(Dados!$D$69="INICIAL",'Ocorrências Mensais - FAT'!P42,IF(Dados!$D$69="1º IPCA",'Ocorrências Mensais - FAT'!Q42,IF(Dados!$D$69="2º IPCA",'Ocorrências Mensais - FAT'!R42,IF(Dados!$D$69="3º IPCA",'Ocorrências Mensais - FAT'!S42,IF(Dados!$D$69="4º IPCA",'Ocorrências Mensais - FAT'!T42,IF(Dados!$D$69="5º IPCA",'Ocorrências Mensais - FAT'!U42,))))))</f>
        <v>2.98</v>
      </c>
    </row>
    <row r="43" spans="1:22" s="2" customFormat="1" ht="15" hidden="1" customHeight="1" x14ac:dyDescent="0.25">
      <c r="A43" s="365">
        <v>18</v>
      </c>
      <c r="B43" s="575" t="s">
        <v>610</v>
      </c>
      <c r="C43" s="576"/>
      <c r="D43" s="577"/>
      <c r="E43" s="415" t="s">
        <v>63</v>
      </c>
      <c r="F43" s="416" t="s">
        <v>535</v>
      </c>
      <c r="G43" s="367">
        <f t="shared" si="1"/>
        <v>6</v>
      </c>
      <c r="H43" s="368">
        <f t="shared" si="2"/>
        <v>52.38</v>
      </c>
      <c r="I43" s="553" t="str">
        <f t="shared" si="3"/>
        <v>Fornecimento igual ao estimado mensalmente</v>
      </c>
      <c r="J43" s="553"/>
      <c r="K43" s="553"/>
      <c r="L43" s="374">
        <f t="shared" si="4"/>
        <v>6</v>
      </c>
      <c r="M43" s="369">
        <f>Materiais!J26</f>
        <v>6</v>
      </c>
      <c r="N43" s="370" t="str">
        <f>Materiais!K26</f>
        <v>Mensal</v>
      </c>
      <c r="O43" s="371">
        <f t="shared" si="5"/>
        <v>1</v>
      </c>
      <c r="P43" s="551">
        <v>8.73</v>
      </c>
      <c r="Q43" s="372">
        <f>ROUND(IF(Dados!$J$56="SIM",P43*Dados!$N$56,P43),2)</f>
        <v>8.73</v>
      </c>
      <c r="R43" s="372">
        <f>ROUND(IF(Dados!$J$57="SIM",Q43*Dados!$N$57,Q43),2)</f>
        <v>8.73</v>
      </c>
      <c r="S43" s="372">
        <f>ROUND(IF(Dados!$J$58="SIM",R43*Dados!$N$58,R43),2)</f>
        <v>8.73</v>
      </c>
      <c r="T43" s="372">
        <f>ROUND(IF(Dados!$J$59="SIM",S43*Dados!$N$59,S43),2)</f>
        <v>8.73</v>
      </c>
      <c r="U43" s="373">
        <f>ROUND(IF(Dados!$J$60="SIM",T43*Dados!$N$60,T43),2)</f>
        <v>8.73</v>
      </c>
      <c r="V43" s="375">
        <f>IF(Dados!$D$69="INICIAL",'Ocorrências Mensais - FAT'!P43,IF(Dados!$D$69="1º IPCA",'Ocorrências Mensais - FAT'!Q43,IF(Dados!$D$69="2º IPCA",'Ocorrências Mensais - FAT'!R43,IF(Dados!$D$69="3º IPCA",'Ocorrências Mensais - FAT'!S43,IF(Dados!$D$69="4º IPCA",'Ocorrências Mensais - FAT'!T43,IF(Dados!$D$69="5º IPCA",'Ocorrências Mensais - FAT'!U43,))))))</f>
        <v>8.73</v>
      </c>
    </row>
    <row r="44" spans="1:22" s="2" customFormat="1" ht="15" hidden="1" customHeight="1" x14ac:dyDescent="0.25">
      <c r="A44" s="365">
        <v>19</v>
      </c>
      <c r="B44" s="575" t="s">
        <v>523</v>
      </c>
      <c r="C44" s="576"/>
      <c r="D44" s="577"/>
      <c r="E44" s="415" t="s">
        <v>515</v>
      </c>
      <c r="F44" s="416" t="s">
        <v>546</v>
      </c>
      <c r="G44" s="367">
        <f t="shared" si="1"/>
        <v>0.33333333333333331</v>
      </c>
      <c r="H44" s="368">
        <f t="shared" si="2"/>
        <v>3.8066666666666666</v>
      </c>
      <c r="I44" s="553" t="str">
        <f t="shared" si="3"/>
        <v>Fornecimento igual ao estimado mensalmente</v>
      </c>
      <c r="J44" s="553"/>
      <c r="K44" s="553"/>
      <c r="L44" s="374">
        <f t="shared" si="4"/>
        <v>0.33333333333333331</v>
      </c>
      <c r="M44" s="369">
        <f>Materiais!J27</f>
        <v>2</v>
      </c>
      <c r="N44" s="370" t="str">
        <f>Materiais!K27</f>
        <v>Semestral</v>
      </c>
      <c r="O44" s="371">
        <f t="shared" si="5"/>
        <v>6</v>
      </c>
      <c r="P44" s="551">
        <v>11.42</v>
      </c>
      <c r="Q44" s="372">
        <f>ROUND(IF(Dados!$J$56="SIM",P44*Dados!$N$56,P44),2)</f>
        <v>11.42</v>
      </c>
      <c r="R44" s="372">
        <f>ROUND(IF(Dados!$J$57="SIM",Q44*Dados!$N$57,Q44),2)</f>
        <v>11.42</v>
      </c>
      <c r="S44" s="372">
        <f>ROUND(IF(Dados!$J$58="SIM",R44*Dados!$N$58,R44),2)</f>
        <v>11.42</v>
      </c>
      <c r="T44" s="372">
        <f>ROUND(IF(Dados!$J$59="SIM",S44*Dados!$N$59,S44),2)</f>
        <v>11.42</v>
      </c>
      <c r="U44" s="373">
        <f>ROUND(IF(Dados!$J$60="SIM",T44*Dados!$N$60,T44),2)</f>
        <v>11.42</v>
      </c>
      <c r="V44" s="375">
        <f>IF(Dados!$D$69="INICIAL",'Ocorrências Mensais - FAT'!P44,IF(Dados!$D$69="1º IPCA",'Ocorrências Mensais - FAT'!Q44,IF(Dados!$D$69="2º IPCA",'Ocorrências Mensais - FAT'!R44,IF(Dados!$D$69="3º IPCA",'Ocorrências Mensais - FAT'!S44,IF(Dados!$D$69="4º IPCA",'Ocorrências Mensais - FAT'!T44,IF(Dados!$D$69="5º IPCA",'Ocorrências Mensais - FAT'!U44,))))))</f>
        <v>11.42</v>
      </c>
    </row>
    <row r="45" spans="1:22" s="2" customFormat="1" ht="15" hidden="1" customHeight="1" x14ac:dyDescent="0.25">
      <c r="A45" s="365">
        <v>20</v>
      </c>
      <c r="B45" s="575" t="s">
        <v>611</v>
      </c>
      <c r="C45" s="576"/>
      <c r="D45" s="577"/>
      <c r="E45" s="415" t="s">
        <v>529</v>
      </c>
      <c r="F45" s="416" t="s">
        <v>547</v>
      </c>
      <c r="G45" s="367">
        <f t="shared" si="1"/>
        <v>5</v>
      </c>
      <c r="H45" s="368">
        <f t="shared" si="2"/>
        <v>455.95</v>
      </c>
      <c r="I45" s="553" t="str">
        <f t="shared" si="3"/>
        <v>Fornecimento igual ao estimado mensalmente</v>
      </c>
      <c r="J45" s="553"/>
      <c r="K45" s="553"/>
      <c r="L45" s="374">
        <f t="shared" si="4"/>
        <v>5</v>
      </c>
      <c r="M45" s="369">
        <f>Materiais!J28</f>
        <v>5</v>
      </c>
      <c r="N45" s="370" t="str">
        <f>Materiais!K28</f>
        <v>Mensal</v>
      </c>
      <c r="O45" s="371">
        <f t="shared" si="5"/>
        <v>1</v>
      </c>
      <c r="P45" s="551">
        <v>91.19</v>
      </c>
      <c r="Q45" s="372">
        <f>ROUND(IF(Dados!$J$56="SIM",P45*Dados!$N$56,P45),2)</f>
        <v>91.19</v>
      </c>
      <c r="R45" s="372">
        <f>ROUND(IF(Dados!$J$57="SIM",Q45*Dados!$N$57,Q45),2)</f>
        <v>91.19</v>
      </c>
      <c r="S45" s="372">
        <f>ROUND(IF(Dados!$J$58="SIM",R45*Dados!$N$58,R45),2)</f>
        <v>91.19</v>
      </c>
      <c r="T45" s="372">
        <f>ROUND(IF(Dados!$J$59="SIM",S45*Dados!$N$59,S45),2)</f>
        <v>91.19</v>
      </c>
      <c r="U45" s="373">
        <f>ROUND(IF(Dados!$J$60="SIM",T45*Dados!$N$60,T45),2)</f>
        <v>91.19</v>
      </c>
      <c r="V45" s="375">
        <f>IF(Dados!$D$69="INICIAL",'Ocorrências Mensais - FAT'!P45,IF(Dados!$D$69="1º IPCA",'Ocorrências Mensais - FAT'!Q45,IF(Dados!$D$69="2º IPCA",'Ocorrências Mensais - FAT'!R45,IF(Dados!$D$69="3º IPCA",'Ocorrências Mensais - FAT'!S45,IF(Dados!$D$69="4º IPCA",'Ocorrências Mensais - FAT'!T45,IF(Dados!$D$69="5º IPCA",'Ocorrências Mensais - FAT'!U45,))))))</f>
        <v>91.19</v>
      </c>
    </row>
    <row r="46" spans="1:22" s="2" customFormat="1" ht="15.75" hidden="1" customHeight="1" x14ac:dyDescent="0.25">
      <c r="A46" s="365">
        <v>21</v>
      </c>
      <c r="B46" s="575" t="s">
        <v>525</v>
      </c>
      <c r="C46" s="576"/>
      <c r="D46" s="577"/>
      <c r="E46" s="415" t="s">
        <v>513</v>
      </c>
      <c r="F46" s="416" t="s">
        <v>548</v>
      </c>
      <c r="G46" s="367">
        <f t="shared" si="1"/>
        <v>8</v>
      </c>
      <c r="H46" s="368">
        <f t="shared" si="2"/>
        <v>167.12</v>
      </c>
      <c r="I46" s="553" t="str">
        <f t="shared" si="3"/>
        <v>Fornecimento igual ao estimado mensalmente</v>
      </c>
      <c r="J46" s="553"/>
      <c r="K46" s="553"/>
      <c r="L46" s="374">
        <f t="shared" si="4"/>
        <v>8</v>
      </c>
      <c r="M46" s="369">
        <f>Materiais!J29</f>
        <v>8</v>
      </c>
      <c r="N46" s="370" t="str">
        <f>Materiais!K29</f>
        <v>Mensal</v>
      </c>
      <c r="O46" s="371">
        <f t="shared" si="5"/>
        <v>1</v>
      </c>
      <c r="P46" s="551">
        <v>20.89</v>
      </c>
      <c r="Q46" s="372">
        <f>ROUND(IF(Dados!$J$56="SIM",P46*Dados!$N$56,P46),2)</f>
        <v>20.89</v>
      </c>
      <c r="R46" s="372">
        <f>ROUND(IF(Dados!$J$57="SIM",Q46*Dados!$N$57,Q46),2)</f>
        <v>20.89</v>
      </c>
      <c r="S46" s="372">
        <f>ROUND(IF(Dados!$J$58="SIM",R46*Dados!$N$58,R46),2)</f>
        <v>20.89</v>
      </c>
      <c r="T46" s="372">
        <f>ROUND(IF(Dados!$J$59="SIM",S46*Dados!$N$59,S46),2)</f>
        <v>20.89</v>
      </c>
      <c r="U46" s="373">
        <f>ROUND(IF(Dados!$J$60="SIM",T46*Dados!$N$60,T46),2)</f>
        <v>20.89</v>
      </c>
      <c r="V46" s="375">
        <f>IF(Dados!$D$69="INICIAL",'Ocorrências Mensais - FAT'!P46,IF(Dados!$D$69="1º IPCA",'Ocorrências Mensais - FAT'!Q46,IF(Dados!$D$69="2º IPCA",'Ocorrências Mensais - FAT'!R46,IF(Dados!$D$69="3º IPCA",'Ocorrências Mensais - FAT'!S46,IF(Dados!$D$69="4º IPCA",'Ocorrências Mensais - FAT'!T46,IF(Dados!$D$69="5º IPCA",'Ocorrências Mensais - FAT'!U46,))))))</f>
        <v>20.89</v>
      </c>
    </row>
    <row r="47" spans="1:22" s="2" customFormat="1" ht="15" hidden="1" customHeight="1" x14ac:dyDescent="0.25">
      <c r="A47" s="365">
        <v>22</v>
      </c>
      <c r="B47" s="575" t="s">
        <v>527</v>
      </c>
      <c r="C47" s="576"/>
      <c r="D47" s="577"/>
      <c r="E47" s="415" t="s">
        <v>63</v>
      </c>
      <c r="F47" s="416" t="s">
        <v>549</v>
      </c>
      <c r="G47" s="367">
        <f t="shared" si="1"/>
        <v>0.66666666666666663</v>
      </c>
      <c r="H47" s="368">
        <f t="shared" si="2"/>
        <v>9.1466666666666665</v>
      </c>
      <c r="I47" s="553" t="str">
        <f t="shared" si="3"/>
        <v>Fornecimento igual ao estimado mensalmente</v>
      </c>
      <c r="J47" s="553"/>
      <c r="K47" s="553"/>
      <c r="L47" s="374">
        <f t="shared" si="4"/>
        <v>0.66666666666666663</v>
      </c>
      <c r="M47" s="369">
        <f>Materiais!J30</f>
        <v>2</v>
      </c>
      <c r="N47" s="370" t="str">
        <f>Materiais!K30</f>
        <v>Trimestral</v>
      </c>
      <c r="O47" s="371">
        <f t="shared" si="5"/>
        <v>3</v>
      </c>
      <c r="P47" s="551">
        <v>13.72</v>
      </c>
      <c r="Q47" s="372">
        <f>ROUND(IF(Dados!$J$56="SIM",P47*Dados!$N$56,P47),2)</f>
        <v>13.72</v>
      </c>
      <c r="R47" s="372">
        <f>ROUND(IF(Dados!$J$57="SIM",Q47*Dados!$N$57,Q47),2)</f>
        <v>13.72</v>
      </c>
      <c r="S47" s="372">
        <f>ROUND(IF(Dados!$J$58="SIM",R47*Dados!$N$58,R47),2)</f>
        <v>13.72</v>
      </c>
      <c r="T47" s="372">
        <f>ROUND(IF(Dados!$J$59="SIM",S47*Dados!$N$59,S47),2)</f>
        <v>13.72</v>
      </c>
      <c r="U47" s="373">
        <f>ROUND(IF(Dados!$J$60="SIM",T47*Dados!$N$60,T47),2)</f>
        <v>13.72</v>
      </c>
      <c r="V47" s="375">
        <f>IF(Dados!$D$69="INICIAL",'Ocorrências Mensais - FAT'!P47,IF(Dados!$D$69="1º IPCA",'Ocorrências Mensais - FAT'!Q47,IF(Dados!$D$69="2º IPCA",'Ocorrências Mensais - FAT'!R47,IF(Dados!$D$69="3º IPCA",'Ocorrências Mensais - FAT'!S47,IF(Dados!$D$69="4º IPCA",'Ocorrências Mensais - FAT'!T47,IF(Dados!$D$69="5º IPCA",'Ocorrências Mensais - FAT'!U47,))))))</f>
        <v>13.72</v>
      </c>
    </row>
    <row r="48" spans="1:22" s="2" customFormat="1" ht="15" hidden="1" customHeight="1" x14ac:dyDescent="0.25">
      <c r="A48" s="365">
        <v>23</v>
      </c>
      <c r="B48" s="575" t="s">
        <v>528</v>
      </c>
      <c r="C48" s="576"/>
      <c r="D48" s="577"/>
      <c r="E48" s="415" t="s">
        <v>532</v>
      </c>
      <c r="F48" s="416" t="s">
        <v>550</v>
      </c>
      <c r="G48" s="367">
        <f t="shared" si="1"/>
        <v>3</v>
      </c>
      <c r="H48" s="368">
        <f t="shared" si="2"/>
        <v>9.39</v>
      </c>
      <c r="I48" s="553" t="str">
        <f t="shared" si="3"/>
        <v>Fornecimento igual ao estimado mensalmente</v>
      </c>
      <c r="J48" s="553"/>
      <c r="K48" s="553"/>
      <c r="L48" s="374">
        <f t="shared" si="4"/>
        <v>3</v>
      </c>
      <c r="M48" s="369">
        <f>Materiais!J31</f>
        <v>3</v>
      </c>
      <c r="N48" s="370" t="str">
        <f>Materiais!K31</f>
        <v>Mensal</v>
      </c>
      <c r="O48" s="371">
        <f t="shared" si="5"/>
        <v>1</v>
      </c>
      <c r="P48" s="551">
        <v>3.13</v>
      </c>
      <c r="Q48" s="372">
        <f>ROUND(IF(Dados!$J$56="SIM",P48*Dados!$N$56,P48),2)</f>
        <v>3.13</v>
      </c>
      <c r="R48" s="372">
        <f>ROUND(IF(Dados!$J$57="SIM",Q48*Dados!$N$57,Q48),2)</f>
        <v>3.13</v>
      </c>
      <c r="S48" s="372">
        <f>ROUND(IF(Dados!$J$58="SIM",R48*Dados!$N$58,R48),2)</f>
        <v>3.13</v>
      </c>
      <c r="T48" s="372">
        <f>ROUND(IF(Dados!$J$59="SIM",S48*Dados!$N$59,S48),2)</f>
        <v>3.13</v>
      </c>
      <c r="U48" s="373">
        <f>ROUND(IF(Dados!$J$60="SIM",T48*Dados!$N$60,T48),2)</f>
        <v>3.13</v>
      </c>
      <c r="V48" s="375">
        <f>IF(Dados!$D$69="INICIAL",'Ocorrências Mensais - FAT'!P48,IF(Dados!$D$69="1º IPCA",'Ocorrências Mensais - FAT'!Q48,IF(Dados!$D$69="2º IPCA",'Ocorrências Mensais - FAT'!R48,IF(Dados!$D$69="3º IPCA",'Ocorrências Mensais - FAT'!S48,IF(Dados!$D$69="4º IPCA",'Ocorrências Mensais - FAT'!T48,IF(Dados!$D$69="5º IPCA",'Ocorrências Mensais - FAT'!U48,))))))</f>
        <v>3.13</v>
      </c>
    </row>
    <row r="49" spans="1:22" s="2" customFormat="1" ht="15" hidden="1" customHeight="1" x14ac:dyDescent="0.25">
      <c r="A49" s="549">
        <v>24</v>
      </c>
      <c r="B49" s="552" t="s">
        <v>612</v>
      </c>
      <c r="C49" s="552"/>
      <c r="D49" s="552"/>
      <c r="E49" s="415" t="s">
        <v>63</v>
      </c>
      <c r="F49" s="550" t="s">
        <v>535</v>
      </c>
      <c r="G49" s="367">
        <f t="shared" si="1"/>
        <v>1</v>
      </c>
      <c r="H49" s="368">
        <f t="shared" si="2"/>
        <v>19.54</v>
      </c>
      <c r="I49" s="553" t="str">
        <f t="shared" si="3"/>
        <v>Fornecimento igual ao estimado mensalmente</v>
      </c>
      <c r="J49" s="553"/>
      <c r="K49" s="553"/>
      <c r="L49" s="374">
        <f t="shared" si="4"/>
        <v>1</v>
      </c>
      <c r="M49" s="369">
        <f>Materiais!J32</f>
        <v>1</v>
      </c>
      <c r="N49" s="370" t="str">
        <f>Materiais!K32</f>
        <v>Mensal</v>
      </c>
      <c r="O49" s="371">
        <f t="shared" si="5"/>
        <v>1</v>
      </c>
      <c r="P49" s="551">
        <v>19.54</v>
      </c>
      <c r="Q49" s="372">
        <f>ROUND(IF(Dados!$J$56="SIM",P49*Dados!$N$56,P49),2)</f>
        <v>19.54</v>
      </c>
      <c r="R49" s="372">
        <f>ROUND(IF(Dados!$J$57="SIM",Q49*Dados!$N$57,Q49),2)</f>
        <v>19.54</v>
      </c>
      <c r="S49" s="372">
        <f>ROUND(IF(Dados!$J$58="SIM",R49*Dados!$N$58,R49),2)</f>
        <v>19.54</v>
      </c>
      <c r="T49" s="372">
        <f>ROUND(IF(Dados!$J$59="SIM",S49*Dados!$N$59,S49),2)</f>
        <v>19.54</v>
      </c>
      <c r="U49" s="373">
        <f>ROUND(IF(Dados!$J$60="SIM",T49*Dados!$N$60,T49),2)</f>
        <v>19.54</v>
      </c>
      <c r="V49" s="375">
        <f>IF(Dados!$D$69="INICIAL",'Ocorrências Mensais - FAT'!P49,IF(Dados!$D$69="1º IPCA",'Ocorrências Mensais - FAT'!Q49,IF(Dados!$D$69="2º IPCA",'Ocorrências Mensais - FAT'!R49,IF(Dados!$D$69="3º IPCA",'Ocorrências Mensais - FAT'!S49,IF(Dados!$D$69="4º IPCA",'Ocorrências Mensais - FAT'!T49,IF(Dados!$D$69="5º IPCA",'Ocorrências Mensais - FAT'!U49,))))))</f>
        <v>19.54</v>
      </c>
    </row>
    <row r="50" spans="1:22" s="2" customFormat="1" ht="15" hidden="1" customHeight="1" x14ac:dyDescent="0.25">
      <c r="A50" s="549">
        <v>25</v>
      </c>
      <c r="B50" s="552" t="s">
        <v>530</v>
      </c>
      <c r="C50" s="552"/>
      <c r="D50" s="552"/>
      <c r="E50" s="442" t="s">
        <v>513</v>
      </c>
      <c r="F50" s="456" t="s">
        <v>548</v>
      </c>
      <c r="G50" s="367">
        <f t="shared" si="1"/>
        <v>3</v>
      </c>
      <c r="H50" s="368">
        <f t="shared" si="2"/>
        <v>72.960000000000008</v>
      </c>
      <c r="I50" s="553" t="str">
        <f t="shared" ref="I50:I53" si="6">IF(G50&lt;L50,"Fornecimento inferior ao estimado mensalmente",IF(G50=L50,"Fornecimento igual ao estimado mensalmente",IF(G50&gt;L50,"Fornecimento superior ao estimado mensalmente",)))</f>
        <v>Fornecimento igual ao estimado mensalmente</v>
      </c>
      <c r="J50" s="553"/>
      <c r="K50" s="553"/>
      <c r="L50" s="374">
        <f t="shared" si="4"/>
        <v>3</v>
      </c>
      <c r="M50" s="369">
        <f>Materiais!J33</f>
        <v>3</v>
      </c>
      <c r="N50" s="370" t="str">
        <f>Materiais!K33</f>
        <v>Mensal</v>
      </c>
      <c r="O50" s="371">
        <f t="shared" si="5"/>
        <v>1</v>
      </c>
      <c r="P50" s="551">
        <v>24.32</v>
      </c>
      <c r="Q50" s="372">
        <f>ROUND(IF(Dados!$J$56="SIM",P50*Dados!$N$56,P50),2)</f>
        <v>24.32</v>
      </c>
      <c r="R50" s="372">
        <f>ROUND(IF(Dados!$J$57="SIM",Q50*Dados!$N$57,Q50),2)</f>
        <v>24.32</v>
      </c>
      <c r="S50" s="372">
        <f>ROUND(IF(Dados!$J$58="SIM",R50*Dados!$N$58,R50),2)</f>
        <v>24.32</v>
      </c>
      <c r="T50" s="372">
        <f>ROUND(IF(Dados!$J$59="SIM",S50*Dados!$N$59,S50),2)</f>
        <v>24.32</v>
      </c>
      <c r="U50" s="373">
        <f>ROUND(IF(Dados!$J$60="SIM",T50*Dados!$N$60,T50),2)</f>
        <v>24.32</v>
      </c>
      <c r="V50" s="375">
        <f>IF(Dados!$D$69="INICIAL",'Ocorrências Mensais - FAT'!P50,IF(Dados!$D$69="1º IPCA",'Ocorrências Mensais - FAT'!Q50,IF(Dados!$D$69="2º IPCA",'Ocorrências Mensais - FAT'!R50,IF(Dados!$D$69="3º IPCA",'Ocorrências Mensais - FAT'!S50,IF(Dados!$D$69="4º IPCA",'Ocorrências Mensais - FAT'!T50,IF(Dados!$D$69="5º IPCA",'Ocorrências Mensais - FAT'!U50,))))))</f>
        <v>24.32</v>
      </c>
    </row>
    <row r="51" spans="1:22" s="2" customFormat="1" ht="15" hidden="1" customHeight="1" x14ac:dyDescent="0.25">
      <c r="A51" s="549">
        <v>26</v>
      </c>
      <c r="B51" s="552" t="s">
        <v>531</v>
      </c>
      <c r="C51" s="552"/>
      <c r="D51" s="552"/>
      <c r="E51" s="442" t="s">
        <v>63</v>
      </c>
      <c r="F51" s="456" t="s">
        <v>549</v>
      </c>
      <c r="G51" s="367">
        <f t="shared" si="1"/>
        <v>6</v>
      </c>
      <c r="H51" s="368">
        <f t="shared" si="2"/>
        <v>55.320000000000007</v>
      </c>
      <c r="I51" s="553" t="str">
        <f t="shared" si="6"/>
        <v>Fornecimento igual ao estimado mensalmente</v>
      </c>
      <c r="J51" s="553"/>
      <c r="K51" s="553"/>
      <c r="L51" s="374">
        <f t="shared" si="4"/>
        <v>6</v>
      </c>
      <c r="M51" s="369">
        <f>Materiais!J34</f>
        <v>6</v>
      </c>
      <c r="N51" s="370" t="str">
        <f>Materiais!K34</f>
        <v>Mensal</v>
      </c>
      <c r="O51" s="371">
        <f t="shared" si="5"/>
        <v>1</v>
      </c>
      <c r="P51" s="551">
        <v>9.2200000000000006</v>
      </c>
      <c r="Q51" s="372">
        <f>ROUND(IF(Dados!$J$56="SIM",P51*Dados!$N$56,P51),2)</f>
        <v>9.2200000000000006</v>
      </c>
      <c r="R51" s="372">
        <f>ROUND(IF(Dados!$J$57="SIM",Q51*Dados!$N$57,Q51),2)</f>
        <v>9.2200000000000006</v>
      </c>
      <c r="S51" s="372">
        <f>ROUND(IF(Dados!$J$58="SIM",R51*Dados!$N$58,R51),2)</f>
        <v>9.2200000000000006</v>
      </c>
      <c r="T51" s="372">
        <f>ROUND(IF(Dados!$J$59="SIM",S51*Dados!$N$59,S51),2)</f>
        <v>9.2200000000000006</v>
      </c>
      <c r="U51" s="373">
        <f>ROUND(IF(Dados!$J$60="SIM",T51*Dados!$N$60,T51),2)</f>
        <v>9.2200000000000006</v>
      </c>
      <c r="V51" s="375">
        <f>IF(Dados!$D$69="INICIAL",'Ocorrências Mensais - FAT'!P51,IF(Dados!$D$69="1º IPCA",'Ocorrências Mensais - FAT'!Q51,IF(Dados!$D$69="2º IPCA",'Ocorrências Mensais - FAT'!R51,IF(Dados!$D$69="3º IPCA",'Ocorrências Mensais - FAT'!S51,IF(Dados!$D$69="4º IPCA",'Ocorrências Mensais - FAT'!T51,IF(Dados!$D$69="5º IPCA",'Ocorrências Mensais - FAT'!U51,))))))</f>
        <v>9.2200000000000006</v>
      </c>
    </row>
    <row r="52" spans="1:22" s="2" customFormat="1" ht="15" hidden="1" customHeight="1" x14ac:dyDescent="0.25">
      <c r="A52" s="549">
        <v>27</v>
      </c>
      <c r="B52" s="552" t="s">
        <v>613</v>
      </c>
      <c r="C52" s="552"/>
      <c r="D52" s="552"/>
      <c r="E52" s="442" t="s">
        <v>532</v>
      </c>
      <c r="F52" s="456" t="s">
        <v>550</v>
      </c>
      <c r="G52" s="367">
        <f t="shared" si="1"/>
        <v>2</v>
      </c>
      <c r="H52" s="368">
        <f t="shared" si="2"/>
        <v>47.2</v>
      </c>
      <c r="I52" s="553" t="str">
        <f t="shared" si="6"/>
        <v>Fornecimento igual ao estimado mensalmente</v>
      </c>
      <c r="J52" s="553"/>
      <c r="K52" s="553"/>
      <c r="L52" s="374">
        <f t="shared" si="4"/>
        <v>2</v>
      </c>
      <c r="M52" s="369">
        <f>Materiais!J35</f>
        <v>2</v>
      </c>
      <c r="N52" s="370" t="str">
        <f>Materiais!K35</f>
        <v>Mensal</v>
      </c>
      <c r="O52" s="371">
        <f t="shared" si="5"/>
        <v>1</v>
      </c>
      <c r="P52" s="551">
        <v>23.6</v>
      </c>
      <c r="Q52" s="372">
        <f>ROUND(IF(Dados!$J$56="SIM",P52*Dados!$N$56,P52),2)</f>
        <v>23.6</v>
      </c>
      <c r="R52" s="372">
        <f>ROUND(IF(Dados!$J$57="SIM",Q52*Dados!$N$57,Q52),2)</f>
        <v>23.6</v>
      </c>
      <c r="S52" s="372">
        <f>ROUND(IF(Dados!$J$58="SIM",R52*Dados!$N$58,R52),2)</f>
        <v>23.6</v>
      </c>
      <c r="T52" s="372">
        <f>ROUND(IF(Dados!$J$59="SIM",S52*Dados!$N$59,S52),2)</f>
        <v>23.6</v>
      </c>
      <c r="U52" s="373">
        <f>ROUND(IF(Dados!$J$60="SIM",T52*Dados!$N$60,T52),2)</f>
        <v>23.6</v>
      </c>
      <c r="V52" s="375">
        <f>IF(Dados!$D$69="INICIAL",'Ocorrências Mensais - FAT'!P52,IF(Dados!$D$69="1º IPCA",'Ocorrências Mensais - FAT'!Q52,IF(Dados!$D$69="2º IPCA",'Ocorrências Mensais - FAT'!R52,IF(Dados!$D$69="3º IPCA",'Ocorrências Mensais - FAT'!S52,IF(Dados!$D$69="4º IPCA",'Ocorrências Mensais - FAT'!T52,IF(Dados!$D$69="5º IPCA",'Ocorrências Mensais - FAT'!U52,))))))</f>
        <v>23.6</v>
      </c>
    </row>
    <row r="53" spans="1:22" s="2" customFormat="1" ht="15" hidden="1" customHeight="1" x14ac:dyDescent="0.25">
      <c r="A53" s="549">
        <v>28</v>
      </c>
      <c r="B53" s="552" t="s">
        <v>533</v>
      </c>
      <c r="C53" s="552"/>
      <c r="D53" s="552"/>
      <c r="E53" s="442" t="s">
        <v>63</v>
      </c>
      <c r="F53" s="456" t="s">
        <v>535</v>
      </c>
      <c r="G53" s="367">
        <f t="shared" si="1"/>
        <v>0.66666666666666663</v>
      </c>
      <c r="H53" s="368">
        <f t="shared" si="2"/>
        <v>18.873333333333331</v>
      </c>
      <c r="I53" s="553" t="str">
        <f t="shared" si="6"/>
        <v>Fornecimento igual ao estimado mensalmente</v>
      </c>
      <c r="J53" s="553"/>
      <c r="K53" s="553"/>
      <c r="L53" s="374">
        <f t="shared" si="4"/>
        <v>0.66666666666666663</v>
      </c>
      <c r="M53" s="369">
        <f>Materiais!J36</f>
        <v>2</v>
      </c>
      <c r="N53" s="370" t="str">
        <f>Materiais!K36</f>
        <v>Trimestral</v>
      </c>
      <c r="O53" s="371">
        <f t="shared" si="5"/>
        <v>3</v>
      </c>
      <c r="P53" s="551">
        <v>28.31</v>
      </c>
      <c r="Q53" s="372">
        <f>ROUND(IF(Dados!$J$56="SIM",P53*Dados!$N$56,P53),2)</f>
        <v>28.31</v>
      </c>
      <c r="R53" s="372">
        <f>ROUND(IF(Dados!$J$57="SIM",Q53*Dados!$N$57,Q53),2)</f>
        <v>28.31</v>
      </c>
      <c r="S53" s="372">
        <f>ROUND(IF(Dados!$J$58="SIM",R53*Dados!$N$58,R53),2)</f>
        <v>28.31</v>
      </c>
      <c r="T53" s="372">
        <f>ROUND(IF(Dados!$J$59="SIM",S53*Dados!$N$59,S53),2)</f>
        <v>28.31</v>
      </c>
      <c r="U53" s="373">
        <f>ROUND(IF(Dados!$J$60="SIM",T53*Dados!$N$60,T53),2)</f>
        <v>28.31</v>
      </c>
      <c r="V53" s="375">
        <f>IF(Dados!$D$69="INICIAL",'Ocorrências Mensais - FAT'!P53,IF(Dados!$D$69="1º IPCA",'Ocorrências Mensais - FAT'!Q53,IF(Dados!$D$69="2º IPCA",'Ocorrências Mensais - FAT'!R53,IF(Dados!$D$69="3º IPCA",'Ocorrências Mensais - FAT'!S53,IF(Dados!$D$69="4º IPCA",'Ocorrências Mensais - FAT'!T53,IF(Dados!$D$69="5º IPCA",'Ocorrências Mensais - FAT'!U53,))))))</f>
        <v>28.31</v>
      </c>
    </row>
    <row r="54" spans="1:22" ht="15" hidden="1" customHeight="1" x14ac:dyDescent="0.25">
      <c r="A54" s="587" t="s">
        <v>79</v>
      </c>
      <c r="B54" s="587"/>
      <c r="C54" s="587"/>
      <c r="D54" s="587"/>
      <c r="E54" s="587"/>
      <c r="F54" s="587"/>
      <c r="G54" s="587"/>
      <c r="H54" s="63">
        <f>ROUND(SUM(H26:H53),2)</f>
        <v>1553.89</v>
      </c>
      <c r="I54" s="64"/>
      <c r="J54" s="64"/>
      <c r="K54" s="2"/>
      <c r="L54" s="2"/>
      <c r="M54" s="2"/>
      <c r="N54" s="65"/>
      <c r="O54" s="59"/>
      <c r="P54" s="65"/>
    </row>
    <row r="55" spans="1:22" ht="15" hidden="1" customHeight="1" x14ac:dyDescent="0.25">
      <c r="A55" s="589" t="s">
        <v>80</v>
      </c>
      <c r="B55" s="589"/>
      <c r="C55" s="589"/>
      <c r="D55" s="589"/>
      <c r="E55" s="589"/>
      <c r="F55" s="589"/>
      <c r="G55" s="66">
        <f>Dados!$G$43</f>
        <v>0.03</v>
      </c>
      <c r="H55" s="67">
        <f>ROUND((H54*G55),2)</f>
        <v>46.62</v>
      </c>
      <c r="I55" s="64"/>
      <c r="J55" s="64"/>
      <c r="K55" s="2"/>
      <c r="L55" s="2"/>
      <c r="M55" s="2"/>
      <c r="N55" s="65"/>
      <c r="O55" s="59"/>
      <c r="P55" s="65"/>
    </row>
    <row r="56" spans="1:22" ht="15" hidden="1" customHeight="1" x14ac:dyDescent="0.25">
      <c r="A56" s="589" t="s">
        <v>81</v>
      </c>
      <c r="B56" s="589"/>
      <c r="C56" s="589"/>
      <c r="D56" s="589"/>
      <c r="E56" s="589"/>
      <c r="F56" s="589"/>
      <c r="G56" s="66">
        <f>Dados!$G$44</f>
        <v>6.7900000000000002E-2</v>
      </c>
      <c r="H56" s="67">
        <f>ROUND((SUM(H54:H55)*G56),2)</f>
        <v>108.67</v>
      </c>
      <c r="I56" s="64"/>
      <c r="J56" s="64"/>
      <c r="K56" s="2"/>
      <c r="L56" s="2"/>
      <c r="M56" s="2"/>
      <c r="N56" s="65"/>
      <c r="O56" s="59"/>
      <c r="P56" s="65"/>
    </row>
    <row r="57" spans="1:22" ht="15" hidden="1" customHeight="1" x14ac:dyDescent="0.25">
      <c r="A57" s="589" t="s">
        <v>82</v>
      </c>
      <c r="B57" s="589"/>
      <c r="C57" s="589"/>
      <c r="D57" s="589"/>
      <c r="E57" s="589"/>
      <c r="F57" s="589"/>
      <c r="G57" s="66">
        <f>Dados!$G$55</f>
        <v>0.13250000000000001</v>
      </c>
      <c r="H57" s="67">
        <f>ROUND((H58*G57),2)</f>
        <v>261.06</v>
      </c>
      <c r="I57" s="64"/>
      <c r="J57" s="64"/>
      <c r="K57" s="2"/>
      <c r="L57" s="2"/>
      <c r="M57" s="2"/>
      <c r="N57" s="65"/>
      <c r="O57" s="59"/>
      <c r="P57" s="65"/>
    </row>
    <row r="58" spans="1:22" ht="15.75" hidden="1" customHeight="1" thickBot="1" x14ac:dyDescent="0.3">
      <c r="A58" s="590" t="s">
        <v>83</v>
      </c>
      <c r="B58" s="590"/>
      <c r="C58" s="590"/>
      <c r="D58" s="590"/>
      <c r="E58" s="590"/>
      <c r="F58" s="590"/>
      <c r="G58" s="590"/>
      <c r="H58" s="68">
        <f>ROUND((SUM(H54:H56)/(1-G57)),2)</f>
        <v>1970.24</v>
      </c>
      <c r="I58" s="64"/>
      <c r="J58" s="64"/>
      <c r="K58" s="2"/>
      <c r="L58" s="2"/>
      <c r="M58" s="2"/>
      <c r="N58" s="65"/>
      <c r="O58" s="59"/>
      <c r="P58" s="65"/>
    </row>
    <row r="59" spans="1:22" hidden="1" x14ac:dyDescent="0.25">
      <c r="A59" s="69"/>
      <c r="B59" s="59"/>
      <c r="C59" s="59"/>
      <c r="D59" s="59"/>
      <c r="E59" s="59"/>
      <c r="F59" s="59"/>
      <c r="G59" s="69"/>
      <c r="H59" s="59"/>
      <c r="I59" s="65"/>
      <c r="J59" s="65"/>
      <c r="K59" s="2"/>
      <c r="L59" s="65"/>
      <c r="M59" s="65"/>
      <c r="N59" s="65"/>
      <c r="P59" s="4"/>
      <c r="Q59" s="4"/>
      <c r="V59" s="2"/>
    </row>
    <row r="60" spans="1:22" hidden="1" x14ac:dyDescent="0.25">
      <c r="A60" s="69"/>
      <c r="B60" s="59"/>
      <c r="C60" s="59"/>
      <c r="D60" s="59"/>
      <c r="E60" s="59"/>
      <c r="F60" s="59"/>
      <c r="G60" s="69"/>
      <c r="H60" s="59"/>
      <c r="I60" s="65"/>
      <c r="J60" s="65"/>
      <c r="K60" s="2"/>
      <c r="L60" s="65"/>
      <c r="M60" s="65"/>
      <c r="N60" s="65"/>
      <c r="P60" s="4"/>
      <c r="Q60" s="4"/>
      <c r="V60" s="2"/>
    </row>
    <row r="61" spans="1:22" hidden="1" x14ac:dyDescent="0.25"/>
    <row r="62" spans="1:22" hidden="1" x14ac:dyDescent="0.25">
      <c r="B62" s="588" t="s">
        <v>84</v>
      </c>
      <c r="C62" s="588"/>
    </row>
    <row r="63" spans="1:22" hidden="1" x14ac:dyDescent="0.25">
      <c r="B63" s="70" t="s">
        <v>85</v>
      </c>
      <c r="C63" s="71">
        <v>22</v>
      </c>
      <c r="D63" s="2" t="s">
        <v>86</v>
      </c>
    </row>
    <row r="64" spans="1:22" hidden="1" x14ac:dyDescent="0.25">
      <c r="B64" s="70" t="s">
        <v>5</v>
      </c>
      <c r="C64" s="72">
        <v>30</v>
      </c>
      <c r="D64" s="2" t="s">
        <v>87</v>
      </c>
    </row>
    <row r="65" spans="2:4" hidden="1" x14ac:dyDescent="0.25">
      <c r="B65" s="70" t="s">
        <v>88</v>
      </c>
      <c r="C65" s="72" t="s">
        <v>89</v>
      </c>
      <c r="D65" s="2" t="s">
        <v>90</v>
      </c>
    </row>
    <row r="66" spans="2:4" hidden="1" x14ac:dyDescent="0.25"/>
    <row r="67" spans="2:4" hidden="1" x14ac:dyDescent="0.25">
      <c r="B67" s="70" t="s">
        <v>91</v>
      </c>
      <c r="C67" s="70" t="s">
        <v>92</v>
      </c>
    </row>
    <row r="68" spans="2:4" hidden="1" x14ac:dyDescent="0.25">
      <c r="B68" s="70">
        <v>220</v>
      </c>
      <c r="C68" s="70">
        <v>8.8000000000000007</v>
      </c>
    </row>
    <row r="69" spans="2:4" hidden="1" x14ac:dyDescent="0.25">
      <c r="B69" s="70">
        <v>200</v>
      </c>
      <c r="C69" s="70">
        <v>8</v>
      </c>
    </row>
    <row r="70" spans="2:4" hidden="1" x14ac:dyDescent="0.25">
      <c r="B70" s="70">
        <v>180</v>
      </c>
      <c r="C70" s="70">
        <v>7.2</v>
      </c>
    </row>
    <row r="71" spans="2:4" hidden="1" x14ac:dyDescent="0.25">
      <c r="B71" s="70">
        <v>150</v>
      </c>
      <c r="C71" s="70">
        <v>6</v>
      </c>
    </row>
    <row r="72" spans="2:4" hidden="1" x14ac:dyDescent="0.25">
      <c r="B72" s="70">
        <v>120</v>
      </c>
      <c r="C72" s="70">
        <v>4.8</v>
      </c>
    </row>
    <row r="73" spans="2:4" hidden="1" x14ac:dyDescent="0.25">
      <c r="B73" s="70">
        <v>100</v>
      </c>
      <c r="C73" s="70">
        <v>4</v>
      </c>
    </row>
    <row r="74" spans="2:4" hidden="1" x14ac:dyDescent="0.25">
      <c r="B74" s="70">
        <v>75</v>
      </c>
      <c r="C74" s="70">
        <v>3</v>
      </c>
    </row>
    <row r="75" spans="2:4" hidden="1" x14ac:dyDescent="0.25"/>
    <row r="76" spans="2:4" hidden="1" x14ac:dyDescent="0.25">
      <c r="B76" s="70" t="s">
        <v>93</v>
      </c>
    </row>
    <row r="77" spans="2:4" hidden="1" x14ac:dyDescent="0.25">
      <c r="B77" s="73">
        <v>0</v>
      </c>
    </row>
    <row r="78" spans="2:4" hidden="1" x14ac:dyDescent="0.25">
      <c r="B78" s="73">
        <v>1</v>
      </c>
    </row>
    <row r="79" spans="2:4" hidden="1" x14ac:dyDescent="0.25">
      <c r="B79" s="73">
        <v>2</v>
      </c>
    </row>
  </sheetData>
  <sheetProtection password="C494" sheet="1" objects="1" scenarios="1"/>
  <mergeCells count="96">
    <mergeCell ref="A54:G54"/>
    <mergeCell ref="B62:C62"/>
    <mergeCell ref="A55:F55"/>
    <mergeCell ref="A56:F56"/>
    <mergeCell ref="A57:F57"/>
    <mergeCell ref="A58:G58"/>
    <mergeCell ref="B47:D47"/>
    <mergeCell ref="I47:K47"/>
    <mergeCell ref="B48:D48"/>
    <mergeCell ref="I48:K48"/>
    <mergeCell ref="B49:D49"/>
    <mergeCell ref="I49:K49"/>
    <mergeCell ref="B45:D45"/>
    <mergeCell ref="I45:K45"/>
    <mergeCell ref="B43:D43"/>
    <mergeCell ref="B46:D46"/>
    <mergeCell ref="I46:K46"/>
    <mergeCell ref="B42:D42"/>
    <mergeCell ref="I42:K42"/>
    <mergeCell ref="I43:K43"/>
    <mergeCell ref="B44:D44"/>
    <mergeCell ref="I44:K44"/>
    <mergeCell ref="B39:D39"/>
    <mergeCell ref="I39:K39"/>
    <mergeCell ref="B40:D40"/>
    <mergeCell ref="I40:K40"/>
    <mergeCell ref="B41:D41"/>
    <mergeCell ref="I41:K41"/>
    <mergeCell ref="B36:D36"/>
    <mergeCell ref="I36:K36"/>
    <mergeCell ref="B37:D37"/>
    <mergeCell ref="I37:K37"/>
    <mergeCell ref="B38:D38"/>
    <mergeCell ref="I38:K38"/>
    <mergeCell ref="B33:D33"/>
    <mergeCell ref="I33:K33"/>
    <mergeCell ref="B34:D34"/>
    <mergeCell ref="I34:K34"/>
    <mergeCell ref="B35:D35"/>
    <mergeCell ref="I35:K35"/>
    <mergeCell ref="B30:D30"/>
    <mergeCell ref="I30:K30"/>
    <mergeCell ref="B31:D31"/>
    <mergeCell ref="I31:K31"/>
    <mergeCell ref="B32:D32"/>
    <mergeCell ref="I32:K32"/>
    <mergeCell ref="B27:D27"/>
    <mergeCell ref="I27:K27"/>
    <mergeCell ref="B28:D28"/>
    <mergeCell ref="I28:K28"/>
    <mergeCell ref="B29:D29"/>
    <mergeCell ref="I29:K29"/>
    <mergeCell ref="I24:K25"/>
    <mergeCell ref="L24:O24"/>
    <mergeCell ref="P24:U24"/>
    <mergeCell ref="B25:D25"/>
    <mergeCell ref="B26:D26"/>
    <mergeCell ref="I26:K26"/>
    <mergeCell ref="A18:B19"/>
    <mergeCell ref="A20:F21"/>
    <mergeCell ref="A24:A25"/>
    <mergeCell ref="B24:E24"/>
    <mergeCell ref="F24:H24"/>
    <mergeCell ref="T7:W9"/>
    <mergeCell ref="A15:G15"/>
    <mergeCell ref="I15:J15"/>
    <mergeCell ref="M7:M9"/>
    <mergeCell ref="N7:N9"/>
    <mergeCell ref="O7:O9"/>
    <mergeCell ref="P7:P9"/>
    <mergeCell ref="Q7:Q9"/>
    <mergeCell ref="H7:H9"/>
    <mergeCell ref="I7:I9"/>
    <mergeCell ref="J7:J9"/>
    <mergeCell ref="K7:K9"/>
    <mergeCell ref="L7:L9"/>
    <mergeCell ref="A7:C9"/>
    <mergeCell ref="D7:D9"/>
    <mergeCell ref="E7:E9"/>
    <mergeCell ref="F7:F9"/>
    <mergeCell ref="G7:G9"/>
    <mergeCell ref="C2:S2"/>
    <mergeCell ref="C3:S3"/>
    <mergeCell ref="A4:C4"/>
    <mergeCell ref="D4:E4"/>
    <mergeCell ref="A5:C5"/>
    <mergeCell ref="R7:R9"/>
    <mergeCell ref="S7:S9"/>
    <mergeCell ref="B50:D50"/>
    <mergeCell ref="B51:D51"/>
    <mergeCell ref="B52:D52"/>
    <mergeCell ref="B53:D53"/>
    <mergeCell ref="I50:K50"/>
    <mergeCell ref="I51:K51"/>
    <mergeCell ref="I52:K52"/>
    <mergeCell ref="I53:K53"/>
  </mergeCells>
  <phoneticPr fontId="20" type="noConversion"/>
  <conditionalFormatting sqref="I26:I53">
    <cfRule type="containsText" dxfId="1" priority="8" operator="containsText" text="inferior">
      <formula>NOT(ISERROR(SEARCH("inferior",I26)))</formula>
    </cfRule>
    <cfRule type="containsText" dxfId="0" priority="9" operator="containsText" text="superior">
      <formula>NOT(ISERROR(SEARCH("superior",I26)))</formula>
    </cfRule>
  </conditionalFormatting>
  <dataValidations count="6">
    <dataValidation type="list" allowBlank="1" showInputMessage="1" showErrorMessage="1" sqref="N26:N53" xr:uid="{00000000-0002-0000-0000-000000000000}">
      <formula1>"Mensal,Bimestral,Trimestral,Quadrimestral,Semestral,Anual,Bienal"</formula1>
      <formula2>0</formula2>
    </dataValidation>
    <dataValidation type="list" allowBlank="1" showInputMessage="1" showErrorMessage="1" sqref="C19" xr:uid="{00000000-0002-0000-0000-000001000000}">
      <formula1>$B$68:$B$74</formula1>
      <formula2>0</formula2>
    </dataValidation>
    <dataValidation type="list" allowBlank="1" showInputMessage="1" showErrorMessage="1" sqref="D4:E4" xr:uid="{00000000-0002-0000-0000-000002000000}">
      <formula1>"PLANILHA PARA LICITAÇÃO (PRECIFICAÇÃO),PLANILHA PARA FATURAMENTO"</formula1>
      <formula2>0</formula2>
    </dataValidation>
    <dataValidation type="list" allowBlank="1" showInputMessage="1" showErrorMessage="1" sqref="D5" xr:uid="{00000000-0002-0000-0000-000003000000}">
      <formula1>$B$63:$B$65</formula1>
      <formula2>0</formula2>
    </dataValidation>
    <dataValidation type="list" allowBlank="1" showInputMessage="1" showErrorMessage="1" sqref="E11:E14" xr:uid="{00000000-0002-0000-0000-000004000000}">
      <formula1>"SIM,NÃO"</formula1>
      <formula2>0</formula2>
    </dataValidation>
    <dataValidation type="list" allowBlank="1" showInputMessage="1" showErrorMessage="1" sqref="D11:D14" xr:uid="{00000000-0002-0000-0000-000005000000}">
      <formula1>$B$77:$B$78</formula1>
      <formula2>0</formula2>
    </dataValidation>
  </dataValidations>
  <pageMargins left="0.7" right="0.7" top="0.75" bottom="0.75" header="0.51180555555555496" footer="0.51180555555555496"/>
  <pageSetup paperSize="9" orientation="portrait"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9D9D9"/>
  </sheetPr>
  <dimension ref="A1:AMJ47"/>
  <sheetViews>
    <sheetView showGridLines="0" zoomScaleNormal="100" workbookViewId="0">
      <selection activeCell="F30" sqref="F30"/>
    </sheetView>
  </sheetViews>
  <sheetFormatPr defaultColWidth="9.140625" defaultRowHeight="15" x14ac:dyDescent="0.25"/>
  <cols>
    <col min="1" max="1" width="10.5703125" style="80" customWidth="1"/>
    <col min="2" max="2" width="27.7109375" style="80" customWidth="1"/>
    <col min="3" max="3" width="14.42578125" style="80" customWidth="1"/>
    <col min="4" max="5" width="15" style="80" customWidth="1"/>
    <col min="6" max="6" width="16.7109375" style="211" customWidth="1"/>
    <col min="7" max="8" width="13.140625" style="211" customWidth="1"/>
    <col min="9" max="10" width="12.5703125" style="211" customWidth="1"/>
    <col min="11" max="257" width="9.140625" style="80"/>
    <col min="258" max="258" width="10.5703125" style="80" customWidth="1"/>
    <col min="259" max="259" width="27.7109375" style="80" customWidth="1"/>
    <col min="260" max="260" width="14.42578125" style="80" customWidth="1"/>
    <col min="261" max="262" width="15" style="80" customWidth="1"/>
    <col min="263" max="263" width="16.7109375" style="80" customWidth="1"/>
    <col min="264" max="264" width="13.140625" style="80" customWidth="1"/>
    <col min="265" max="266" width="12.5703125" style="80" customWidth="1"/>
    <col min="267" max="513" width="9.140625" style="80"/>
    <col min="514" max="514" width="10.5703125" style="80" customWidth="1"/>
    <col min="515" max="515" width="27.7109375" style="80" customWidth="1"/>
    <col min="516" max="516" width="14.42578125" style="80" customWidth="1"/>
    <col min="517" max="518" width="15" style="80" customWidth="1"/>
    <col min="519" max="519" width="16.7109375" style="80" customWidth="1"/>
    <col min="520" max="520" width="13.140625" style="80" customWidth="1"/>
    <col min="521" max="522" width="12.5703125" style="80" customWidth="1"/>
    <col min="523" max="769" width="9.140625" style="80"/>
    <col min="770" max="770" width="10.5703125" style="80" customWidth="1"/>
    <col min="771" max="771" width="27.7109375" style="80" customWidth="1"/>
    <col min="772" max="772" width="14.42578125" style="80" customWidth="1"/>
    <col min="773" max="774" width="15" style="80" customWidth="1"/>
    <col min="775" max="775" width="16.7109375" style="80" customWidth="1"/>
    <col min="776" max="776" width="13.140625" style="80" customWidth="1"/>
    <col min="777" max="778" width="12.5703125" style="80" customWidth="1"/>
    <col min="779" max="1024" width="9.140625" style="80"/>
  </cols>
  <sheetData>
    <row r="1" spans="1:10" x14ac:dyDescent="0.25">
      <c r="A1" s="212"/>
      <c r="B1" s="77" t="str">
        <f>INSTRUÇÕES!B1</f>
        <v>Tribunal Regional Federal da 6ª Região</v>
      </c>
      <c r="C1" s="213"/>
      <c r="D1" s="213"/>
      <c r="E1" s="213"/>
      <c r="F1" s="214"/>
      <c r="G1" s="215"/>
      <c r="H1" s="215"/>
      <c r="I1" s="214"/>
      <c r="J1" s="216"/>
    </row>
    <row r="2" spans="1:10" x14ac:dyDescent="0.25">
      <c r="A2" s="217"/>
      <c r="B2" s="79" t="str">
        <f>INSTRUÇÕES!B2</f>
        <v>Seção Judiciária de Minas Gerais</v>
      </c>
      <c r="C2" s="218"/>
      <c r="D2" s="218"/>
      <c r="E2" s="218"/>
      <c r="F2" s="219"/>
      <c r="I2" s="219"/>
      <c r="J2" s="220"/>
    </row>
    <row r="3" spans="1:10" ht="15.75" thickBot="1" x14ac:dyDescent="0.3">
      <c r="A3" s="221"/>
      <c r="B3" s="222" t="str">
        <f>INSTRUÇÕES!B3</f>
        <v>Subseção Judiciária de Janaúba</v>
      </c>
      <c r="C3" s="218"/>
      <c r="D3" s="218"/>
      <c r="E3" s="218"/>
      <c r="F3" s="219"/>
      <c r="I3" s="219"/>
      <c r="J3" s="220"/>
    </row>
    <row r="4" spans="1:10" ht="20.100000000000001" customHeight="1" thickBot="1" x14ac:dyDescent="0.3">
      <c r="A4" s="723" t="s">
        <v>446</v>
      </c>
      <c r="B4" s="723"/>
      <c r="C4" s="723"/>
      <c r="D4" s="723"/>
      <c r="E4" s="723"/>
      <c r="F4" s="723"/>
      <c r="G4" s="723"/>
      <c r="H4" s="723"/>
      <c r="I4" s="723"/>
      <c r="J4" s="723"/>
    </row>
    <row r="5" spans="1:10" ht="20.100000000000001" customHeight="1" x14ac:dyDescent="0.25">
      <c r="A5" s="724" t="s">
        <v>261</v>
      </c>
      <c r="B5" s="724"/>
      <c r="C5" s="724"/>
      <c r="D5" s="724"/>
      <c r="E5" s="724"/>
      <c r="F5" s="724"/>
      <c r="G5" s="724"/>
      <c r="H5" s="724"/>
      <c r="I5" s="724"/>
      <c r="J5" s="724"/>
    </row>
    <row r="6" spans="1:10" ht="36" customHeight="1" thickBot="1" x14ac:dyDescent="0.3">
      <c r="A6" s="725" t="str">
        <f>Dados!A4</f>
        <v>Sindicato utilizado - SETHAC. Vigência: 01/01/2023 à 31/12/2023. Sendo a data base da categoria 01º Janeiro. Com número de registro no MTE MG003959/2023.</v>
      </c>
      <c r="B6" s="725"/>
      <c r="C6" s="725"/>
      <c r="D6" s="725"/>
      <c r="E6" s="725"/>
      <c r="F6" s="725"/>
      <c r="G6" s="725"/>
      <c r="H6" s="725"/>
      <c r="I6" s="725"/>
      <c r="J6" s="725"/>
    </row>
    <row r="7" spans="1:10" ht="20.100000000000001" customHeight="1" thickBot="1" x14ac:dyDescent="0.3">
      <c r="A7" s="726" t="str">
        <f>Dados!C7</f>
        <v>Auxiliar Administrativo</v>
      </c>
      <c r="B7" s="726"/>
      <c r="C7" s="726"/>
      <c r="D7" s="726"/>
      <c r="E7" s="726"/>
      <c r="F7" s="727" t="s">
        <v>447</v>
      </c>
      <c r="G7" s="727" t="s">
        <v>448</v>
      </c>
      <c r="H7" s="727" t="s">
        <v>449</v>
      </c>
      <c r="I7" s="727" t="s">
        <v>450</v>
      </c>
      <c r="J7" s="727" t="s">
        <v>451</v>
      </c>
    </row>
    <row r="8" spans="1:10" ht="20.100000000000001" customHeight="1" thickBot="1" x14ac:dyDescent="0.3">
      <c r="A8" s="728" t="s">
        <v>452</v>
      </c>
      <c r="B8" s="728"/>
      <c r="C8" s="728"/>
      <c r="D8" s="728"/>
      <c r="E8" s="223" t="s">
        <v>348</v>
      </c>
      <c r="F8" s="727"/>
      <c r="G8" s="727"/>
      <c r="H8" s="727"/>
      <c r="I8" s="727"/>
      <c r="J8" s="727"/>
    </row>
    <row r="9" spans="1:10" ht="20.100000000000001" customHeight="1" x14ac:dyDescent="0.25">
      <c r="A9" s="712" t="s">
        <v>453</v>
      </c>
      <c r="B9" s="712"/>
      <c r="C9" s="712"/>
      <c r="D9" s="712"/>
      <c r="E9" s="712"/>
      <c r="F9" s="712"/>
      <c r="G9" s="712"/>
      <c r="H9" s="712"/>
      <c r="I9" s="712"/>
      <c r="J9" s="712"/>
    </row>
    <row r="10" spans="1:10" ht="24" customHeight="1" x14ac:dyDescent="0.25">
      <c r="A10" s="224" t="s">
        <v>349</v>
      </c>
      <c r="B10" s="713" t="s">
        <v>454</v>
      </c>
      <c r="C10" s="713"/>
      <c r="D10" s="225" t="s">
        <v>455</v>
      </c>
      <c r="E10" s="226" t="s">
        <v>456</v>
      </c>
      <c r="F10" s="714" t="s">
        <v>352</v>
      </c>
      <c r="G10" s="714"/>
      <c r="H10" s="714"/>
      <c r="I10" s="714"/>
      <c r="J10" s="714"/>
    </row>
    <row r="11" spans="1:10" ht="20.100000000000001" customHeight="1" x14ac:dyDescent="0.25">
      <c r="A11" s="715">
        <v>1</v>
      </c>
      <c r="B11" s="716" t="str">
        <f>A7</f>
        <v>Auxiliar Administrativo</v>
      </c>
      <c r="C11" s="716"/>
      <c r="D11" s="227">
        <f>Dados!D7</f>
        <v>150</v>
      </c>
      <c r="E11" s="228">
        <f>Dados!E7</f>
        <v>1949.29</v>
      </c>
      <c r="F11" s="229">
        <f>ROUND(E11/220*D11,2)</f>
        <v>1329.06</v>
      </c>
      <c r="G11" s="229">
        <f>F11</f>
        <v>1329.06</v>
      </c>
      <c r="H11" s="229"/>
      <c r="I11" s="229"/>
      <c r="J11" s="230"/>
    </row>
    <row r="12" spans="1:10" ht="20.100000000000001" customHeight="1" x14ac:dyDescent="0.25">
      <c r="A12" s="715"/>
      <c r="B12" s="716" t="s">
        <v>457</v>
      </c>
      <c r="C12" s="716"/>
      <c r="D12" s="277">
        <f>Dados!G7</f>
        <v>0</v>
      </c>
      <c r="E12" s="228">
        <f>Dados!$G$27</f>
        <v>1320</v>
      </c>
      <c r="F12" s="229">
        <f>D12*E12</f>
        <v>0</v>
      </c>
      <c r="G12" s="229">
        <f>F12</f>
        <v>0</v>
      </c>
      <c r="H12" s="229"/>
      <c r="I12" s="229"/>
      <c r="J12" s="230">
        <f>F12</f>
        <v>0</v>
      </c>
    </row>
    <row r="13" spans="1:10" ht="22.5" customHeight="1" x14ac:dyDescent="0.25">
      <c r="A13" s="715"/>
      <c r="B13" s="232" t="s">
        <v>458</v>
      </c>
      <c r="C13" s="233">
        <f>Dados!$I$7</f>
        <v>0</v>
      </c>
      <c r="D13" s="233">
        <f>Dados!$J$7</f>
        <v>0</v>
      </c>
      <c r="E13" s="234">
        <f>Dados!$K$7</f>
        <v>0</v>
      </c>
      <c r="F13" s="235">
        <f>ROUND((E13*D13*C13),2)</f>
        <v>0</v>
      </c>
      <c r="G13" s="235">
        <f>F13</f>
        <v>0</v>
      </c>
      <c r="H13" s="235"/>
      <c r="I13" s="235"/>
      <c r="J13" s="236"/>
    </row>
    <row r="14" spans="1:10" ht="20.100000000000001" customHeight="1" x14ac:dyDescent="0.25">
      <c r="A14" s="715"/>
      <c r="B14" s="717" t="s">
        <v>459</v>
      </c>
      <c r="C14" s="717"/>
      <c r="D14" s="717"/>
      <c r="E14" s="717"/>
      <c r="F14" s="237">
        <f>SUM(F11:F13)</f>
        <v>1329.06</v>
      </c>
      <c r="G14" s="237">
        <f>SUM(G11:G13)</f>
        <v>1329.06</v>
      </c>
      <c r="H14" s="237">
        <f>SUM(H11:H13)</f>
        <v>0</v>
      </c>
      <c r="I14" s="237">
        <f>SUM(I11:I13)</f>
        <v>0</v>
      </c>
      <c r="J14" s="238">
        <f>SUM(J11:J13)</f>
        <v>0</v>
      </c>
    </row>
    <row r="15" spans="1:10" ht="20.100000000000001" customHeight="1" thickBot="1" x14ac:dyDescent="0.3">
      <c r="A15" s="715"/>
      <c r="B15" s="718" t="s">
        <v>460</v>
      </c>
      <c r="C15" s="718"/>
      <c r="D15" s="718"/>
      <c r="E15" s="239">
        <f>Encargos!$C$57</f>
        <v>0.79049999999999998</v>
      </c>
      <c r="F15" s="229">
        <f>ROUND((E15*F14),2)</f>
        <v>1050.6199999999999</v>
      </c>
      <c r="G15" s="229">
        <f>F15</f>
        <v>1050.6199999999999</v>
      </c>
      <c r="H15" s="229"/>
      <c r="I15" s="229"/>
      <c r="J15" s="230">
        <f>ROUND((E15*J14),2)</f>
        <v>0</v>
      </c>
    </row>
    <row r="16" spans="1:10" ht="20.100000000000001" customHeight="1" thickBot="1" x14ac:dyDescent="0.3">
      <c r="A16" s="719" t="s">
        <v>461</v>
      </c>
      <c r="B16" s="719"/>
      <c r="C16" s="719"/>
      <c r="D16" s="719"/>
      <c r="E16" s="719"/>
      <c r="F16" s="240">
        <f>SUM(F14:F15)</f>
        <v>2379.6799999999998</v>
      </c>
      <c r="G16" s="240">
        <f>SUM(G14:G15)</f>
        <v>2379.6799999999998</v>
      </c>
      <c r="H16" s="240">
        <f>SUM(H14:H15)</f>
        <v>0</v>
      </c>
      <c r="I16" s="240">
        <f>SUM(I14:I15)</f>
        <v>0</v>
      </c>
      <c r="J16" s="241">
        <f>SUM(J14:J15)</f>
        <v>0</v>
      </c>
    </row>
    <row r="17" spans="1:12" ht="20.100000000000001" customHeight="1" x14ac:dyDescent="0.25">
      <c r="A17" s="720" t="s">
        <v>462</v>
      </c>
      <c r="B17" s="720"/>
      <c r="C17" s="720"/>
      <c r="D17" s="720"/>
      <c r="E17" s="720"/>
      <c r="F17" s="720"/>
      <c r="G17" s="720"/>
      <c r="H17" s="720"/>
      <c r="I17" s="720"/>
      <c r="J17" s="720"/>
    </row>
    <row r="18" spans="1:12" ht="20.100000000000001" customHeight="1" x14ac:dyDescent="0.25">
      <c r="A18" s="707" t="s">
        <v>463</v>
      </c>
      <c r="B18" s="707"/>
      <c r="C18" s="210" t="s">
        <v>351</v>
      </c>
      <c r="D18" s="721" t="s">
        <v>464</v>
      </c>
      <c r="E18" s="721"/>
      <c r="F18" s="722" t="s">
        <v>352</v>
      </c>
      <c r="G18" s="722"/>
      <c r="H18" s="722"/>
      <c r="I18" s="722"/>
      <c r="J18" s="722"/>
    </row>
    <row r="19" spans="1:12" ht="20.100000000000001" customHeight="1" x14ac:dyDescent="0.25">
      <c r="A19" s="702" t="s">
        <v>465</v>
      </c>
      <c r="B19" s="702"/>
      <c r="C19" s="243"/>
      <c r="D19" s="243"/>
      <c r="E19" s="243"/>
      <c r="F19" s="229">
        <f>Dados!N7</f>
        <v>37.72</v>
      </c>
      <c r="G19" s="229">
        <f>F19</f>
        <v>37.72</v>
      </c>
      <c r="H19" s="229"/>
      <c r="I19" s="229"/>
      <c r="J19" s="230"/>
    </row>
    <row r="20" spans="1:12" ht="20.100000000000001" customHeight="1" x14ac:dyDescent="0.25">
      <c r="A20" s="702" t="s">
        <v>466</v>
      </c>
      <c r="B20" s="702"/>
      <c r="C20" s="243"/>
      <c r="D20" s="243"/>
      <c r="E20" s="243"/>
      <c r="F20" s="229">
        <f>Dados!G30</f>
        <v>1.55</v>
      </c>
      <c r="G20" s="229">
        <f>F20</f>
        <v>1.55</v>
      </c>
      <c r="H20" s="229"/>
      <c r="I20" s="229"/>
      <c r="J20" s="230"/>
    </row>
    <row r="21" spans="1:12" ht="23.85" customHeight="1" x14ac:dyDescent="0.25">
      <c r="A21" s="709" t="s">
        <v>196</v>
      </c>
      <c r="B21" s="709"/>
      <c r="C21" s="243"/>
      <c r="D21" s="243"/>
      <c r="E21" s="243"/>
      <c r="F21" s="229">
        <f>Dados!G31</f>
        <v>43.66</v>
      </c>
      <c r="G21" s="229">
        <f>F21</f>
        <v>43.66</v>
      </c>
      <c r="H21" s="229"/>
      <c r="I21" s="229"/>
      <c r="J21" s="230"/>
    </row>
    <row r="22" spans="1:12" ht="20.100000000000001" customHeight="1" x14ac:dyDescent="0.25">
      <c r="A22" s="702" t="s">
        <v>197</v>
      </c>
      <c r="B22" s="702"/>
      <c r="C22" s="244">
        <f>Dados!$G$34</f>
        <v>22</v>
      </c>
      <c r="D22" s="244">
        <f>Dados!$G$33</f>
        <v>2</v>
      </c>
      <c r="E22" s="245">
        <f>Dados!$G$32</f>
        <v>3.75</v>
      </c>
      <c r="F22" s="229">
        <f>IF(ROUND((E22*D22*C22)-(F11*Dados!G35),2)&lt;0,0,ROUND((E22*D22*C22)-(F11*Dados!G35),2))</f>
        <v>85.26</v>
      </c>
      <c r="G22" s="229">
        <f>F22</f>
        <v>85.26</v>
      </c>
      <c r="H22" s="229"/>
      <c r="I22" s="229">
        <f>F22</f>
        <v>85.26</v>
      </c>
      <c r="J22" s="230"/>
    </row>
    <row r="23" spans="1:12" ht="20.100000000000001" customHeight="1" x14ac:dyDescent="0.25">
      <c r="A23" s="702" t="s">
        <v>206</v>
      </c>
      <c r="B23" s="702"/>
      <c r="C23" s="244">
        <f>Dados!G37</f>
        <v>22</v>
      </c>
      <c r="D23" s="246">
        <f>Dados!G38</f>
        <v>0.2</v>
      </c>
      <c r="E23" s="245">
        <f>Dados!G36</f>
        <v>26.14</v>
      </c>
      <c r="F23" s="247">
        <f>ROUND((IF(D11&gt;150,((C23*E23)-(C23*(D23*E23))),0)),2)</f>
        <v>0</v>
      </c>
      <c r="G23" s="229">
        <f>F23</f>
        <v>0</v>
      </c>
      <c r="H23" s="229">
        <f>$F$23</f>
        <v>0</v>
      </c>
      <c r="I23" s="247"/>
      <c r="J23" s="230"/>
    </row>
    <row r="24" spans="1:12" ht="20.100000000000001" customHeight="1" x14ac:dyDescent="0.25">
      <c r="A24" s="702" t="s">
        <v>209</v>
      </c>
      <c r="B24" s="702"/>
      <c r="C24" s="244"/>
      <c r="D24" s="244"/>
      <c r="E24" s="245"/>
      <c r="F24" s="247">
        <f>Dados!G39</f>
        <v>0</v>
      </c>
      <c r="G24" s="229"/>
      <c r="H24" s="229"/>
      <c r="I24" s="247"/>
      <c r="J24" s="230"/>
    </row>
    <row r="25" spans="1:12" ht="20.100000000000001" customHeight="1" x14ac:dyDescent="0.25">
      <c r="A25" s="702" t="s">
        <v>209</v>
      </c>
      <c r="B25" s="702"/>
      <c r="C25" s="244"/>
      <c r="D25" s="244"/>
      <c r="E25" s="245"/>
      <c r="F25" s="247">
        <f>Dados!G40</f>
        <v>0</v>
      </c>
      <c r="G25" s="229"/>
      <c r="H25" s="229"/>
      <c r="I25" s="247"/>
      <c r="J25" s="230"/>
    </row>
    <row r="26" spans="1:12" ht="20.100000000000001" customHeight="1" x14ac:dyDescent="0.25">
      <c r="A26" s="702" t="s">
        <v>467</v>
      </c>
      <c r="B26" s="702"/>
      <c r="C26" s="244"/>
      <c r="D26" s="245"/>
      <c r="E26" s="245"/>
      <c r="F26" s="229"/>
      <c r="G26" s="229"/>
      <c r="H26" s="229"/>
      <c r="I26" s="229"/>
      <c r="J26" s="230"/>
      <c r="L26" s="248"/>
    </row>
    <row r="27" spans="1:12" ht="20.100000000000001" customHeight="1" x14ac:dyDescent="0.25">
      <c r="A27" s="242" t="s">
        <v>482</v>
      </c>
      <c r="B27" s="249"/>
      <c r="C27" s="244"/>
      <c r="D27" s="245"/>
      <c r="E27" s="245"/>
      <c r="F27" s="229"/>
      <c r="G27" s="229"/>
      <c r="H27" s="229"/>
      <c r="I27" s="229"/>
      <c r="J27" s="230"/>
    </row>
    <row r="28" spans="1:12" ht="20.100000000000001" customHeight="1" thickBot="1" x14ac:dyDescent="0.3">
      <c r="A28" s="710" t="s">
        <v>469</v>
      </c>
      <c r="B28" s="710"/>
      <c r="C28" s="250"/>
      <c r="D28" s="251"/>
      <c r="E28" s="251"/>
      <c r="F28" s="235">
        <f>Dados!P7</f>
        <v>0</v>
      </c>
      <c r="G28" s="235">
        <f>F28</f>
        <v>0</v>
      </c>
      <c r="H28" s="235"/>
      <c r="I28" s="235"/>
      <c r="J28" s="236"/>
    </row>
    <row r="29" spans="1:12" ht="20.100000000000001" customHeight="1" thickBot="1" x14ac:dyDescent="0.3">
      <c r="A29" s="711" t="s">
        <v>470</v>
      </c>
      <c r="B29" s="711"/>
      <c r="C29" s="711"/>
      <c r="D29" s="711"/>
      <c r="E29" s="711"/>
      <c r="F29" s="240">
        <f>SUM(F19:F28)</f>
        <v>168.19</v>
      </c>
      <c r="G29" s="240">
        <f>SUM(G19:G28)</f>
        <v>168.19</v>
      </c>
      <c r="H29" s="240">
        <f>SUM(H19:H28)</f>
        <v>0</v>
      </c>
      <c r="I29" s="240">
        <f>SUM(I19:I28)</f>
        <v>85.26</v>
      </c>
      <c r="J29" s="241">
        <f>SUM(J19:J28)</f>
        <v>0</v>
      </c>
    </row>
    <row r="30" spans="1:12" ht="20.100000000000001" customHeight="1" thickBot="1" x14ac:dyDescent="0.3">
      <c r="A30" s="711" t="s">
        <v>471</v>
      </c>
      <c r="B30" s="711"/>
      <c r="C30" s="711"/>
      <c r="D30" s="711"/>
      <c r="E30" s="711"/>
      <c r="F30" s="240">
        <f>F16+F29</f>
        <v>2547.87</v>
      </c>
      <c r="G30" s="240">
        <f>G16+G29</f>
        <v>2547.87</v>
      </c>
      <c r="H30" s="240">
        <f>H16+H29</f>
        <v>0</v>
      </c>
      <c r="I30" s="240">
        <f>I16+I29</f>
        <v>85.26</v>
      </c>
      <c r="J30" s="241">
        <f>J16+J29</f>
        <v>0</v>
      </c>
    </row>
    <row r="31" spans="1:12" ht="20.100000000000001" customHeight="1" x14ac:dyDescent="0.25">
      <c r="A31" s="712" t="s">
        <v>472</v>
      </c>
      <c r="B31" s="712"/>
      <c r="C31" s="712"/>
      <c r="D31" s="712"/>
      <c r="E31" s="712"/>
      <c r="F31" s="712"/>
      <c r="G31" s="712"/>
      <c r="H31" s="712"/>
      <c r="I31" s="712"/>
      <c r="J31" s="712"/>
    </row>
    <row r="32" spans="1:12" ht="20.100000000000001" customHeight="1" x14ac:dyDescent="0.25">
      <c r="A32" s="707" t="s">
        <v>473</v>
      </c>
      <c r="B32" s="707"/>
      <c r="C32" s="707"/>
      <c r="D32" s="252" t="s">
        <v>375</v>
      </c>
      <c r="E32" s="708" t="s">
        <v>352</v>
      </c>
      <c r="F32" s="708"/>
      <c r="G32" s="708"/>
      <c r="H32" s="708"/>
      <c r="I32" s="708"/>
      <c r="J32" s="708"/>
    </row>
    <row r="33" spans="1:12" ht="20.100000000000001" customHeight="1" x14ac:dyDescent="0.25">
      <c r="A33" s="253" t="s">
        <v>474</v>
      </c>
      <c r="B33" s="254"/>
      <c r="C33" s="254"/>
      <c r="D33" s="255">
        <f>Dados!$G$43</f>
        <v>0.03</v>
      </c>
      <c r="E33" s="256"/>
      <c r="F33" s="229">
        <f>ROUND((F30*$D$33),2)</f>
        <v>76.44</v>
      </c>
      <c r="G33" s="229">
        <f>ROUND((G30*$D$33),2)</f>
        <v>76.44</v>
      </c>
      <c r="H33" s="229">
        <f>ROUND((H30*$D$33),2)</f>
        <v>0</v>
      </c>
      <c r="I33" s="229">
        <f>ROUND((I30*$D$33),2)</f>
        <v>2.56</v>
      </c>
      <c r="J33" s="230">
        <f>ROUND((J30*$D$33),2)</f>
        <v>0</v>
      </c>
    </row>
    <row r="34" spans="1:12" ht="20.100000000000001" customHeight="1" x14ac:dyDescent="0.25">
      <c r="A34" s="699" t="s">
        <v>475</v>
      </c>
      <c r="B34" s="699"/>
      <c r="C34" s="699"/>
      <c r="D34" s="255"/>
      <c r="E34" s="256"/>
      <c r="F34" s="229">
        <f>F30+F33</f>
        <v>2624.31</v>
      </c>
      <c r="G34" s="229">
        <f>G30+G33</f>
        <v>2624.31</v>
      </c>
      <c r="H34" s="229">
        <f>H30+H33</f>
        <v>0</v>
      </c>
      <c r="I34" s="229">
        <f>I30+I33</f>
        <v>87.820000000000007</v>
      </c>
      <c r="J34" s="230">
        <f>J30+J33</f>
        <v>0</v>
      </c>
    </row>
    <row r="35" spans="1:12" ht="20.100000000000001" customHeight="1" thickBot="1" x14ac:dyDescent="0.3">
      <c r="A35" s="257" t="s">
        <v>214</v>
      </c>
      <c r="B35" s="258"/>
      <c r="C35" s="258"/>
      <c r="D35" s="259">
        <f>Dados!$G$44</f>
        <v>6.7900000000000002E-2</v>
      </c>
      <c r="E35" s="260"/>
      <c r="F35" s="235">
        <f>ROUND((F34*$D$35),2)</f>
        <v>178.19</v>
      </c>
      <c r="G35" s="235">
        <f>ROUND((G34*$D$35),2)</f>
        <v>178.19</v>
      </c>
      <c r="H35" s="235">
        <f>ROUND((H34*$D$35),2)</f>
        <v>0</v>
      </c>
      <c r="I35" s="235">
        <f>ROUND((I34*$D$35),2)</f>
        <v>5.96</v>
      </c>
      <c r="J35" s="236">
        <f>ROUND((J34*$D$35),2)</f>
        <v>0</v>
      </c>
    </row>
    <row r="36" spans="1:12" ht="20.100000000000001" customHeight="1" thickBot="1" x14ac:dyDescent="0.3">
      <c r="A36" s="261" t="s">
        <v>476</v>
      </c>
      <c r="B36" s="262"/>
      <c r="C36" s="262"/>
      <c r="D36" s="263">
        <f>SUM(D33:D35)</f>
        <v>9.7900000000000001E-2</v>
      </c>
      <c r="E36" s="264"/>
      <c r="F36" s="240">
        <f>F33+F35</f>
        <v>254.63</v>
      </c>
      <c r="G36" s="240">
        <f>G33+G35</f>
        <v>254.63</v>
      </c>
      <c r="H36" s="240">
        <f>H33+H35</f>
        <v>0</v>
      </c>
      <c r="I36" s="240">
        <f>I33+I35</f>
        <v>8.52</v>
      </c>
      <c r="J36" s="241">
        <f>J33+J35</f>
        <v>0</v>
      </c>
    </row>
    <row r="37" spans="1:12" ht="20.100000000000001" customHeight="1" thickBot="1" x14ac:dyDescent="0.3">
      <c r="A37" s="700" t="s">
        <v>477</v>
      </c>
      <c r="B37" s="700"/>
      <c r="C37" s="700"/>
      <c r="D37" s="700"/>
      <c r="E37" s="700"/>
      <c r="F37" s="265">
        <f>F30+F36</f>
        <v>2802.5</v>
      </c>
      <c r="G37" s="265">
        <f>G30+G36</f>
        <v>2802.5</v>
      </c>
      <c r="H37" s="265">
        <f>H30+H36</f>
        <v>0</v>
      </c>
      <c r="I37" s="265">
        <f>I30+I36</f>
        <v>93.78</v>
      </c>
      <c r="J37" s="266">
        <f>J30+J36</f>
        <v>0</v>
      </c>
    </row>
    <row r="38" spans="1:12" ht="20.100000000000001" customHeight="1" x14ac:dyDescent="0.25">
      <c r="A38" s="701" t="s">
        <v>478</v>
      </c>
      <c r="B38" s="701"/>
      <c r="C38" s="701"/>
      <c r="D38" s="701"/>
      <c r="E38" s="701"/>
      <c r="F38" s="701"/>
      <c r="G38" s="701"/>
      <c r="H38" s="701"/>
      <c r="I38" s="701"/>
      <c r="J38" s="701"/>
    </row>
    <row r="39" spans="1:12" ht="20.100000000000001" customHeight="1" x14ac:dyDescent="0.25">
      <c r="A39" s="702" t="s">
        <v>220</v>
      </c>
      <c r="B39" s="702"/>
      <c r="C39" s="702"/>
      <c r="D39" s="255">
        <f>Dados!G51</f>
        <v>7.5999999999999998E-2</v>
      </c>
      <c r="E39" s="267"/>
      <c r="F39" s="229">
        <f>ROUND(($F$45*D39),2)</f>
        <v>245.52</v>
      </c>
      <c r="G39" s="229">
        <f>ROUND((G45*$D$39),2)</f>
        <v>245.52</v>
      </c>
      <c r="H39" s="229">
        <f>ROUND((H45*$D$39),2)</f>
        <v>0</v>
      </c>
      <c r="I39" s="229">
        <f>ROUND((I45*$D$39),2)</f>
        <v>8.2200000000000006</v>
      </c>
      <c r="J39" s="230">
        <f>ROUND((J45*$D$39),2)</f>
        <v>0</v>
      </c>
    </row>
    <row r="40" spans="1:12" ht="20.100000000000001" customHeight="1" x14ac:dyDescent="0.25">
      <c r="A40" s="702" t="s">
        <v>222</v>
      </c>
      <c r="B40" s="702"/>
      <c r="C40" s="702"/>
      <c r="D40" s="255">
        <f>Dados!G52</f>
        <v>1.6500000000000001E-2</v>
      </c>
      <c r="E40" s="267"/>
      <c r="F40" s="229">
        <f>ROUND((F45*$D$40),2)</f>
        <v>53.3</v>
      </c>
      <c r="G40" s="229">
        <f>ROUND((G45*$D$40),2)</f>
        <v>53.3</v>
      </c>
      <c r="H40" s="229">
        <f>ROUND((H45*$D$40),2)</f>
        <v>0</v>
      </c>
      <c r="I40" s="229">
        <f>ROUND((I45*$D$40),2)</f>
        <v>1.78</v>
      </c>
      <c r="J40" s="230">
        <f>ROUND((J45*$D$40),2)</f>
        <v>0</v>
      </c>
    </row>
    <row r="41" spans="1:12" ht="20.100000000000001" customHeight="1" x14ac:dyDescent="0.25">
      <c r="A41" s="702" t="s">
        <v>223</v>
      </c>
      <c r="B41" s="702"/>
      <c r="C41" s="702"/>
      <c r="D41" s="255">
        <f>Dados!G53</f>
        <v>0.04</v>
      </c>
      <c r="E41" s="267"/>
      <c r="F41" s="229">
        <f>ROUND((F45*$D$41),2)</f>
        <v>129.22</v>
      </c>
      <c r="G41" s="229">
        <f>ROUND((G45*$D$41),2)</f>
        <v>129.22</v>
      </c>
      <c r="H41" s="229">
        <f>ROUND((H45*$D$41),2)</f>
        <v>0</v>
      </c>
      <c r="I41" s="229">
        <f>ROUND((I45*$D$41),2)</f>
        <v>4.32</v>
      </c>
      <c r="J41" s="230">
        <f>ROUND((J45*$D$41),2)</f>
        <v>0</v>
      </c>
    </row>
    <row r="42" spans="1:12" ht="20.100000000000001" customHeight="1" x14ac:dyDescent="0.25">
      <c r="A42" s="702" t="s">
        <v>209</v>
      </c>
      <c r="B42" s="702"/>
      <c r="C42" s="702"/>
      <c r="D42" s="255">
        <f>Dados!G54</f>
        <v>0</v>
      </c>
      <c r="E42" s="267"/>
      <c r="F42" s="229">
        <f>ROUND((F45*$D$42),2)</f>
        <v>0</v>
      </c>
      <c r="G42" s="229">
        <f>ROUND((G45*$D$42),2)</f>
        <v>0</v>
      </c>
      <c r="H42" s="229">
        <f>ROUND((H45*$D$42),2)</f>
        <v>0</v>
      </c>
      <c r="I42" s="229">
        <f>ROUND((I45*$D$42),2)</f>
        <v>0</v>
      </c>
      <c r="J42" s="230">
        <f>ROUND((J45*$D$42),2)</f>
        <v>0</v>
      </c>
    </row>
    <row r="43" spans="1:12" ht="20.100000000000001" customHeight="1" x14ac:dyDescent="0.25">
      <c r="A43" s="703" t="s">
        <v>479</v>
      </c>
      <c r="B43" s="703"/>
      <c r="C43" s="703"/>
      <c r="D43" s="268">
        <f>SUM(D39:D42)</f>
        <v>0.13250000000000001</v>
      </c>
      <c r="E43" s="269"/>
      <c r="F43" s="270">
        <f>SUM(F39:F42)</f>
        <v>428.03999999999996</v>
      </c>
      <c r="G43" s="270">
        <f>SUM(G39:G42)</f>
        <v>428.03999999999996</v>
      </c>
      <c r="H43" s="270">
        <f>SUM(H39:H42)</f>
        <v>0</v>
      </c>
      <c r="I43" s="270">
        <f>SUM(I39:I42)</f>
        <v>14.32</v>
      </c>
      <c r="J43" s="271">
        <f>SUM(J39:J41)</f>
        <v>0</v>
      </c>
    </row>
    <row r="44" spans="1:12" ht="20.100000000000001" customHeight="1" x14ac:dyDescent="0.25">
      <c r="A44" s="704" t="str">
        <f>CONCATENATE("Custo Mensal - ",A7)</f>
        <v>Custo Mensal - Auxiliar Administrativo</v>
      </c>
      <c r="B44" s="704"/>
      <c r="C44" s="704"/>
      <c r="D44" s="704"/>
      <c r="E44" s="704"/>
      <c r="F44" s="272">
        <f>ROUND(F37/(1-D43),2)</f>
        <v>3230.55</v>
      </c>
      <c r="G44" s="272">
        <f>ROUND(G37/(1-D43),2)</f>
        <v>3230.55</v>
      </c>
      <c r="H44" s="272">
        <f>ROUND(H37/(1-C43),2)</f>
        <v>0</v>
      </c>
      <c r="I44" s="272">
        <f>ROUND(I37/(1-D43),2)</f>
        <v>108.1</v>
      </c>
      <c r="J44" s="273">
        <f>ROUND(J37/(1-D43),2)</f>
        <v>0</v>
      </c>
    </row>
    <row r="45" spans="1:12" ht="20.100000000000001" customHeight="1" x14ac:dyDescent="0.25">
      <c r="A45" s="705" t="str">
        <f>CONCATENATE("Valor do Custo Mensal - ",A7)</f>
        <v>Valor do Custo Mensal - Auxiliar Administrativo</v>
      </c>
      <c r="B45" s="705"/>
      <c r="C45" s="705"/>
      <c r="D45" s="705"/>
      <c r="E45" s="705"/>
      <c r="F45" s="272">
        <f>F44</f>
        <v>3230.55</v>
      </c>
      <c r="G45" s="272">
        <f>G44</f>
        <v>3230.55</v>
      </c>
      <c r="H45" s="272">
        <f>H44</f>
        <v>0</v>
      </c>
      <c r="I45" s="272">
        <f>I44</f>
        <v>108.1</v>
      </c>
      <c r="J45" s="273">
        <f>J44</f>
        <v>0</v>
      </c>
      <c r="K45" s="274"/>
      <c r="L45" s="274"/>
    </row>
    <row r="46" spans="1:12" ht="27.75" customHeight="1" thickBot="1" x14ac:dyDescent="0.3">
      <c r="A46" s="706" t="s">
        <v>480</v>
      </c>
      <c r="B46" s="706"/>
      <c r="C46" s="706"/>
      <c r="D46" s="706"/>
      <c r="E46" s="706"/>
      <c r="F46" s="275">
        <f>(F45/F14)</f>
        <v>2.4307029028034854</v>
      </c>
      <c r="G46" s="275">
        <f>(G45/G14)</f>
        <v>2.4307029028034854</v>
      </c>
      <c r="H46" s="698" t="s">
        <v>481</v>
      </c>
      <c r="I46" s="698"/>
      <c r="J46" s="276">
        <v>0</v>
      </c>
    </row>
    <row r="47" spans="1:12" ht="20.100000000000001" customHeight="1" x14ac:dyDescent="0.25"/>
  </sheetData>
  <sheetProtection password="C494" sheet="1" objects="1" scenarios="1"/>
  <mergeCells count="49">
    <mergeCell ref="A4:J4"/>
    <mergeCell ref="A5:J5"/>
    <mergeCell ref="A6:J6"/>
    <mergeCell ref="A7:E7"/>
    <mergeCell ref="F7:F8"/>
    <mergeCell ref="G7:G8"/>
    <mergeCell ref="H7:H8"/>
    <mergeCell ref="I7:I8"/>
    <mergeCell ref="J7:J8"/>
    <mergeCell ref="A8:D8"/>
    <mergeCell ref="A19:B19"/>
    <mergeCell ref="A9:J9"/>
    <mergeCell ref="B10:C10"/>
    <mergeCell ref="F10:J10"/>
    <mergeCell ref="A11:A15"/>
    <mergeCell ref="B11:C11"/>
    <mergeCell ref="B12:C12"/>
    <mergeCell ref="B14:E14"/>
    <mergeCell ref="B15:D15"/>
    <mergeCell ref="A16:E16"/>
    <mergeCell ref="A17:J17"/>
    <mergeCell ref="A18:B18"/>
    <mergeCell ref="D18:E18"/>
    <mergeCell ref="F18:J18"/>
    <mergeCell ref="A32:C32"/>
    <mergeCell ref="E32:J32"/>
    <mergeCell ref="A20:B20"/>
    <mergeCell ref="A21:B21"/>
    <mergeCell ref="A22:B22"/>
    <mergeCell ref="A23:B23"/>
    <mergeCell ref="A24:B24"/>
    <mergeCell ref="A25:B25"/>
    <mergeCell ref="A26:B26"/>
    <mergeCell ref="A28:B28"/>
    <mergeCell ref="A29:E29"/>
    <mergeCell ref="A30:E30"/>
    <mergeCell ref="A31:J31"/>
    <mergeCell ref="H46:I46"/>
    <mergeCell ref="A34:C34"/>
    <mergeCell ref="A37:E37"/>
    <mergeCell ref="A38:J38"/>
    <mergeCell ref="A39:C39"/>
    <mergeCell ref="A40:C40"/>
    <mergeCell ref="A41:C41"/>
    <mergeCell ref="A42:C42"/>
    <mergeCell ref="A43:C43"/>
    <mergeCell ref="A44:E44"/>
    <mergeCell ref="A45:E45"/>
    <mergeCell ref="A46:E46"/>
  </mergeCells>
  <pageMargins left="0.51180555555555496" right="0.51180555555555496" top="0.78749999999999998" bottom="0.78749999999999998" header="0.51180555555555496" footer="0.51180555555555496"/>
  <pageSetup paperSize="9" scale="67"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9D9D9"/>
  </sheetPr>
  <dimension ref="A1:AMJ47"/>
  <sheetViews>
    <sheetView showGridLines="0" zoomScaleNormal="100" workbookViewId="0">
      <selection activeCell="F14" sqref="F14"/>
    </sheetView>
  </sheetViews>
  <sheetFormatPr defaultColWidth="9.140625" defaultRowHeight="15" x14ac:dyDescent="0.25"/>
  <cols>
    <col min="1" max="1" width="10.5703125" style="80" customWidth="1"/>
    <col min="2" max="2" width="27.7109375" style="80" customWidth="1"/>
    <col min="3" max="3" width="14.42578125" style="80" customWidth="1"/>
    <col min="4" max="5" width="15" style="80" customWidth="1"/>
    <col min="6" max="6" width="16.7109375" style="211" customWidth="1"/>
    <col min="7" max="8" width="13.140625" style="211" customWidth="1"/>
    <col min="9" max="10" width="12.5703125" style="211" customWidth="1"/>
    <col min="11" max="257" width="9.140625" style="80"/>
    <col min="258" max="258" width="10.5703125" style="80" customWidth="1"/>
    <col min="259" max="259" width="27.7109375" style="80" customWidth="1"/>
    <col min="260" max="260" width="14.42578125" style="80" customWidth="1"/>
    <col min="261" max="262" width="15" style="80" customWidth="1"/>
    <col min="263" max="263" width="16.7109375" style="80" customWidth="1"/>
    <col min="264" max="264" width="13.140625" style="80" customWidth="1"/>
    <col min="265" max="266" width="12.5703125" style="80" customWidth="1"/>
    <col min="267" max="513" width="9.140625" style="80"/>
    <col min="514" max="514" width="10.5703125" style="80" customWidth="1"/>
    <col min="515" max="515" width="27.7109375" style="80" customWidth="1"/>
    <col min="516" max="516" width="14.42578125" style="80" customWidth="1"/>
    <col min="517" max="518" width="15" style="80" customWidth="1"/>
    <col min="519" max="519" width="16.7109375" style="80" customWidth="1"/>
    <col min="520" max="520" width="13.140625" style="80" customWidth="1"/>
    <col min="521" max="522" width="12.5703125" style="80" customWidth="1"/>
    <col min="523" max="769" width="9.140625" style="80"/>
    <col min="770" max="770" width="10.5703125" style="80" customWidth="1"/>
    <col min="771" max="771" width="27.7109375" style="80" customWidth="1"/>
    <col min="772" max="772" width="14.42578125" style="80" customWidth="1"/>
    <col min="773" max="774" width="15" style="80" customWidth="1"/>
    <col min="775" max="775" width="16.7109375" style="80" customWidth="1"/>
    <col min="776" max="776" width="13.140625" style="80" customWidth="1"/>
    <col min="777" max="778" width="12.5703125" style="80" customWidth="1"/>
    <col min="779" max="1024" width="9.140625" style="80"/>
  </cols>
  <sheetData>
    <row r="1" spans="1:10" x14ac:dyDescent="0.25">
      <c r="A1" s="212"/>
      <c r="B1" s="77" t="str">
        <f>INSTRUÇÕES!B1</f>
        <v>Tribunal Regional Federal da 6ª Região</v>
      </c>
      <c r="C1" s="213"/>
      <c r="D1" s="213"/>
      <c r="E1" s="213"/>
      <c r="F1" s="214"/>
      <c r="G1" s="215"/>
      <c r="H1" s="215"/>
      <c r="I1" s="214"/>
      <c r="J1" s="216"/>
    </row>
    <row r="2" spans="1:10" x14ac:dyDescent="0.25">
      <c r="A2" s="217"/>
      <c r="B2" s="79" t="str">
        <f>INSTRUÇÕES!B2</f>
        <v>Seção Judiciária de Minas Gerais</v>
      </c>
      <c r="C2" s="218"/>
      <c r="D2" s="218"/>
      <c r="E2" s="218"/>
      <c r="F2" s="219"/>
      <c r="I2" s="219"/>
      <c r="J2" s="220"/>
    </row>
    <row r="3" spans="1:10" ht="15.75" thickBot="1" x14ac:dyDescent="0.3">
      <c r="A3" s="221"/>
      <c r="B3" s="222" t="str">
        <f>INSTRUÇÕES!B3</f>
        <v>Subseção Judiciária de Janaúba</v>
      </c>
      <c r="C3" s="218"/>
      <c r="D3" s="218"/>
      <c r="E3" s="218"/>
      <c r="F3" s="219"/>
      <c r="I3" s="219"/>
      <c r="J3" s="220"/>
    </row>
    <row r="4" spans="1:10" ht="20.100000000000001" customHeight="1" thickBot="1" x14ac:dyDescent="0.3">
      <c r="A4" s="723" t="s">
        <v>446</v>
      </c>
      <c r="B4" s="723"/>
      <c r="C4" s="723"/>
      <c r="D4" s="723"/>
      <c r="E4" s="723"/>
      <c r="F4" s="723"/>
      <c r="G4" s="723"/>
      <c r="H4" s="723"/>
      <c r="I4" s="723"/>
      <c r="J4" s="723"/>
    </row>
    <row r="5" spans="1:10" ht="20.100000000000001" customHeight="1" x14ac:dyDescent="0.25">
      <c r="A5" s="724" t="s">
        <v>261</v>
      </c>
      <c r="B5" s="724"/>
      <c r="C5" s="724"/>
      <c r="D5" s="724"/>
      <c r="E5" s="724"/>
      <c r="F5" s="724"/>
      <c r="G5" s="724"/>
      <c r="H5" s="724"/>
      <c r="I5" s="724"/>
      <c r="J5" s="724"/>
    </row>
    <row r="6" spans="1:10" ht="36" customHeight="1" thickBot="1" x14ac:dyDescent="0.3">
      <c r="A6" s="725" t="str">
        <f>Dados!A4</f>
        <v>Sindicato utilizado - SETHAC. Vigência: 01/01/2023 à 31/12/2023. Sendo a data base da categoria 01º Janeiro. Com número de registro no MTE MG003959/2023.</v>
      </c>
      <c r="B6" s="725"/>
      <c r="C6" s="725"/>
      <c r="D6" s="725"/>
      <c r="E6" s="725"/>
      <c r="F6" s="725"/>
      <c r="G6" s="725"/>
      <c r="H6" s="725"/>
      <c r="I6" s="725"/>
      <c r="J6" s="725"/>
    </row>
    <row r="7" spans="1:10" ht="20.100000000000001" customHeight="1" thickBot="1" x14ac:dyDescent="0.3">
      <c r="A7" s="726" t="str">
        <f>Dados!C8</f>
        <v>Zelador</v>
      </c>
      <c r="B7" s="726"/>
      <c r="C7" s="726"/>
      <c r="D7" s="726"/>
      <c r="E7" s="726"/>
      <c r="F7" s="727" t="s">
        <v>447</v>
      </c>
      <c r="G7" s="727" t="s">
        <v>448</v>
      </c>
      <c r="H7" s="727" t="s">
        <v>449</v>
      </c>
      <c r="I7" s="727" t="s">
        <v>450</v>
      </c>
      <c r="J7" s="727" t="s">
        <v>451</v>
      </c>
    </row>
    <row r="8" spans="1:10" ht="20.100000000000001" customHeight="1" thickBot="1" x14ac:dyDescent="0.3">
      <c r="A8" s="728" t="s">
        <v>452</v>
      </c>
      <c r="B8" s="728"/>
      <c r="C8" s="728"/>
      <c r="D8" s="728"/>
      <c r="E8" s="223" t="s">
        <v>348</v>
      </c>
      <c r="F8" s="727"/>
      <c r="G8" s="727"/>
      <c r="H8" s="727"/>
      <c r="I8" s="727"/>
      <c r="J8" s="727"/>
    </row>
    <row r="9" spans="1:10" ht="20.100000000000001" customHeight="1" x14ac:dyDescent="0.25">
      <c r="A9" s="712" t="s">
        <v>453</v>
      </c>
      <c r="B9" s="712"/>
      <c r="C9" s="712"/>
      <c r="D9" s="712"/>
      <c r="E9" s="712"/>
      <c r="F9" s="712"/>
      <c r="G9" s="712"/>
      <c r="H9" s="712"/>
      <c r="I9" s="712"/>
      <c r="J9" s="712"/>
    </row>
    <row r="10" spans="1:10" ht="24" customHeight="1" x14ac:dyDescent="0.25">
      <c r="A10" s="224" t="s">
        <v>349</v>
      </c>
      <c r="B10" s="713" t="s">
        <v>454</v>
      </c>
      <c r="C10" s="713"/>
      <c r="D10" s="225" t="s">
        <v>455</v>
      </c>
      <c r="E10" s="226" t="s">
        <v>456</v>
      </c>
      <c r="F10" s="714" t="s">
        <v>352</v>
      </c>
      <c r="G10" s="714"/>
      <c r="H10" s="714"/>
      <c r="I10" s="714"/>
      <c r="J10" s="714"/>
    </row>
    <row r="11" spans="1:10" ht="20.100000000000001" customHeight="1" x14ac:dyDescent="0.25">
      <c r="A11" s="715">
        <v>1</v>
      </c>
      <c r="B11" s="716" t="str">
        <f>A7</f>
        <v>Zelador</v>
      </c>
      <c r="C11" s="716"/>
      <c r="D11" s="227">
        <f>Dados!D8</f>
        <v>150</v>
      </c>
      <c r="E11" s="228">
        <f>Dados!E8</f>
        <v>1978.93</v>
      </c>
      <c r="F11" s="229">
        <f>ROUND(E11/220*D11,2)</f>
        <v>1349.27</v>
      </c>
      <c r="G11" s="229">
        <f>F11</f>
        <v>1349.27</v>
      </c>
      <c r="H11" s="229"/>
      <c r="I11" s="229"/>
      <c r="J11" s="230"/>
    </row>
    <row r="12" spans="1:10" ht="20.100000000000001" customHeight="1" x14ac:dyDescent="0.25">
      <c r="A12" s="715"/>
      <c r="B12" s="716" t="s">
        <v>457</v>
      </c>
      <c r="C12" s="716"/>
      <c r="D12" s="277">
        <f>Dados!G8</f>
        <v>0</v>
      </c>
      <c r="E12" s="228">
        <f>Dados!$G$27</f>
        <v>1320</v>
      </c>
      <c r="F12" s="229">
        <f>D12*E12</f>
        <v>0</v>
      </c>
      <c r="G12" s="229">
        <f>F12</f>
        <v>0</v>
      </c>
      <c r="H12" s="229"/>
      <c r="I12" s="229"/>
      <c r="J12" s="230">
        <f>F12</f>
        <v>0</v>
      </c>
    </row>
    <row r="13" spans="1:10" ht="22.5" customHeight="1" x14ac:dyDescent="0.25">
      <c r="A13" s="715"/>
      <c r="B13" s="232" t="s">
        <v>458</v>
      </c>
      <c r="C13" s="233">
        <f>Dados!I8</f>
        <v>0</v>
      </c>
      <c r="D13" s="233">
        <f>Dados!J8</f>
        <v>0</v>
      </c>
      <c r="E13" s="234">
        <f>Dados!K8</f>
        <v>0</v>
      </c>
      <c r="F13" s="235">
        <f>ROUND((E13*D13*C13),2)</f>
        <v>0</v>
      </c>
      <c r="G13" s="235">
        <f>F13</f>
        <v>0</v>
      </c>
      <c r="H13" s="235"/>
      <c r="I13" s="235"/>
      <c r="J13" s="236"/>
    </row>
    <row r="14" spans="1:10" ht="20.100000000000001" customHeight="1" x14ac:dyDescent="0.25">
      <c r="A14" s="715"/>
      <c r="B14" s="717" t="s">
        <v>459</v>
      </c>
      <c r="C14" s="717"/>
      <c r="D14" s="717"/>
      <c r="E14" s="717"/>
      <c r="F14" s="237">
        <f>SUM(F11:F13)</f>
        <v>1349.27</v>
      </c>
      <c r="G14" s="237">
        <f>SUM(G11:G13)</f>
        <v>1349.27</v>
      </c>
      <c r="H14" s="237">
        <f>SUM(H11:H13)</f>
        <v>0</v>
      </c>
      <c r="I14" s="237">
        <f>SUM(I11:I13)</f>
        <v>0</v>
      </c>
      <c r="J14" s="238">
        <f>SUM(J11:J13)</f>
        <v>0</v>
      </c>
    </row>
    <row r="15" spans="1:10" ht="20.100000000000001" customHeight="1" thickBot="1" x14ac:dyDescent="0.3">
      <c r="A15" s="715"/>
      <c r="B15" s="718" t="s">
        <v>460</v>
      </c>
      <c r="C15" s="718"/>
      <c r="D15" s="718"/>
      <c r="E15" s="239">
        <f>Encargos!$C$57</f>
        <v>0.79049999999999998</v>
      </c>
      <c r="F15" s="229">
        <f>ROUND((E15*F14),2)</f>
        <v>1066.5999999999999</v>
      </c>
      <c r="G15" s="229">
        <f>F15</f>
        <v>1066.5999999999999</v>
      </c>
      <c r="H15" s="229"/>
      <c r="I15" s="229"/>
      <c r="J15" s="230">
        <f>ROUND((E15*J14),2)</f>
        <v>0</v>
      </c>
    </row>
    <row r="16" spans="1:10" ht="20.100000000000001" customHeight="1" thickBot="1" x14ac:dyDescent="0.3">
      <c r="A16" s="719" t="s">
        <v>461</v>
      </c>
      <c r="B16" s="719"/>
      <c r="C16" s="719"/>
      <c r="D16" s="719"/>
      <c r="E16" s="719"/>
      <c r="F16" s="240">
        <f>SUM(F14:F15)</f>
        <v>2415.87</v>
      </c>
      <c r="G16" s="240">
        <f>SUM(G14:G15)</f>
        <v>2415.87</v>
      </c>
      <c r="H16" s="240">
        <f>SUM(H14:H15)</f>
        <v>0</v>
      </c>
      <c r="I16" s="240">
        <f>SUM(I14:I15)</f>
        <v>0</v>
      </c>
      <c r="J16" s="241">
        <f>SUM(J14:J15)</f>
        <v>0</v>
      </c>
    </row>
    <row r="17" spans="1:12" ht="20.100000000000001" customHeight="1" x14ac:dyDescent="0.25">
      <c r="A17" s="720" t="s">
        <v>462</v>
      </c>
      <c r="B17" s="720"/>
      <c r="C17" s="720"/>
      <c r="D17" s="720"/>
      <c r="E17" s="720"/>
      <c r="F17" s="720"/>
      <c r="G17" s="720"/>
      <c r="H17" s="720"/>
      <c r="I17" s="720"/>
      <c r="J17" s="720"/>
    </row>
    <row r="18" spans="1:12" ht="20.100000000000001" customHeight="1" x14ac:dyDescent="0.25">
      <c r="A18" s="707" t="s">
        <v>463</v>
      </c>
      <c r="B18" s="707"/>
      <c r="C18" s="210" t="s">
        <v>351</v>
      </c>
      <c r="D18" s="721" t="s">
        <v>464</v>
      </c>
      <c r="E18" s="721"/>
      <c r="F18" s="722" t="s">
        <v>352</v>
      </c>
      <c r="G18" s="722"/>
      <c r="H18" s="722"/>
      <c r="I18" s="722"/>
      <c r="J18" s="722"/>
    </row>
    <row r="19" spans="1:12" ht="20.100000000000001" customHeight="1" x14ac:dyDescent="0.25">
      <c r="A19" s="702" t="s">
        <v>465</v>
      </c>
      <c r="B19" s="702"/>
      <c r="C19" s="243"/>
      <c r="D19" s="243"/>
      <c r="E19" s="243"/>
      <c r="F19" s="229">
        <f>Dados!N8</f>
        <v>35.61</v>
      </c>
      <c r="G19" s="229">
        <f>F19</f>
        <v>35.61</v>
      </c>
      <c r="H19" s="229"/>
      <c r="I19" s="229"/>
      <c r="J19" s="230"/>
    </row>
    <row r="20" spans="1:12" ht="20.100000000000001" customHeight="1" x14ac:dyDescent="0.25">
      <c r="A20" s="702" t="s">
        <v>466</v>
      </c>
      <c r="B20" s="702"/>
      <c r="C20" s="243"/>
      <c r="D20" s="243"/>
      <c r="E20" s="243"/>
      <c r="F20" s="229">
        <f>Dados!G30</f>
        <v>1.55</v>
      </c>
      <c r="G20" s="229">
        <f>F20</f>
        <v>1.55</v>
      </c>
      <c r="H20" s="229"/>
      <c r="I20" s="229"/>
      <c r="J20" s="230"/>
    </row>
    <row r="21" spans="1:12" ht="23.85" customHeight="1" x14ac:dyDescent="0.25">
      <c r="A21" s="709" t="s">
        <v>196</v>
      </c>
      <c r="B21" s="709"/>
      <c r="C21" s="243"/>
      <c r="D21" s="243"/>
      <c r="E21" s="243"/>
      <c r="F21" s="229">
        <f>Dados!G31</f>
        <v>43.66</v>
      </c>
      <c r="G21" s="229">
        <f>F21</f>
        <v>43.66</v>
      </c>
      <c r="H21" s="229"/>
      <c r="I21" s="229"/>
      <c r="J21" s="230"/>
    </row>
    <row r="22" spans="1:12" ht="20.100000000000001" customHeight="1" x14ac:dyDescent="0.25">
      <c r="A22" s="702" t="s">
        <v>197</v>
      </c>
      <c r="B22" s="702"/>
      <c r="C22" s="244">
        <f>Dados!$G$34</f>
        <v>22</v>
      </c>
      <c r="D22" s="244">
        <f>Dados!$G$33</f>
        <v>2</v>
      </c>
      <c r="E22" s="245">
        <f>Dados!$G$32</f>
        <v>3.75</v>
      </c>
      <c r="F22" s="229">
        <f>IF(ROUND((E22*D22*C22)-(F11*Dados!G35),2)&lt;0,0,ROUND((E22*D22*C22)-(F11*Dados!G35),2))</f>
        <v>84.04</v>
      </c>
      <c r="G22" s="229">
        <f>F22</f>
        <v>84.04</v>
      </c>
      <c r="H22" s="229"/>
      <c r="I22" s="229">
        <f>F22</f>
        <v>84.04</v>
      </c>
      <c r="J22" s="230"/>
    </row>
    <row r="23" spans="1:12" ht="20.100000000000001" customHeight="1" x14ac:dyDescent="0.25">
      <c r="A23" s="702" t="s">
        <v>206</v>
      </c>
      <c r="B23" s="702"/>
      <c r="C23" s="244">
        <f>Dados!G37</f>
        <v>22</v>
      </c>
      <c r="D23" s="246">
        <f>Dados!G38</f>
        <v>0.2</v>
      </c>
      <c r="E23" s="245">
        <f>Dados!G36</f>
        <v>26.14</v>
      </c>
      <c r="F23" s="247">
        <f>ROUND((IF(D11&gt;150,((C23*E23)-(C23*(D23*E23))),0)),2)</f>
        <v>0</v>
      </c>
      <c r="G23" s="229">
        <f>F23</f>
        <v>0</v>
      </c>
      <c r="H23" s="229">
        <f>$F$23</f>
        <v>0</v>
      </c>
      <c r="I23" s="247"/>
      <c r="J23" s="230"/>
    </row>
    <row r="24" spans="1:12" ht="20.100000000000001" customHeight="1" x14ac:dyDescent="0.25">
      <c r="A24" s="702" t="s">
        <v>209</v>
      </c>
      <c r="B24" s="702"/>
      <c r="C24" s="244"/>
      <c r="D24" s="244"/>
      <c r="E24" s="245"/>
      <c r="F24" s="247">
        <f>Dados!G39</f>
        <v>0</v>
      </c>
      <c r="G24" s="229"/>
      <c r="H24" s="229"/>
      <c r="I24" s="247"/>
      <c r="J24" s="230"/>
    </row>
    <row r="25" spans="1:12" ht="20.100000000000001" customHeight="1" x14ac:dyDescent="0.25">
      <c r="A25" s="702" t="s">
        <v>209</v>
      </c>
      <c r="B25" s="702"/>
      <c r="C25" s="244"/>
      <c r="D25" s="244"/>
      <c r="E25" s="245"/>
      <c r="F25" s="247">
        <f>Dados!G40</f>
        <v>0</v>
      </c>
      <c r="G25" s="229"/>
      <c r="H25" s="229"/>
      <c r="I25" s="247"/>
      <c r="J25" s="230"/>
    </row>
    <row r="26" spans="1:12" ht="20.100000000000001" customHeight="1" x14ac:dyDescent="0.25">
      <c r="A26" s="702" t="s">
        <v>467</v>
      </c>
      <c r="B26" s="702"/>
      <c r="C26" s="244"/>
      <c r="D26" s="245"/>
      <c r="E26" s="245"/>
      <c r="F26" s="229"/>
      <c r="G26" s="229"/>
      <c r="H26" s="229"/>
      <c r="I26" s="229"/>
      <c r="J26" s="230"/>
      <c r="L26" s="248"/>
    </row>
    <row r="27" spans="1:12" ht="20.100000000000001" customHeight="1" x14ac:dyDescent="0.25">
      <c r="A27" s="242" t="s">
        <v>468</v>
      </c>
      <c r="B27" s="249"/>
      <c r="C27" s="244"/>
      <c r="D27" s="245"/>
      <c r="E27" s="245"/>
      <c r="F27" s="229"/>
      <c r="G27" s="229"/>
      <c r="H27" s="229"/>
      <c r="I27" s="229"/>
      <c r="J27" s="230"/>
    </row>
    <row r="28" spans="1:12" ht="20.100000000000001" customHeight="1" thickBot="1" x14ac:dyDescent="0.3">
      <c r="A28" s="710" t="s">
        <v>469</v>
      </c>
      <c r="B28" s="710"/>
      <c r="C28" s="250"/>
      <c r="D28" s="251"/>
      <c r="E28" s="251"/>
      <c r="F28" s="235">
        <f>Dados!P8</f>
        <v>8.11</v>
      </c>
      <c r="G28" s="235">
        <f>F28</f>
        <v>8.11</v>
      </c>
      <c r="H28" s="235"/>
      <c r="I28" s="235"/>
      <c r="J28" s="236"/>
    </row>
    <row r="29" spans="1:12" ht="20.100000000000001" customHeight="1" thickBot="1" x14ac:dyDescent="0.3">
      <c r="A29" s="711" t="s">
        <v>470</v>
      </c>
      <c r="B29" s="711"/>
      <c r="C29" s="711"/>
      <c r="D29" s="711"/>
      <c r="E29" s="711"/>
      <c r="F29" s="240">
        <f>SUM(F19:F28)</f>
        <v>172.97000000000003</v>
      </c>
      <c r="G29" s="240">
        <f>SUM(G19:G28)</f>
        <v>172.97000000000003</v>
      </c>
      <c r="H29" s="240">
        <f>SUM(H19:H28)</f>
        <v>0</v>
      </c>
      <c r="I29" s="240">
        <f>SUM(I19:I28)</f>
        <v>84.04</v>
      </c>
      <c r="J29" s="241">
        <f>SUM(J19:J28)</f>
        <v>0</v>
      </c>
    </row>
    <row r="30" spans="1:12" ht="20.100000000000001" customHeight="1" thickBot="1" x14ac:dyDescent="0.3">
      <c r="A30" s="711" t="s">
        <v>471</v>
      </c>
      <c r="B30" s="711"/>
      <c r="C30" s="711"/>
      <c r="D30" s="711"/>
      <c r="E30" s="711"/>
      <c r="F30" s="240">
        <f>F16+F29</f>
        <v>2588.84</v>
      </c>
      <c r="G30" s="240">
        <f>G16+G29</f>
        <v>2588.84</v>
      </c>
      <c r="H30" s="240">
        <f>H16+H29</f>
        <v>0</v>
      </c>
      <c r="I30" s="240">
        <f>I16+I29</f>
        <v>84.04</v>
      </c>
      <c r="J30" s="241">
        <f>J16+J29</f>
        <v>0</v>
      </c>
    </row>
    <row r="31" spans="1:12" ht="20.100000000000001" customHeight="1" x14ac:dyDescent="0.25">
      <c r="A31" s="712" t="s">
        <v>472</v>
      </c>
      <c r="B31" s="712"/>
      <c r="C31" s="712"/>
      <c r="D31" s="712"/>
      <c r="E31" s="712"/>
      <c r="F31" s="712"/>
      <c r="G31" s="712"/>
      <c r="H31" s="712"/>
      <c r="I31" s="712"/>
      <c r="J31" s="712"/>
    </row>
    <row r="32" spans="1:12" ht="20.100000000000001" customHeight="1" x14ac:dyDescent="0.25">
      <c r="A32" s="707" t="s">
        <v>473</v>
      </c>
      <c r="B32" s="707"/>
      <c r="C32" s="707"/>
      <c r="D32" s="252" t="s">
        <v>375</v>
      </c>
      <c r="E32" s="708" t="s">
        <v>352</v>
      </c>
      <c r="F32" s="708"/>
      <c r="G32" s="708"/>
      <c r="H32" s="708"/>
      <c r="I32" s="708"/>
      <c r="J32" s="708"/>
    </row>
    <row r="33" spans="1:12" ht="20.100000000000001" customHeight="1" x14ac:dyDescent="0.25">
      <c r="A33" s="253" t="s">
        <v>474</v>
      </c>
      <c r="B33" s="254"/>
      <c r="C33" s="254"/>
      <c r="D33" s="255">
        <f>Dados!$G$43</f>
        <v>0.03</v>
      </c>
      <c r="E33" s="256"/>
      <c r="F33" s="229">
        <f>ROUND((F30*$D$33),2)</f>
        <v>77.67</v>
      </c>
      <c r="G33" s="229">
        <f>ROUND((G30*$D$33),2)</f>
        <v>77.67</v>
      </c>
      <c r="H33" s="229">
        <f>ROUND((H30*$D$33),2)</f>
        <v>0</v>
      </c>
      <c r="I33" s="229">
        <f>ROUND((I30*$D$33),2)</f>
        <v>2.52</v>
      </c>
      <c r="J33" s="230">
        <f>ROUND((J30*$D$33),2)</f>
        <v>0</v>
      </c>
    </row>
    <row r="34" spans="1:12" ht="20.100000000000001" customHeight="1" x14ac:dyDescent="0.25">
      <c r="A34" s="699" t="s">
        <v>475</v>
      </c>
      <c r="B34" s="699"/>
      <c r="C34" s="699"/>
      <c r="D34" s="255"/>
      <c r="E34" s="256"/>
      <c r="F34" s="229">
        <f>F30+F33</f>
        <v>2666.51</v>
      </c>
      <c r="G34" s="229">
        <f>G30+G33</f>
        <v>2666.51</v>
      </c>
      <c r="H34" s="229">
        <f>H30+H33</f>
        <v>0</v>
      </c>
      <c r="I34" s="229">
        <f>I30+I33</f>
        <v>86.56</v>
      </c>
      <c r="J34" s="230">
        <f>J30+J33</f>
        <v>0</v>
      </c>
    </row>
    <row r="35" spans="1:12" ht="20.100000000000001" customHeight="1" thickBot="1" x14ac:dyDescent="0.3">
      <c r="A35" s="257" t="s">
        <v>214</v>
      </c>
      <c r="B35" s="258"/>
      <c r="C35" s="258"/>
      <c r="D35" s="259">
        <f>Dados!$G$44</f>
        <v>6.7900000000000002E-2</v>
      </c>
      <c r="E35" s="260"/>
      <c r="F35" s="235">
        <f>ROUND((F34*$D$35),2)</f>
        <v>181.06</v>
      </c>
      <c r="G35" s="235">
        <f>ROUND((G34*$D$35),2)</f>
        <v>181.06</v>
      </c>
      <c r="H35" s="235">
        <f>ROUND((H34*$D$35),2)</f>
        <v>0</v>
      </c>
      <c r="I35" s="235">
        <f>ROUND((I34*$D$35),2)</f>
        <v>5.88</v>
      </c>
      <c r="J35" s="236">
        <f>ROUND((J34*$D$35),2)</f>
        <v>0</v>
      </c>
    </row>
    <row r="36" spans="1:12" ht="20.100000000000001" customHeight="1" thickBot="1" x14ac:dyDescent="0.3">
      <c r="A36" s="261" t="s">
        <v>476</v>
      </c>
      <c r="B36" s="262"/>
      <c r="C36" s="262"/>
      <c r="D36" s="263">
        <f>SUM(D33:D35)</f>
        <v>9.7900000000000001E-2</v>
      </c>
      <c r="E36" s="264"/>
      <c r="F36" s="240">
        <f>F33+F35</f>
        <v>258.73</v>
      </c>
      <c r="G36" s="240">
        <f>G33+G35</f>
        <v>258.73</v>
      </c>
      <c r="H36" s="240">
        <f>H33+H35</f>
        <v>0</v>
      </c>
      <c r="I36" s="240">
        <f>I33+I35</f>
        <v>8.4</v>
      </c>
      <c r="J36" s="241">
        <f>J33+J35</f>
        <v>0</v>
      </c>
    </row>
    <row r="37" spans="1:12" ht="20.100000000000001" customHeight="1" thickBot="1" x14ac:dyDescent="0.3">
      <c r="A37" s="700" t="s">
        <v>477</v>
      </c>
      <c r="B37" s="700"/>
      <c r="C37" s="700"/>
      <c r="D37" s="700"/>
      <c r="E37" s="700"/>
      <c r="F37" s="265">
        <f>F30+F36</f>
        <v>2847.57</v>
      </c>
      <c r="G37" s="265">
        <f>G30+G36</f>
        <v>2847.57</v>
      </c>
      <c r="H37" s="265">
        <f>H30+H36</f>
        <v>0</v>
      </c>
      <c r="I37" s="265">
        <f>I30+I36</f>
        <v>92.440000000000012</v>
      </c>
      <c r="J37" s="266">
        <f>J30+J36</f>
        <v>0</v>
      </c>
    </row>
    <row r="38" spans="1:12" ht="20.100000000000001" customHeight="1" x14ac:dyDescent="0.25">
      <c r="A38" s="701" t="s">
        <v>478</v>
      </c>
      <c r="B38" s="701"/>
      <c r="C38" s="701"/>
      <c r="D38" s="701"/>
      <c r="E38" s="701"/>
      <c r="F38" s="701"/>
      <c r="G38" s="701"/>
      <c r="H38" s="701"/>
      <c r="I38" s="701"/>
      <c r="J38" s="701"/>
    </row>
    <row r="39" spans="1:12" ht="20.100000000000001" customHeight="1" x14ac:dyDescent="0.25">
      <c r="A39" s="702" t="s">
        <v>220</v>
      </c>
      <c r="B39" s="702"/>
      <c r="C39" s="702"/>
      <c r="D39" s="255">
        <f>Dados!G51</f>
        <v>7.5999999999999998E-2</v>
      </c>
      <c r="E39" s="267"/>
      <c r="F39" s="229">
        <f>ROUND(($F$45*D39),2)</f>
        <v>249.47</v>
      </c>
      <c r="G39" s="229">
        <f>ROUND((G45*$D$39),2)</f>
        <v>249.47</v>
      </c>
      <c r="H39" s="229">
        <f>ROUND((H45*$D$39),2)</f>
        <v>0</v>
      </c>
      <c r="I39" s="229">
        <f>ROUND((I45*$D$39),2)</f>
        <v>8.1</v>
      </c>
      <c r="J39" s="230">
        <f>ROUND((J45*$D$39),2)</f>
        <v>0</v>
      </c>
    </row>
    <row r="40" spans="1:12" ht="20.100000000000001" customHeight="1" x14ac:dyDescent="0.25">
      <c r="A40" s="702" t="s">
        <v>222</v>
      </c>
      <c r="B40" s="702"/>
      <c r="C40" s="702"/>
      <c r="D40" s="255">
        <f>Dados!G52</f>
        <v>1.6500000000000001E-2</v>
      </c>
      <c r="E40" s="267"/>
      <c r="F40" s="229">
        <f>ROUND((F45*$D$40),2)</f>
        <v>54.16</v>
      </c>
      <c r="G40" s="229">
        <f>ROUND((G45*$D$40),2)</f>
        <v>54.16</v>
      </c>
      <c r="H40" s="229">
        <f>ROUND((H45*$D$40),2)</f>
        <v>0</v>
      </c>
      <c r="I40" s="229">
        <f>ROUND((I45*$D$40),2)</f>
        <v>1.76</v>
      </c>
      <c r="J40" s="230">
        <f>ROUND((J45*$D$40),2)</f>
        <v>0</v>
      </c>
    </row>
    <row r="41" spans="1:12" ht="20.100000000000001" customHeight="1" x14ac:dyDescent="0.25">
      <c r="A41" s="702" t="s">
        <v>223</v>
      </c>
      <c r="B41" s="702"/>
      <c r="C41" s="702"/>
      <c r="D41" s="255">
        <f>Dados!G53</f>
        <v>0.04</v>
      </c>
      <c r="E41" s="267"/>
      <c r="F41" s="229">
        <f>ROUND((F45*$D$41),2)</f>
        <v>131.30000000000001</v>
      </c>
      <c r="G41" s="229">
        <f>ROUND((G45*$D$41),2)</f>
        <v>131.30000000000001</v>
      </c>
      <c r="H41" s="229">
        <f>ROUND((H45*$D$41),2)</f>
        <v>0</v>
      </c>
      <c r="I41" s="229">
        <f>ROUND((I45*$D$41),2)</f>
        <v>4.26</v>
      </c>
      <c r="J41" s="230">
        <f>ROUND((J45*$D$41),2)</f>
        <v>0</v>
      </c>
    </row>
    <row r="42" spans="1:12" ht="20.100000000000001" customHeight="1" x14ac:dyDescent="0.25">
      <c r="A42" s="702" t="s">
        <v>209</v>
      </c>
      <c r="B42" s="702"/>
      <c r="C42" s="702"/>
      <c r="D42" s="255">
        <f>Dados!G54</f>
        <v>0</v>
      </c>
      <c r="E42" s="267"/>
      <c r="F42" s="229">
        <f>ROUND((F45*$D$42),2)</f>
        <v>0</v>
      </c>
      <c r="G42" s="229">
        <f>ROUND((G45*$D$42),2)</f>
        <v>0</v>
      </c>
      <c r="H42" s="229">
        <f>ROUND((H45*$D$42),2)</f>
        <v>0</v>
      </c>
      <c r="I42" s="229">
        <f>ROUND((I45*$D$42),2)</f>
        <v>0</v>
      </c>
      <c r="J42" s="230">
        <f>ROUND((J45*$D$42),2)</f>
        <v>0</v>
      </c>
    </row>
    <row r="43" spans="1:12" ht="20.100000000000001" customHeight="1" x14ac:dyDescent="0.25">
      <c r="A43" s="703" t="s">
        <v>479</v>
      </c>
      <c r="B43" s="703"/>
      <c r="C43" s="703"/>
      <c r="D43" s="268">
        <f>SUM(D39:D42)</f>
        <v>0.13250000000000001</v>
      </c>
      <c r="E43" s="269"/>
      <c r="F43" s="270">
        <f>SUM(F39:F42)</f>
        <v>434.93</v>
      </c>
      <c r="G43" s="270">
        <f>SUM(G39:G42)</f>
        <v>434.93</v>
      </c>
      <c r="H43" s="270">
        <f>SUM(H39:H42)</f>
        <v>0</v>
      </c>
      <c r="I43" s="270">
        <f>SUM(I39:I42)</f>
        <v>14.12</v>
      </c>
      <c r="J43" s="271">
        <f>SUM(J39:J41)</f>
        <v>0</v>
      </c>
    </row>
    <row r="44" spans="1:12" ht="20.100000000000001" customHeight="1" x14ac:dyDescent="0.25">
      <c r="A44" s="704" t="str">
        <f>CONCATENATE("Custo Mensal - ",A7)</f>
        <v>Custo Mensal - Zelador</v>
      </c>
      <c r="B44" s="704"/>
      <c r="C44" s="704"/>
      <c r="D44" s="704"/>
      <c r="E44" s="704"/>
      <c r="F44" s="272">
        <f>ROUND(F37/(1-D43),2)</f>
        <v>3282.5</v>
      </c>
      <c r="G44" s="272">
        <f>ROUND(G37/(1-D43),2)</f>
        <v>3282.5</v>
      </c>
      <c r="H44" s="272">
        <f>ROUND(H37/(1-C43),2)</f>
        <v>0</v>
      </c>
      <c r="I44" s="272">
        <f>ROUND(I37/(1-D43),2)</f>
        <v>106.56</v>
      </c>
      <c r="J44" s="273">
        <f>ROUND(J37/(1-D43),2)</f>
        <v>0</v>
      </c>
    </row>
    <row r="45" spans="1:12" ht="20.100000000000001" customHeight="1" x14ac:dyDescent="0.25">
      <c r="A45" s="705" t="str">
        <f>CONCATENATE("Valor do Custo Mensal - ",A7)</f>
        <v>Valor do Custo Mensal - Zelador</v>
      </c>
      <c r="B45" s="705"/>
      <c r="C45" s="705"/>
      <c r="D45" s="705"/>
      <c r="E45" s="705"/>
      <c r="F45" s="272">
        <f>F44</f>
        <v>3282.5</v>
      </c>
      <c r="G45" s="272">
        <f>G44</f>
        <v>3282.5</v>
      </c>
      <c r="H45" s="272">
        <f>H44</f>
        <v>0</v>
      </c>
      <c r="I45" s="272">
        <f>I44</f>
        <v>106.56</v>
      </c>
      <c r="J45" s="273">
        <f>J44</f>
        <v>0</v>
      </c>
      <c r="K45" s="274"/>
      <c r="L45" s="274"/>
    </row>
    <row r="46" spans="1:12" ht="27.75" customHeight="1" thickBot="1" x14ac:dyDescent="0.3">
      <c r="A46" s="706" t="s">
        <v>480</v>
      </c>
      <c r="B46" s="706"/>
      <c r="C46" s="706"/>
      <c r="D46" s="706"/>
      <c r="E46" s="706"/>
      <c r="F46" s="275">
        <f>(F45/F14)</f>
        <v>2.4327969939300509</v>
      </c>
      <c r="G46" s="275">
        <f>(G45/G14)</f>
        <v>2.4327969939300509</v>
      </c>
      <c r="H46" s="698" t="s">
        <v>481</v>
      </c>
      <c r="I46" s="698"/>
      <c r="J46" s="276">
        <v>0</v>
      </c>
    </row>
    <row r="47" spans="1:12" ht="20.100000000000001" customHeight="1" x14ac:dyDescent="0.25"/>
  </sheetData>
  <sheetProtection password="C494" sheet="1" objects="1" scenarios="1"/>
  <mergeCells count="49">
    <mergeCell ref="A4:J4"/>
    <mergeCell ref="A5:J5"/>
    <mergeCell ref="A6:J6"/>
    <mergeCell ref="A7:E7"/>
    <mergeCell ref="F7:F8"/>
    <mergeCell ref="G7:G8"/>
    <mergeCell ref="H7:H8"/>
    <mergeCell ref="I7:I8"/>
    <mergeCell ref="J7:J8"/>
    <mergeCell ref="A8:D8"/>
    <mergeCell ref="A19:B19"/>
    <mergeCell ref="A9:J9"/>
    <mergeCell ref="B10:C10"/>
    <mergeCell ref="F10:J10"/>
    <mergeCell ref="A11:A15"/>
    <mergeCell ref="B11:C11"/>
    <mergeCell ref="B12:C12"/>
    <mergeCell ref="B14:E14"/>
    <mergeCell ref="B15:D15"/>
    <mergeCell ref="A16:E16"/>
    <mergeCell ref="A17:J17"/>
    <mergeCell ref="A18:B18"/>
    <mergeCell ref="D18:E18"/>
    <mergeCell ref="F18:J18"/>
    <mergeCell ref="A32:C32"/>
    <mergeCell ref="E32:J32"/>
    <mergeCell ref="A20:B20"/>
    <mergeCell ref="A21:B21"/>
    <mergeCell ref="A22:B22"/>
    <mergeCell ref="A23:B23"/>
    <mergeCell ref="A24:B24"/>
    <mergeCell ref="A25:B25"/>
    <mergeCell ref="A26:B26"/>
    <mergeCell ref="A28:B28"/>
    <mergeCell ref="A29:E29"/>
    <mergeCell ref="A30:E30"/>
    <mergeCell ref="A31:J31"/>
    <mergeCell ref="H46:I46"/>
    <mergeCell ref="A34:C34"/>
    <mergeCell ref="A37:E37"/>
    <mergeCell ref="A38:J38"/>
    <mergeCell ref="A39:C39"/>
    <mergeCell ref="A40:C40"/>
    <mergeCell ref="A41:C41"/>
    <mergeCell ref="A42:C42"/>
    <mergeCell ref="A43:C43"/>
    <mergeCell ref="A44:E44"/>
    <mergeCell ref="A45:E45"/>
    <mergeCell ref="A46:E46"/>
  </mergeCells>
  <pageMargins left="0.51180555555555496" right="0.51180555555555496" top="0.78749999999999998" bottom="0.78749999999999998" header="0.51180555555555496" footer="0.51180555555555496"/>
  <pageSetup paperSize="9" scale="67"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D9D9D9"/>
  </sheetPr>
  <dimension ref="A1:AMJ47"/>
  <sheetViews>
    <sheetView showGridLines="0" zoomScaleNormal="100" workbookViewId="0">
      <selection activeCell="F14" sqref="F14"/>
    </sheetView>
  </sheetViews>
  <sheetFormatPr defaultColWidth="9.140625" defaultRowHeight="15" x14ac:dyDescent="0.25"/>
  <cols>
    <col min="1" max="1" width="10.5703125" style="80" customWidth="1"/>
    <col min="2" max="2" width="27.7109375" style="80" customWidth="1"/>
    <col min="3" max="3" width="14.42578125" style="80" customWidth="1"/>
    <col min="4" max="5" width="15" style="80" customWidth="1"/>
    <col min="6" max="6" width="16.7109375" style="211" customWidth="1"/>
    <col min="7" max="8" width="13.140625" style="211" customWidth="1"/>
    <col min="9" max="10" width="12.5703125" style="211" customWidth="1"/>
    <col min="11" max="257" width="9.140625" style="80"/>
    <col min="258" max="258" width="10.5703125" style="80" customWidth="1"/>
    <col min="259" max="259" width="27.7109375" style="80" customWidth="1"/>
    <col min="260" max="260" width="14.42578125" style="80" customWidth="1"/>
    <col min="261" max="262" width="15" style="80" customWidth="1"/>
    <col min="263" max="263" width="16.7109375" style="80" customWidth="1"/>
    <col min="264" max="264" width="13.140625" style="80" customWidth="1"/>
    <col min="265" max="266" width="12.5703125" style="80" customWidth="1"/>
    <col min="267" max="513" width="9.140625" style="80"/>
    <col min="514" max="514" width="10.5703125" style="80" customWidth="1"/>
    <col min="515" max="515" width="27.7109375" style="80" customWidth="1"/>
    <col min="516" max="516" width="14.42578125" style="80" customWidth="1"/>
    <col min="517" max="518" width="15" style="80" customWidth="1"/>
    <col min="519" max="519" width="16.7109375" style="80" customWidth="1"/>
    <col min="520" max="520" width="13.140625" style="80" customWidth="1"/>
    <col min="521" max="522" width="12.5703125" style="80" customWidth="1"/>
    <col min="523" max="769" width="9.140625" style="80"/>
    <col min="770" max="770" width="10.5703125" style="80" customWidth="1"/>
    <col min="771" max="771" width="27.7109375" style="80" customWidth="1"/>
    <col min="772" max="772" width="14.42578125" style="80" customWidth="1"/>
    <col min="773" max="774" width="15" style="80" customWidth="1"/>
    <col min="775" max="775" width="16.7109375" style="80" customWidth="1"/>
    <col min="776" max="776" width="13.140625" style="80" customWidth="1"/>
    <col min="777" max="778" width="12.5703125" style="80" customWidth="1"/>
    <col min="779" max="1024" width="9.140625" style="80"/>
  </cols>
  <sheetData>
    <row r="1" spans="1:10" x14ac:dyDescent="0.25">
      <c r="A1" s="212"/>
      <c r="B1" s="77" t="str">
        <f>INSTRUÇÕES!B1</f>
        <v>Tribunal Regional Federal da 6ª Região</v>
      </c>
      <c r="C1" s="213"/>
      <c r="D1" s="213"/>
      <c r="E1" s="213"/>
      <c r="F1" s="214"/>
      <c r="G1" s="215"/>
      <c r="H1" s="215"/>
      <c r="I1" s="214"/>
      <c r="J1" s="216"/>
    </row>
    <row r="2" spans="1:10" x14ac:dyDescent="0.25">
      <c r="A2" s="217"/>
      <c r="B2" s="79" t="str">
        <f>INSTRUÇÕES!B2</f>
        <v>Seção Judiciária de Minas Gerais</v>
      </c>
      <c r="C2" s="218"/>
      <c r="D2" s="218"/>
      <c r="E2" s="218"/>
      <c r="F2" s="219"/>
      <c r="I2" s="219"/>
      <c r="J2" s="220"/>
    </row>
    <row r="3" spans="1:10" x14ac:dyDescent="0.25">
      <c r="A3" s="221"/>
      <c r="B3" s="222" t="str">
        <f>INSTRUÇÕES!B3</f>
        <v>Subseção Judiciária de Janaúba</v>
      </c>
      <c r="C3" s="218"/>
      <c r="D3" s="218"/>
      <c r="E3" s="218"/>
      <c r="F3" s="219"/>
      <c r="I3" s="219"/>
      <c r="J3" s="220"/>
    </row>
    <row r="4" spans="1:10" ht="20.100000000000001" customHeight="1" x14ac:dyDescent="0.25">
      <c r="A4" s="723" t="s">
        <v>446</v>
      </c>
      <c r="B4" s="723"/>
      <c r="C4" s="723"/>
      <c r="D4" s="723"/>
      <c r="E4" s="723"/>
      <c r="F4" s="723"/>
      <c r="G4" s="723"/>
      <c r="H4" s="723"/>
      <c r="I4" s="723"/>
      <c r="J4" s="723"/>
    </row>
    <row r="5" spans="1:10" ht="20.100000000000001" customHeight="1" x14ac:dyDescent="0.25">
      <c r="A5" s="724" t="s">
        <v>261</v>
      </c>
      <c r="B5" s="724"/>
      <c r="C5" s="724"/>
      <c r="D5" s="724"/>
      <c r="E5" s="724"/>
      <c r="F5" s="724"/>
      <c r="G5" s="724"/>
      <c r="H5" s="724"/>
      <c r="I5" s="724"/>
      <c r="J5" s="724"/>
    </row>
    <row r="6" spans="1:10" ht="36" customHeight="1" x14ac:dyDescent="0.25">
      <c r="A6" s="725" t="str">
        <f>Dados!A4</f>
        <v>Sindicato utilizado - SETHAC. Vigência: 01/01/2023 à 31/12/2023. Sendo a data base da categoria 01º Janeiro. Com número de registro no MTE MG003959/2023.</v>
      </c>
      <c r="B6" s="725"/>
      <c r="C6" s="725"/>
      <c r="D6" s="725"/>
      <c r="E6" s="725"/>
      <c r="F6" s="725"/>
      <c r="G6" s="725"/>
      <c r="H6" s="725"/>
      <c r="I6" s="725"/>
      <c r="J6" s="725"/>
    </row>
    <row r="7" spans="1:10" ht="20.100000000000001" customHeight="1" x14ac:dyDescent="0.25">
      <c r="A7" s="726" t="str">
        <f>Dados!C10</f>
        <v>Servente de Limpeza (40%)</v>
      </c>
      <c r="B7" s="726"/>
      <c r="C7" s="726"/>
      <c r="D7" s="726"/>
      <c r="E7" s="726"/>
      <c r="F7" s="727" t="s">
        <v>447</v>
      </c>
      <c r="G7" s="727" t="s">
        <v>448</v>
      </c>
      <c r="H7" s="727" t="s">
        <v>449</v>
      </c>
      <c r="I7" s="727" t="s">
        <v>450</v>
      </c>
      <c r="J7" s="727" t="s">
        <v>451</v>
      </c>
    </row>
    <row r="8" spans="1:10" ht="20.100000000000001" customHeight="1" x14ac:dyDescent="0.25">
      <c r="A8" s="728" t="s">
        <v>452</v>
      </c>
      <c r="B8" s="728"/>
      <c r="C8" s="728"/>
      <c r="D8" s="728"/>
      <c r="E8" s="223" t="s">
        <v>348</v>
      </c>
      <c r="F8" s="727"/>
      <c r="G8" s="727"/>
      <c r="H8" s="727"/>
      <c r="I8" s="727"/>
      <c r="J8" s="727"/>
    </row>
    <row r="9" spans="1:10" ht="20.100000000000001" customHeight="1" x14ac:dyDescent="0.25">
      <c r="A9" s="712" t="s">
        <v>453</v>
      </c>
      <c r="B9" s="712"/>
      <c r="C9" s="712"/>
      <c r="D9" s="712"/>
      <c r="E9" s="712"/>
      <c r="F9" s="712"/>
      <c r="G9" s="712"/>
      <c r="H9" s="712"/>
      <c r="I9" s="712"/>
      <c r="J9" s="712"/>
    </row>
    <row r="10" spans="1:10" ht="24" customHeight="1" x14ac:dyDescent="0.25">
      <c r="A10" s="224" t="s">
        <v>349</v>
      </c>
      <c r="B10" s="713" t="s">
        <v>454</v>
      </c>
      <c r="C10" s="713"/>
      <c r="D10" s="225" t="s">
        <v>455</v>
      </c>
      <c r="E10" s="226" t="s">
        <v>456</v>
      </c>
      <c r="F10" s="714" t="s">
        <v>352</v>
      </c>
      <c r="G10" s="714"/>
      <c r="H10" s="714"/>
      <c r="I10" s="714"/>
      <c r="J10" s="714"/>
    </row>
    <row r="11" spans="1:10" ht="20.100000000000001" customHeight="1" x14ac:dyDescent="0.25">
      <c r="A11" s="715">
        <v>1</v>
      </c>
      <c r="B11" s="716" t="str">
        <f>A7</f>
        <v>Servente de Limpeza (40%)</v>
      </c>
      <c r="C11" s="716"/>
      <c r="D11" s="227">
        <f>Dados!D10</f>
        <v>220</v>
      </c>
      <c r="E11" s="228">
        <f>Dados!E10</f>
        <v>1394.24</v>
      </c>
      <c r="F11" s="229">
        <f>ROUND(E11/220*D11,2)</f>
        <v>1394.24</v>
      </c>
      <c r="G11" s="229">
        <f>F11</f>
        <v>1394.24</v>
      </c>
      <c r="H11" s="229"/>
      <c r="I11" s="229"/>
      <c r="J11" s="230"/>
    </row>
    <row r="12" spans="1:10" ht="20.100000000000001" customHeight="1" x14ac:dyDescent="0.25">
      <c r="A12" s="715"/>
      <c r="B12" s="716" t="s">
        <v>457</v>
      </c>
      <c r="C12" s="716"/>
      <c r="D12" s="231">
        <f>Dados!G10</f>
        <v>0.4</v>
      </c>
      <c r="E12" s="228">
        <f>Dados!G27</f>
        <v>1320</v>
      </c>
      <c r="F12" s="229">
        <f>D12*E12</f>
        <v>528</v>
      </c>
      <c r="G12" s="229">
        <f>F12</f>
        <v>528</v>
      </c>
      <c r="H12" s="229"/>
      <c r="I12" s="229"/>
      <c r="J12" s="230">
        <f>F12</f>
        <v>528</v>
      </c>
    </row>
    <row r="13" spans="1:10" ht="20.25" customHeight="1" x14ac:dyDescent="0.25">
      <c r="A13" s="715"/>
      <c r="B13" s="232" t="s">
        <v>458</v>
      </c>
      <c r="C13" s="233">
        <f>Dados!I10</f>
        <v>0</v>
      </c>
      <c r="D13" s="233">
        <f>Dados!J10</f>
        <v>0</v>
      </c>
      <c r="E13" s="234">
        <f>Dados!L10</f>
        <v>0</v>
      </c>
      <c r="F13" s="235">
        <f>ROUND((E13*D13*C13),2)</f>
        <v>0</v>
      </c>
      <c r="G13" s="235">
        <f>F13</f>
        <v>0</v>
      </c>
      <c r="H13" s="235"/>
      <c r="I13" s="235"/>
      <c r="J13" s="236"/>
    </row>
    <row r="14" spans="1:10" ht="20.100000000000001" customHeight="1" x14ac:dyDescent="0.25">
      <c r="A14" s="715"/>
      <c r="B14" s="717" t="s">
        <v>459</v>
      </c>
      <c r="C14" s="717"/>
      <c r="D14" s="717"/>
      <c r="E14" s="717"/>
      <c r="F14" s="237">
        <f>SUM(F11:F13)</f>
        <v>1922.24</v>
      </c>
      <c r="G14" s="237">
        <f>SUM(G11:G13)</f>
        <v>1922.24</v>
      </c>
      <c r="H14" s="237">
        <f>SUM(H11:H13)</f>
        <v>0</v>
      </c>
      <c r="I14" s="237">
        <f>SUM(I11:I13)</f>
        <v>0</v>
      </c>
      <c r="J14" s="238">
        <f>SUM(J11:J13)</f>
        <v>528</v>
      </c>
    </row>
    <row r="15" spans="1:10" ht="20.100000000000001" customHeight="1" x14ac:dyDescent="0.25">
      <c r="A15" s="715"/>
      <c r="B15" s="718" t="s">
        <v>460</v>
      </c>
      <c r="C15" s="718"/>
      <c r="D15" s="718"/>
      <c r="E15" s="239">
        <f>Encargos!$C$57</f>
        <v>0.79049999999999998</v>
      </c>
      <c r="F15" s="229">
        <f>ROUND((E15*F14),2)</f>
        <v>1519.53</v>
      </c>
      <c r="G15" s="229">
        <f>F15</f>
        <v>1519.53</v>
      </c>
      <c r="H15" s="229"/>
      <c r="I15" s="229"/>
      <c r="J15" s="230">
        <f>ROUND((E15*J14),2)</f>
        <v>417.38</v>
      </c>
    </row>
    <row r="16" spans="1:10" ht="20.100000000000001" customHeight="1" x14ac:dyDescent="0.25">
      <c r="A16" s="719" t="s">
        <v>461</v>
      </c>
      <c r="B16" s="719"/>
      <c r="C16" s="719"/>
      <c r="D16" s="719"/>
      <c r="E16" s="719"/>
      <c r="F16" s="240">
        <f>SUM(F14:F15)</f>
        <v>3441.77</v>
      </c>
      <c r="G16" s="240">
        <f>SUM(G14:G15)</f>
        <v>3441.77</v>
      </c>
      <c r="H16" s="240">
        <f>SUM(H14:H15)</f>
        <v>0</v>
      </c>
      <c r="I16" s="240">
        <f>SUM(I14:I15)</f>
        <v>0</v>
      </c>
      <c r="J16" s="241">
        <f>SUM(J14:J15)</f>
        <v>945.38</v>
      </c>
    </row>
    <row r="17" spans="1:12" ht="20.100000000000001" customHeight="1" x14ac:dyDescent="0.25">
      <c r="A17" s="720" t="s">
        <v>462</v>
      </c>
      <c r="B17" s="720"/>
      <c r="C17" s="720"/>
      <c r="D17" s="720"/>
      <c r="E17" s="720"/>
      <c r="F17" s="720"/>
      <c r="G17" s="720"/>
      <c r="H17" s="720"/>
      <c r="I17" s="720"/>
      <c r="J17" s="720"/>
    </row>
    <row r="18" spans="1:12" ht="20.100000000000001" customHeight="1" x14ac:dyDescent="0.25">
      <c r="A18" s="707" t="s">
        <v>463</v>
      </c>
      <c r="B18" s="707"/>
      <c r="C18" s="210" t="s">
        <v>351</v>
      </c>
      <c r="D18" s="721" t="s">
        <v>464</v>
      </c>
      <c r="E18" s="721"/>
      <c r="F18" s="722" t="s">
        <v>352</v>
      </c>
      <c r="G18" s="722"/>
      <c r="H18" s="722"/>
      <c r="I18" s="722"/>
      <c r="J18" s="722"/>
    </row>
    <row r="19" spans="1:12" ht="20.100000000000001" customHeight="1" x14ac:dyDescent="0.25">
      <c r="A19" s="702" t="s">
        <v>465</v>
      </c>
      <c r="B19" s="702"/>
      <c r="C19" s="243"/>
      <c r="D19" s="243"/>
      <c r="E19" s="243"/>
      <c r="F19" s="229">
        <f>Dados!N10</f>
        <v>32.36</v>
      </c>
      <c r="G19" s="229">
        <f>F19</f>
        <v>32.36</v>
      </c>
      <c r="H19" s="229"/>
      <c r="I19" s="229"/>
      <c r="J19" s="230"/>
    </row>
    <row r="20" spans="1:12" ht="20.100000000000001" customHeight="1" x14ac:dyDescent="0.25">
      <c r="A20" s="702" t="s">
        <v>466</v>
      </c>
      <c r="B20" s="702"/>
      <c r="C20" s="243"/>
      <c r="D20" s="243"/>
      <c r="E20" s="243"/>
      <c r="F20" s="229">
        <f>Dados!G30</f>
        <v>1.55</v>
      </c>
      <c r="G20" s="229">
        <f>F20</f>
        <v>1.55</v>
      </c>
      <c r="H20" s="229"/>
      <c r="I20" s="229"/>
      <c r="J20" s="230"/>
    </row>
    <row r="21" spans="1:12" ht="23.85" customHeight="1" x14ac:dyDescent="0.25">
      <c r="A21" s="709" t="s">
        <v>196</v>
      </c>
      <c r="B21" s="709"/>
      <c r="C21" s="243"/>
      <c r="D21" s="243"/>
      <c r="E21" s="243"/>
      <c r="F21" s="229">
        <f>Dados!G31</f>
        <v>43.66</v>
      </c>
      <c r="G21" s="229">
        <f>F21</f>
        <v>43.66</v>
      </c>
      <c r="H21" s="229"/>
      <c r="I21" s="229"/>
      <c r="J21" s="230"/>
    </row>
    <row r="22" spans="1:12" ht="20.100000000000001" customHeight="1" x14ac:dyDescent="0.25">
      <c r="A22" s="702" t="s">
        <v>197</v>
      </c>
      <c r="B22" s="702"/>
      <c r="C22" s="244">
        <f>Dados!$G$34</f>
        <v>22</v>
      </c>
      <c r="D22" s="244">
        <f>Dados!$G$33</f>
        <v>2</v>
      </c>
      <c r="E22" s="245">
        <f>Dados!$G$32</f>
        <v>3.75</v>
      </c>
      <c r="F22" s="229">
        <f>IF(ROUND((E22*D22*C22)-(F11*Dados!G35),2)&lt;0,0,ROUND((E22*D22*C22)-(F11*Dados!G35),2))</f>
        <v>81.349999999999994</v>
      </c>
      <c r="G22" s="229">
        <f>F22</f>
        <v>81.349999999999994</v>
      </c>
      <c r="H22" s="229"/>
      <c r="I22" s="229">
        <f>F22</f>
        <v>81.349999999999994</v>
      </c>
      <c r="J22" s="230"/>
    </row>
    <row r="23" spans="1:12" ht="20.100000000000001" customHeight="1" x14ac:dyDescent="0.25">
      <c r="A23" s="702" t="s">
        <v>206</v>
      </c>
      <c r="B23" s="702"/>
      <c r="C23" s="244">
        <f>Dados!G37</f>
        <v>22</v>
      </c>
      <c r="D23" s="246">
        <f>Dados!G38</f>
        <v>0.2</v>
      </c>
      <c r="E23" s="245">
        <f>Dados!G36</f>
        <v>26.14</v>
      </c>
      <c r="F23" s="247">
        <f>ROUND((IF(D11&gt;150,((C23*E23)-(C23*(D23*E23))),0)),2)</f>
        <v>460.06</v>
      </c>
      <c r="G23" s="229">
        <f>F23</f>
        <v>460.06</v>
      </c>
      <c r="H23" s="229">
        <f>$F$23</f>
        <v>460.06</v>
      </c>
      <c r="I23" s="247"/>
      <c r="J23" s="230"/>
    </row>
    <row r="24" spans="1:12" ht="20.100000000000001" customHeight="1" x14ac:dyDescent="0.25">
      <c r="A24" s="702" t="s">
        <v>209</v>
      </c>
      <c r="B24" s="702"/>
      <c r="C24" s="244"/>
      <c r="D24" s="244"/>
      <c r="E24" s="245"/>
      <c r="F24" s="247">
        <f>Dados!G39</f>
        <v>0</v>
      </c>
      <c r="G24" s="229"/>
      <c r="H24" s="229"/>
      <c r="I24" s="247"/>
      <c r="J24" s="230"/>
    </row>
    <row r="25" spans="1:12" ht="20.100000000000001" customHeight="1" x14ac:dyDescent="0.25">
      <c r="A25" s="702" t="s">
        <v>209</v>
      </c>
      <c r="B25" s="702"/>
      <c r="C25" s="244"/>
      <c r="D25" s="244"/>
      <c r="E25" s="245"/>
      <c r="F25" s="247">
        <f>Dados!G40</f>
        <v>0</v>
      </c>
      <c r="G25" s="229"/>
      <c r="H25" s="229"/>
      <c r="I25" s="247"/>
      <c r="J25" s="230"/>
    </row>
    <row r="26" spans="1:12" ht="20.100000000000001" customHeight="1" x14ac:dyDescent="0.25">
      <c r="A26" s="702" t="s">
        <v>467</v>
      </c>
      <c r="B26" s="702"/>
      <c r="C26" s="244"/>
      <c r="D26" s="245"/>
      <c r="E26" s="245"/>
      <c r="F26" s="229">
        <f>Dados!O10</f>
        <v>776.94</v>
      </c>
      <c r="G26" s="229"/>
      <c r="H26" s="229"/>
      <c r="I26" s="229"/>
      <c r="J26" s="230"/>
      <c r="L26" s="248"/>
    </row>
    <row r="27" spans="1:12" ht="20.100000000000001" customHeight="1" x14ac:dyDescent="0.25">
      <c r="A27" s="242" t="s">
        <v>468</v>
      </c>
      <c r="B27" s="249"/>
      <c r="C27" s="244"/>
      <c r="D27" s="245"/>
      <c r="E27" s="245"/>
      <c r="F27" s="229"/>
      <c r="G27" s="229"/>
      <c r="H27" s="229"/>
      <c r="I27" s="229"/>
      <c r="J27" s="230"/>
    </row>
    <row r="28" spans="1:12" ht="20.100000000000001" customHeight="1" x14ac:dyDescent="0.25">
      <c r="A28" s="710" t="s">
        <v>469</v>
      </c>
      <c r="B28" s="710"/>
      <c r="C28" s="250"/>
      <c r="D28" s="251"/>
      <c r="E28" s="251"/>
      <c r="F28" s="235">
        <f>Dados!P10</f>
        <v>0.9</v>
      </c>
      <c r="G28" s="235">
        <f>F28</f>
        <v>0.9</v>
      </c>
      <c r="H28" s="235"/>
      <c r="I28" s="235"/>
      <c r="J28" s="236"/>
    </row>
    <row r="29" spans="1:12" ht="20.100000000000001" customHeight="1" x14ac:dyDescent="0.25">
      <c r="A29" s="711" t="s">
        <v>470</v>
      </c>
      <c r="B29" s="711"/>
      <c r="C29" s="711"/>
      <c r="D29" s="711"/>
      <c r="E29" s="711"/>
      <c r="F29" s="240">
        <f>SUM(F19:F28)</f>
        <v>1396.8200000000002</v>
      </c>
      <c r="G29" s="240">
        <f>SUM(G19:G28)</f>
        <v>619.88</v>
      </c>
      <c r="H29" s="240">
        <f>SUM(H19:H28)</f>
        <v>460.06</v>
      </c>
      <c r="I29" s="240">
        <f>SUM(I19:I28)</f>
        <v>81.349999999999994</v>
      </c>
      <c r="J29" s="241">
        <f>SUM(J19:J28)</f>
        <v>0</v>
      </c>
    </row>
    <row r="30" spans="1:12" ht="20.100000000000001" customHeight="1" x14ac:dyDescent="0.25">
      <c r="A30" s="711" t="s">
        <v>471</v>
      </c>
      <c r="B30" s="711"/>
      <c r="C30" s="711"/>
      <c r="D30" s="711"/>
      <c r="E30" s="711"/>
      <c r="F30" s="240">
        <f>F16+F29</f>
        <v>4838.59</v>
      </c>
      <c r="G30" s="240">
        <f>G16+G29</f>
        <v>4061.65</v>
      </c>
      <c r="H30" s="240">
        <f>H16+H29</f>
        <v>460.06</v>
      </c>
      <c r="I30" s="240">
        <f>I16+I29</f>
        <v>81.349999999999994</v>
      </c>
      <c r="J30" s="241">
        <f>J16+J29</f>
        <v>945.38</v>
      </c>
    </row>
    <row r="31" spans="1:12" ht="20.100000000000001" customHeight="1" x14ac:dyDescent="0.25">
      <c r="A31" s="712" t="s">
        <v>472</v>
      </c>
      <c r="B31" s="712"/>
      <c r="C31" s="712"/>
      <c r="D31" s="712"/>
      <c r="E31" s="712"/>
      <c r="F31" s="712"/>
      <c r="G31" s="712"/>
      <c r="H31" s="712"/>
      <c r="I31" s="712"/>
      <c r="J31" s="712"/>
    </row>
    <row r="32" spans="1:12" ht="20.100000000000001" customHeight="1" x14ac:dyDescent="0.25">
      <c r="A32" s="707" t="s">
        <v>473</v>
      </c>
      <c r="B32" s="707"/>
      <c r="C32" s="707"/>
      <c r="D32" s="252" t="s">
        <v>375</v>
      </c>
      <c r="E32" s="708" t="s">
        <v>352</v>
      </c>
      <c r="F32" s="708"/>
      <c r="G32" s="708"/>
      <c r="H32" s="708"/>
      <c r="I32" s="708"/>
      <c r="J32" s="708"/>
    </row>
    <row r="33" spans="1:12" ht="20.100000000000001" customHeight="1" x14ac:dyDescent="0.25">
      <c r="A33" s="253" t="s">
        <v>474</v>
      </c>
      <c r="B33" s="254"/>
      <c r="C33" s="254"/>
      <c r="D33" s="255">
        <f>Dados!$G$43</f>
        <v>0.03</v>
      </c>
      <c r="E33" s="256"/>
      <c r="F33" s="229">
        <f>ROUND((F30*$D$33),2)</f>
        <v>145.16</v>
      </c>
      <c r="G33" s="229">
        <f>ROUND((G30*$D$33),2)</f>
        <v>121.85</v>
      </c>
      <c r="H33" s="229">
        <f>ROUND((H30*$D$33),2)</f>
        <v>13.8</v>
      </c>
      <c r="I33" s="229">
        <f>ROUND((I30*$D$33),2)</f>
        <v>2.44</v>
      </c>
      <c r="J33" s="230">
        <f>ROUND((J30*$D$33),2)</f>
        <v>28.36</v>
      </c>
    </row>
    <row r="34" spans="1:12" ht="20.100000000000001" customHeight="1" x14ac:dyDescent="0.25">
      <c r="A34" s="699" t="s">
        <v>475</v>
      </c>
      <c r="B34" s="699"/>
      <c r="C34" s="699"/>
      <c r="D34" s="255"/>
      <c r="E34" s="256"/>
      <c r="F34" s="229">
        <f>F30+F33</f>
        <v>4983.75</v>
      </c>
      <c r="G34" s="229">
        <f>G30+G33</f>
        <v>4183.5</v>
      </c>
      <c r="H34" s="229">
        <f>H30+H33</f>
        <v>473.86</v>
      </c>
      <c r="I34" s="229">
        <f>I30+I33</f>
        <v>83.789999999999992</v>
      </c>
      <c r="J34" s="230">
        <f>J30+J33</f>
        <v>973.74</v>
      </c>
    </row>
    <row r="35" spans="1:12" ht="20.100000000000001" customHeight="1" x14ac:dyDescent="0.25">
      <c r="A35" s="257" t="s">
        <v>214</v>
      </c>
      <c r="B35" s="258"/>
      <c r="C35" s="258"/>
      <c r="D35" s="259">
        <f>Dados!$G$44</f>
        <v>6.7900000000000002E-2</v>
      </c>
      <c r="E35" s="260"/>
      <c r="F35" s="235">
        <f>ROUND((F34*$D$35),2)</f>
        <v>338.4</v>
      </c>
      <c r="G35" s="235">
        <f>ROUND((G34*$D$35),2)</f>
        <v>284.06</v>
      </c>
      <c r="H35" s="235">
        <f>ROUND((H34*$D$35),2)</f>
        <v>32.18</v>
      </c>
      <c r="I35" s="235">
        <f>ROUND((I34*$D$35),2)</f>
        <v>5.69</v>
      </c>
      <c r="J35" s="236">
        <f>ROUND((J34*$D$35),2)</f>
        <v>66.12</v>
      </c>
    </row>
    <row r="36" spans="1:12" ht="20.100000000000001" customHeight="1" x14ac:dyDescent="0.25">
      <c r="A36" s="261" t="s">
        <v>476</v>
      </c>
      <c r="B36" s="262"/>
      <c r="C36" s="262"/>
      <c r="D36" s="263">
        <f>SUM(D33:D35)</f>
        <v>9.7900000000000001E-2</v>
      </c>
      <c r="E36" s="264"/>
      <c r="F36" s="240">
        <f>F33+F35</f>
        <v>483.55999999999995</v>
      </c>
      <c r="G36" s="240">
        <f>G33+G35</f>
        <v>405.90999999999997</v>
      </c>
      <c r="H36" s="240">
        <f>H33+H35</f>
        <v>45.980000000000004</v>
      </c>
      <c r="I36" s="240">
        <f>I33+I35</f>
        <v>8.1300000000000008</v>
      </c>
      <c r="J36" s="241">
        <f>J33+J35</f>
        <v>94.48</v>
      </c>
    </row>
    <row r="37" spans="1:12" ht="20.100000000000001" customHeight="1" x14ac:dyDescent="0.25">
      <c r="A37" s="700" t="s">
        <v>477</v>
      </c>
      <c r="B37" s="700"/>
      <c r="C37" s="700"/>
      <c r="D37" s="700"/>
      <c r="E37" s="700"/>
      <c r="F37" s="265">
        <f>F30+F36</f>
        <v>5322.15</v>
      </c>
      <c r="G37" s="265">
        <f>G30+G36</f>
        <v>4467.5600000000004</v>
      </c>
      <c r="H37" s="265">
        <f>H30+H36</f>
        <v>506.04</v>
      </c>
      <c r="I37" s="265">
        <f>I30+I36</f>
        <v>89.47999999999999</v>
      </c>
      <c r="J37" s="266">
        <f>J30+J36</f>
        <v>1039.8599999999999</v>
      </c>
    </row>
    <row r="38" spans="1:12" ht="20.100000000000001" customHeight="1" x14ac:dyDescent="0.25">
      <c r="A38" s="701" t="s">
        <v>478</v>
      </c>
      <c r="B38" s="701"/>
      <c r="C38" s="701"/>
      <c r="D38" s="701"/>
      <c r="E38" s="701"/>
      <c r="F38" s="701"/>
      <c r="G38" s="701"/>
      <c r="H38" s="701"/>
      <c r="I38" s="701"/>
      <c r="J38" s="701"/>
    </row>
    <row r="39" spans="1:12" ht="20.100000000000001" customHeight="1" x14ac:dyDescent="0.25">
      <c r="A39" s="702" t="s">
        <v>220</v>
      </c>
      <c r="B39" s="702"/>
      <c r="C39" s="702"/>
      <c r="D39" s="255">
        <f>Dados!G51</f>
        <v>7.5999999999999998E-2</v>
      </c>
      <c r="E39" s="267"/>
      <c r="F39" s="229">
        <f>ROUND(($F$45*D39),2)</f>
        <v>466.26</v>
      </c>
      <c r="G39" s="229">
        <f>ROUND((G45*$D$39),2)</f>
        <v>391.39</v>
      </c>
      <c r="H39" s="229">
        <f>ROUND((H45*$D$39),2)</f>
        <v>38.46</v>
      </c>
      <c r="I39" s="229">
        <f>ROUND((I45*$D$39),2)</f>
        <v>7.84</v>
      </c>
      <c r="J39" s="230">
        <f>ROUND((J45*$D$39),2)</f>
        <v>91.1</v>
      </c>
    </row>
    <row r="40" spans="1:12" ht="20.100000000000001" customHeight="1" x14ac:dyDescent="0.25">
      <c r="A40" s="702" t="s">
        <v>222</v>
      </c>
      <c r="B40" s="702"/>
      <c r="C40" s="702"/>
      <c r="D40" s="255">
        <f>Dados!G52</f>
        <v>1.6500000000000001E-2</v>
      </c>
      <c r="E40" s="267"/>
      <c r="F40" s="229">
        <f>ROUND((F45*$D$40),2)</f>
        <v>101.23</v>
      </c>
      <c r="G40" s="229">
        <f>ROUND((G45*$D$40),2)</f>
        <v>84.97</v>
      </c>
      <c r="H40" s="229">
        <f>ROUND((H45*$D$40),2)</f>
        <v>8.35</v>
      </c>
      <c r="I40" s="229">
        <f>ROUND((I45*$D$40),2)</f>
        <v>1.7</v>
      </c>
      <c r="J40" s="230">
        <f>ROUND((J45*$D$40),2)</f>
        <v>19.78</v>
      </c>
    </row>
    <row r="41" spans="1:12" ht="20.100000000000001" customHeight="1" x14ac:dyDescent="0.25">
      <c r="A41" s="702" t="s">
        <v>223</v>
      </c>
      <c r="B41" s="702"/>
      <c r="C41" s="702"/>
      <c r="D41" s="255">
        <f>Dados!G53</f>
        <v>0.04</v>
      </c>
      <c r="E41" s="267"/>
      <c r="F41" s="229">
        <f>ROUND((F45*$D$41),2)</f>
        <v>245.4</v>
      </c>
      <c r="G41" s="229">
        <f>ROUND((G45*$D$41),2)</f>
        <v>206</v>
      </c>
      <c r="H41" s="229">
        <f>ROUND((H45*$D$41),2)</f>
        <v>20.239999999999998</v>
      </c>
      <c r="I41" s="229">
        <f>ROUND((I45*$D$41),2)</f>
        <v>4.13</v>
      </c>
      <c r="J41" s="230">
        <f>ROUND((J45*$D$41),2)</f>
        <v>47.95</v>
      </c>
    </row>
    <row r="42" spans="1:12" ht="20.100000000000001" customHeight="1" x14ac:dyDescent="0.25">
      <c r="A42" s="702" t="s">
        <v>209</v>
      </c>
      <c r="B42" s="702"/>
      <c r="C42" s="702"/>
      <c r="D42" s="255">
        <f>Dados!G54</f>
        <v>0</v>
      </c>
      <c r="E42" s="267"/>
      <c r="F42" s="229">
        <f>ROUND((F45*$D$42),2)</f>
        <v>0</v>
      </c>
      <c r="G42" s="229">
        <f>ROUND((G45*$D$42),2)</f>
        <v>0</v>
      </c>
      <c r="H42" s="229">
        <f>ROUND((H45*$D$42),2)</f>
        <v>0</v>
      </c>
      <c r="I42" s="229">
        <f>ROUND((I45*$D$42),2)</f>
        <v>0</v>
      </c>
      <c r="J42" s="230">
        <f>ROUND((J45*$D$42),2)</f>
        <v>0</v>
      </c>
    </row>
    <row r="43" spans="1:12" ht="20.100000000000001" customHeight="1" x14ac:dyDescent="0.25">
      <c r="A43" s="703" t="s">
        <v>479</v>
      </c>
      <c r="B43" s="703"/>
      <c r="C43" s="703"/>
      <c r="D43" s="268">
        <f>SUM(D39:D42)</f>
        <v>0.13250000000000001</v>
      </c>
      <c r="E43" s="269"/>
      <c r="F43" s="270">
        <f>SUM(F39:F42)</f>
        <v>812.89</v>
      </c>
      <c r="G43" s="270">
        <f>SUM(G39:G42)</f>
        <v>682.36</v>
      </c>
      <c r="H43" s="270">
        <f>SUM(H39:H42)</f>
        <v>67.05</v>
      </c>
      <c r="I43" s="270">
        <f>SUM(I39:I42)</f>
        <v>13.669999999999998</v>
      </c>
      <c r="J43" s="271">
        <f>SUM(J39:J41)</f>
        <v>158.82999999999998</v>
      </c>
    </row>
    <row r="44" spans="1:12" ht="20.100000000000001" customHeight="1" x14ac:dyDescent="0.25">
      <c r="A44" s="704" t="str">
        <f>CONCATENATE("Custo Mensal - ",A7)</f>
        <v>Custo Mensal - Servente de Limpeza (40%)</v>
      </c>
      <c r="B44" s="704"/>
      <c r="C44" s="704"/>
      <c r="D44" s="704"/>
      <c r="E44" s="704"/>
      <c r="F44" s="272">
        <f>ROUND(F37/(1-D43),2)</f>
        <v>6135.04</v>
      </c>
      <c r="G44" s="272">
        <f>ROUND(G37/(1-D43),2)</f>
        <v>5149.93</v>
      </c>
      <c r="H44" s="272">
        <f>ROUND(H37/(1-C43),2)</f>
        <v>506.04</v>
      </c>
      <c r="I44" s="272">
        <f>ROUND(I37/(1-D43),2)</f>
        <v>103.15</v>
      </c>
      <c r="J44" s="273">
        <f>ROUND(J37/(1-D43),2)</f>
        <v>1198.69</v>
      </c>
    </row>
    <row r="45" spans="1:12" ht="20.100000000000001" customHeight="1" x14ac:dyDescent="0.25">
      <c r="A45" s="705" t="str">
        <f>CONCATENATE("Valor do Custo Mensal - ",A7)</f>
        <v>Valor do Custo Mensal - Servente de Limpeza (40%)</v>
      </c>
      <c r="B45" s="705"/>
      <c r="C45" s="705"/>
      <c r="D45" s="705"/>
      <c r="E45" s="705"/>
      <c r="F45" s="272">
        <f>F44</f>
        <v>6135.04</v>
      </c>
      <c r="G45" s="272">
        <f>G44</f>
        <v>5149.93</v>
      </c>
      <c r="H45" s="272">
        <f>H44</f>
        <v>506.04</v>
      </c>
      <c r="I45" s="272">
        <f>I44</f>
        <v>103.15</v>
      </c>
      <c r="J45" s="273">
        <f>J44</f>
        <v>1198.69</v>
      </c>
      <c r="K45" s="274"/>
      <c r="L45" s="274"/>
    </row>
    <row r="46" spans="1:12" ht="27.75" customHeight="1" x14ac:dyDescent="0.25">
      <c r="A46" s="706" t="s">
        <v>480</v>
      </c>
      <c r="B46" s="706"/>
      <c r="C46" s="706"/>
      <c r="D46" s="706"/>
      <c r="E46" s="706"/>
      <c r="F46" s="275">
        <f>(F45/F14)</f>
        <v>3.1916097885799899</v>
      </c>
      <c r="G46" s="275">
        <f>(G45/G14)</f>
        <v>2.6791295571832863</v>
      </c>
      <c r="H46" s="698" t="s">
        <v>481</v>
      </c>
      <c r="I46" s="698"/>
      <c r="J46" s="276">
        <f>ROUND((J45/30),2)</f>
        <v>39.96</v>
      </c>
    </row>
    <row r="47" spans="1:12" ht="20.100000000000001" customHeight="1" x14ac:dyDescent="0.25"/>
  </sheetData>
  <sheetProtection password="C494"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ageMargins left="0.51180555555555496" right="0.51180555555555496" top="0.78749999999999998" bottom="0.78749999999999998" header="0.51180555555555496" footer="0.51180555555555496"/>
  <pageSetup paperSize="9" scale="67"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D9D9D9"/>
  </sheetPr>
  <dimension ref="A1:AMJ47"/>
  <sheetViews>
    <sheetView showGridLines="0" zoomScaleNormal="100" workbookViewId="0">
      <selection activeCell="E11" sqref="E11"/>
    </sheetView>
  </sheetViews>
  <sheetFormatPr defaultColWidth="9.140625" defaultRowHeight="15" x14ac:dyDescent="0.25"/>
  <cols>
    <col min="1" max="1" width="10.5703125" style="80" customWidth="1"/>
    <col min="2" max="2" width="27.7109375" style="80" customWidth="1"/>
    <col min="3" max="3" width="14.42578125" style="80" customWidth="1"/>
    <col min="4" max="5" width="15" style="80" customWidth="1"/>
    <col min="6" max="6" width="16.7109375" style="211" customWidth="1"/>
    <col min="7" max="8" width="13.140625" style="211" customWidth="1"/>
    <col min="9" max="10" width="12.5703125" style="211" customWidth="1"/>
    <col min="11" max="257" width="9.140625" style="80"/>
    <col min="258" max="258" width="10.5703125" style="80" customWidth="1"/>
    <col min="259" max="259" width="27.7109375" style="80" customWidth="1"/>
    <col min="260" max="260" width="14.42578125" style="80" customWidth="1"/>
    <col min="261" max="262" width="15" style="80" customWidth="1"/>
    <col min="263" max="263" width="16.7109375" style="80" customWidth="1"/>
    <col min="264" max="264" width="13.140625" style="80" customWidth="1"/>
    <col min="265" max="266" width="12.5703125" style="80" customWidth="1"/>
    <col min="267" max="513" width="9.140625" style="80"/>
    <col min="514" max="514" width="10.5703125" style="80" customWidth="1"/>
    <col min="515" max="515" width="27.7109375" style="80" customWidth="1"/>
    <col min="516" max="516" width="14.42578125" style="80" customWidth="1"/>
    <col min="517" max="518" width="15" style="80" customWidth="1"/>
    <col min="519" max="519" width="16.7109375" style="80" customWidth="1"/>
    <col min="520" max="520" width="13.140625" style="80" customWidth="1"/>
    <col min="521" max="522" width="12.5703125" style="80" customWidth="1"/>
    <col min="523" max="769" width="9.140625" style="80"/>
    <col min="770" max="770" width="10.5703125" style="80" customWidth="1"/>
    <col min="771" max="771" width="27.7109375" style="80" customWidth="1"/>
    <col min="772" max="772" width="14.42578125" style="80" customWidth="1"/>
    <col min="773" max="774" width="15" style="80" customWidth="1"/>
    <col min="775" max="775" width="16.7109375" style="80" customWidth="1"/>
    <col min="776" max="776" width="13.140625" style="80" customWidth="1"/>
    <col min="777" max="778" width="12.5703125" style="80" customWidth="1"/>
    <col min="779" max="1024" width="9.140625" style="80"/>
  </cols>
  <sheetData>
    <row r="1" spans="1:10" x14ac:dyDescent="0.25">
      <c r="A1" s="212"/>
      <c r="B1" s="77" t="str">
        <f>INSTRUÇÕES!B1</f>
        <v>Tribunal Regional Federal da 6ª Região</v>
      </c>
      <c r="C1" s="213"/>
      <c r="D1" s="213"/>
      <c r="E1" s="213"/>
      <c r="F1" s="214"/>
      <c r="G1" s="215"/>
      <c r="H1" s="215"/>
      <c r="I1" s="214"/>
      <c r="J1" s="216"/>
    </row>
    <row r="2" spans="1:10" x14ac:dyDescent="0.25">
      <c r="A2" s="217"/>
      <c r="B2" s="79" t="str">
        <f>INSTRUÇÕES!B2</f>
        <v>Seção Judiciária de Minas Gerais</v>
      </c>
      <c r="C2" s="218"/>
      <c r="D2" s="218"/>
      <c r="E2" s="218"/>
      <c r="F2" s="219"/>
      <c r="I2" s="219"/>
      <c r="J2" s="220"/>
    </row>
    <row r="3" spans="1:10" x14ac:dyDescent="0.25">
      <c r="A3" s="221"/>
      <c r="B3" s="222" t="str">
        <f>INSTRUÇÕES!B3</f>
        <v>Subseção Judiciária de Janaúba</v>
      </c>
      <c r="C3" s="218"/>
      <c r="D3" s="218"/>
      <c r="E3" s="218"/>
      <c r="F3" s="219"/>
      <c r="I3" s="219"/>
      <c r="J3" s="220"/>
    </row>
    <row r="4" spans="1:10" ht="20.100000000000001" customHeight="1" x14ac:dyDescent="0.25">
      <c r="A4" s="723" t="s">
        <v>446</v>
      </c>
      <c r="B4" s="723"/>
      <c r="C4" s="723"/>
      <c r="D4" s="723"/>
      <c r="E4" s="723"/>
      <c r="F4" s="723"/>
      <c r="G4" s="723"/>
      <c r="H4" s="723"/>
      <c r="I4" s="723"/>
      <c r="J4" s="723"/>
    </row>
    <row r="5" spans="1:10" ht="20.100000000000001" customHeight="1" x14ac:dyDescent="0.25">
      <c r="A5" s="724" t="s">
        <v>261</v>
      </c>
      <c r="B5" s="724"/>
      <c r="C5" s="724"/>
      <c r="D5" s="724"/>
      <c r="E5" s="724"/>
      <c r="F5" s="724"/>
      <c r="G5" s="724"/>
      <c r="H5" s="724"/>
      <c r="I5" s="724"/>
      <c r="J5" s="724"/>
    </row>
    <row r="6" spans="1:10" ht="36" customHeight="1" x14ac:dyDescent="0.25">
      <c r="A6" s="725" t="str">
        <f>Dados!A4</f>
        <v>Sindicato utilizado - SETHAC. Vigência: 01/01/2023 à 31/12/2023. Sendo a data base da categoria 01º Janeiro. Com número de registro no MTE MG003959/2023.</v>
      </c>
      <c r="B6" s="725"/>
      <c r="C6" s="725"/>
      <c r="D6" s="725"/>
      <c r="E6" s="725"/>
      <c r="F6" s="725"/>
      <c r="G6" s="725"/>
      <c r="H6" s="725"/>
      <c r="I6" s="725"/>
      <c r="J6" s="725"/>
    </row>
    <row r="7" spans="1:10" ht="20.100000000000001" customHeight="1" x14ac:dyDescent="0.25">
      <c r="A7" s="726" t="str">
        <f>Dados!C9</f>
        <v>Servente de Limpeza</v>
      </c>
      <c r="B7" s="726"/>
      <c r="C7" s="726"/>
      <c r="D7" s="726"/>
      <c r="E7" s="726"/>
      <c r="F7" s="727" t="s">
        <v>447</v>
      </c>
      <c r="G7" s="727" t="s">
        <v>448</v>
      </c>
      <c r="H7" s="727" t="s">
        <v>449</v>
      </c>
      <c r="I7" s="727" t="s">
        <v>450</v>
      </c>
      <c r="J7" s="727" t="s">
        <v>451</v>
      </c>
    </row>
    <row r="8" spans="1:10" ht="20.100000000000001" customHeight="1" x14ac:dyDescent="0.25">
      <c r="A8" s="728" t="s">
        <v>452</v>
      </c>
      <c r="B8" s="728"/>
      <c r="C8" s="728"/>
      <c r="D8" s="728"/>
      <c r="E8" s="223" t="s">
        <v>348</v>
      </c>
      <c r="F8" s="727"/>
      <c r="G8" s="727"/>
      <c r="H8" s="727"/>
      <c r="I8" s="727"/>
      <c r="J8" s="727"/>
    </row>
    <row r="9" spans="1:10" ht="20.100000000000001" customHeight="1" x14ac:dyDescent="0.25">
      <c r="A9" s="712" t="s">
        <v>453</v>
      </c>
      <c r="B9" s="712"/>
      <c r="C9" s="712"/>
      <c r="D9" s="712"/>
      <c r="E9" s="712"/>
      <c r="F9" s="712"/>
      <c r="G9" s="712"/>
      <c r="H9" s="712"/>
      <c r="I9" s="712"/>
      <c r="J9" s="712"/>
    </row>
    <row r="10" spans="1:10" ht="24" customHeight="1" x14ac:dyDescent="0.25">
      <c r="A10" s="224" t="s">
        <v>349</v>
      </c>
      <c r="B10" s="713" t="s">
        <v>454</v>
      </c>
      <c r="C10" s="713"/>
      <c r="D10" s="225" t="s">
        <v>455</v>
      </c>
      <c r="E10" s="226" t="s">
        <v>456</v>
      </c>
      <c r="F10" s="714" t="s">
        <v>352</v>
      </c>
      <c r="G10" s="714"/>
      <c r="H10" s="714"/>
      <c r="I10" s="714"/>
      <c r="J10" s="714"/>
    </row>
    <row r="11" spans="1:10" ht="20.100000000000001" customHeight="1" x14ac:dyDescent="0.25">
      <c r="A11" s="715">
        <v>1</v>
      </c>
      <c r="B11" s="716" t="str">
        <f>A7</f>
        <v>Servente de Limpeza</v>
      </c>
      <c r="C11" s="716"/>
      <c r="D11" s="227">
        <f>Dados!D9</f>
        <v>150</v>
      </c>
      <c r="E11" s="228">
        <f>Dados!E9</f>
        <v>1394.24</v>
      </c>
      <c r="F11" s="229">
        <f>ROUND(E11/220*D11,2)</f>
        <v>950.62</v>
      </c>
      <c r="G11" s="229">
        <f>F11</f>
        <v>950.62</v>
      </c>
      <c r="H11" s="229"/>
      <c r="I11" s="229"/>
      <c r="J11" s="230"/>
    </row>
    <row r="12" spans="1:10" ht="20.100000000000001" customHeight="1" x14ac:dyDescent="0.25">
      <c r="A12" s="715"/>
      <c r="B12" s="716" t="s">
        <v>457</v>
      </c>
      <c r="C12" s="716"/>
      <c r="D12" s="277">
        <f>Dados!G9</f>
        <v>0</v>
      </c>
      <c r="E12" s="228">
        <f>Dados!G27</f>
        <v>1320</v>
      </c>
      <c r="F12" s="229">
        <f>D12*E12</f>
        <v>0</v>
      </c>
      <c r="G12" s="229">
        <f>F12</f>
        <v>0</v>
      </c>
      <c r="H12" s="229"/>
      <c r="I12" s="229"/>
      <c r="J12" s="230">
        <f>F12</f>
        <v>0</v>
      </c>
    </row>
    <row r="13" spans="1:10" ht="21" customHeight="1" x14ac:dyDescent="0.25">
      <c r="A13" s="715"/>
      <c r="B13" s="232" t="s">
        <v>458</v>
      </c>
      <c r="C13" s="233">
        <f>Dados!I9</f>
        <v>0</v>
      </c>
      <c r="D13" s="233">
        <f>Dados!J9</f>
        <v>0</v>
      </c>
      <c r="E13" s="234">
        <f>Dados!K9</f>
        <v>0</v>
      </c>
      <c r="F13" s="235">
        <f>ROUND((E13*D13*C13),2)</f>
        <v>0</v>
      </c>
      <c r="G13" s="235">
        <f>F13</f>
        <v>0</v>
      </c>
      <c r="H13" s="235"/>
      <c r="I13" s="235"/>
      <c r="J13" s="236"/>
    </row>
    <row r="14" spans="1:10" ht="20.100000000000001" customHeight="1" x14ac:dyDescent="0.25">
      <c r="A14" s="715"/>
      <c r="B14" s="717" t="s">
        <v>459</v>
      </c>
      <c r="C14" s="717"/>
      <c r="D14" s="717"/>
      <c r="E14" s="717"/>
      <c r="F14" s="237">
        <f>SUM(F11:F13)</f>
        <v>950.62</v>
      </c>
      <c r="G14" s="237">
        <f>SUM(G11:G13)</f>
        <v>950.62</v>
      </c>
      <c r="H14" s="237">
        <f>SUM(H11:H13)</f>
        <v>0</v>
      </c>
      <c r="I14" s="237">
        <f>SUM(I11:I13)</f>
        <v>0</v>
      </c>
      <c r="J14" s="238">
        <f>SUM(J11:J13)</f>
        <v>0</v>
      </c>
    </row>
    <row r="15" spans="1:10" ht="20.100000000000001" customHeight="1" x14ac:dyDescent="0.25">
      <c r="A15" s="715"/>
      <c r="B15" s="718" t="s">
        <v>460</v>
      </c>
      <c r="C15" s="718"/>
      <c r="D15" s="718"/>
      <c r="E15" s="239">
        <f>Encargos!$C$57</f>
        <v>0.79049999999999998</v>
      </c>
      <c r="F15" s="229">
        <f>ROUND((E15*F14),2)</f>
        <v>751.47</v>
      </c>
      <c r="G15" s="229">
        <f>F15</f>
        <v>751.47</v>
      </c>
      <c r="H15" s="229"/>
      <c r="I15" s="229"/>
      <c r="J15" s="230">
        <f>ROUND((E15*J14),2)</f>
        <v>0</v>
      </c>
    </row>
    <row r="16" spans="1:10" ht="20.100000000000001" customHeight="1" x14ac:dyDescent="0.25">
      <c r="A16" s="719" t="s">
        <v>461</v>
      </c>
      <c r="B16" s="719"/>
      <c r="C16" s="719"/>
      <c r="D16" s="719"/>
      <c r="E16" s="719"/>
      <c r="F16" s="240">
        <f>SUM(F14:F15)</f>
        <v>1702.0900000000001</v>
      </c>
      <c r="G16" s="240">
        <f>SUM(G14:G15)</f>
        <v>1702.0900000000001</v>
      </c>
      <c r="H16" s="240">
        <f>SUM(H14:H15)</f>
        <v>0</v>
      </c>
      <c r="I16" s="240">
        <f>SUM(I14:I15)</f>
        <v>0</v>
      </c>
      <c r="J16" s="241">
        <f>SUM(J14:J15)</f>
        <v>0</v>
      </c>
    </row>
    <row r="17" spans="1:12" ht="20.100000000000001" customHeight="1" x14ac:dyDescent="0.25">
      <c r="A17" s="720" t="s">
        <v>462</v>
      </c>
      <c r="B17" s="720"/>
      <c r="C17" s="720"/>
      <c r="D17" s="720"/>
      <c r="E17" s="720"/>
      <c r="F17" s="720"/>
      <c r="G17" s="720"/>
      <c r="H17" s="720"/>
      <c r="I17" s="720"/>
      <c r="J17" s="720"/>
    </row>
    <row r="18" spans="1:12" ht="20.100000000000001" customHeight="1" x14ac:dyDescent="0.25">
      <c r="A18" s="707" t="s">
        <v>463</v>
      </c>
      <c r="B18" s="707"/>
      <c r="C18" s="210" t="s">
        <v>351</v>
      </c>
      <c r="D18" s="721" t="s">
        <v>464</v>
      </c>
      <c r="E18" s="721"/>
      <c r="F18" s="722" t="s">
        <v>352</v>
      </c>
      <c r="G18" s="722"/>
      <c r="H18" s="722"/>
      <c r="I18" s="722"/>
      <c r="J18" s="722"/>
    </row>
    <row r="19" spans="1:12" ht="20.100000000000001" customHeight="1" x14ac:dyDescent="0.25">
      <c r="A19" s="702" t="s">
        <v>465</v>
      </c>
      <c r="B19" s="702"/>
      <c r="C19" s="243"/>
      <c r="D19" s="243"/>
      <c r="E19" s="243"/>
      <c r="F19" s="229">
        <f>Dados!N9</f>
        <v>32.36</v>
      </c>
      <c r="G19" s="229">
        <f>F19</f>
        <v>32.36</v>
      </c>
      <c r="H19" s="229"/>
      <c r="I19" s="229"/>
      <c r="J19" s="230"/>
    </row>
    <row r="20" spans="1:12" ht="20.100000000000001" customHeight="1" x14ac:dyDescent="0.25">
      <c r="A20" s="702" t="s">
        <v>466</v>
      </c>
      <c r="B20" s="702"/>
      <c r="C20" s="243"/>
      <c r="D20" s="243"/>
      <c r="E20" s="243"/>
      <c r="F20" s="229">
        <f>Dados!G30</f>
        <v>1.55</v>
      </c>
      <c r="G20" s="229">
        <f>F20</f>
        <v>1.55</v>
      </c>
      <c r="H20" s="229"/>
      <c r="I20" s="229"/>
      <c r="J20" s="230"/>
    </row>
    <row r="21" spans="1:12" ht="23.85" customHeight="1" x14ac:dyDescent="0.25">
      <c r="A21" s="709" t="s">
        <v>196</v>
      </c>
      <c r="B21" s="709"/>
      <c r="C21" s="243"/>
      <c r="D21" s="243"/>
      <c r="E21" s="243"/>
      <c r="F21" s="229">
        <f>Dados!G31</f>
        <v>43.66</v>
      </c>
      <c r="G21" s="229">
        <f>F21</f>
        <v>43.66</v>
      </c>
      <c r="H21" s="229"/>
      <c r="I21" s="229"/>
      <c r="J21" s="230"/>
    </row>
    <row r="22" spans="1:12" ht="20.100000000000001" customHeight="1" x14ac:dyDescent="0.25">
      <c r="A22" s="702" t="s">
        <v>197</v>
      </c>
      <c r="B22" s="702"/>
      <c r="C22" s="244">
        <f>Dados!$G$34</f>
        <v>22</v>
      </c>
      <c r="D22" s="244">
        <f>Dados!$G$33</f>
        <v>2</v>
      </c>
      <c r="E22" s="245">
        <f>Dados!$G$32</f>
        <v>3.75</v>
      </c>
      <c r="F22" s="229">
        <f>IF(ROUND((E22*D22*C22)-(F11*Dados!G35),2)&lt;0,0,ROUND((E22*D22*C22)-(F11*Dados!G35),2))</f>
        <v>107.96</v>
      </c>
      <c r="G22" s="229">
        <f>F22</f>
        <v>107.96</v>
      </c>
      <c r="H22" s="229"/>
      <c r="I22" s="229">
        <f>F22</f>
        <v>107.96</v>
      </c>
      <c r="J22" s="230"/>
    </row>
    <row r="23" spans="1:12" ht="20.100000000000001" customHeight="1" x14ac:dyDescent="0.25">
      <c r="A23" s="702" t="s">
        <v>206</v>
      </c>
      <c r="B23" s="702"/>
      <c r="C23" s="244">
        <f>Dados!G37</f>
        <v>22</v>
      </c>
      <c r="D23" s="246">
        <f>Dados!G38</f>
        <v>0.2</v>
      </c>
      <c r="E23" s="245">
        <f>Dados!G36</f>
        <v>26.14</v>
      </c>
      <c r="F23" s="247">
        <f>ROUND((IF(D11&gt;150,((C23*E23)-(C23*(D23*E23))),0)),2)</f>
        <v>0</v>
      </c>
      <c r="G23" s="229">
        <f>F23</f>
        <v>0</v>
      </c>
      <c r="H23" s="229">
        <f>$F$23</f>
        <v>0</v>
      </c>
      <c r="I23" s="247"/>
      <c r="J23" s="230"/>
    </row>
    <row r="24" spans="1:12" ht="20.100000000000001" customHeight="1" x14ac:dyDescent="0.25">
      <c r="A24" s="702" t="s">
        <v>209</v>
      </c>
      <c r="B24" s="702"/>
      <c r="C24" s="244"/>
      <c r="D24" s="244"/>
      <c r="E24" s="245"/>
      <c r="F24" s="247">
        <f>Dados!G39</f>
        <v>0</v>
      </c>
      <c r="G24" s="229"/>
      <c r="H24" s="229"/>
      <c r="I24" s="247"/>
      <c r="J24" s="230"/>
    </row>
    <row r="25" spans="1:12" ht="20.100000000000001" customHeight="1" x14ac:dyDescent="0.25">
      <c r="A25" s="702" t="s">
        <v>209</v>
      </c>
      <c r="B25" s="702"/>
      <c r="C25" s="244"/>
      <c r="D25" s="244"/>
      <c r="E25" s="245"/>
      <c r="F25" s="247">
        <f>Dados!G40</f>
        <v>0</v>
      </c>
      <c r="G25" s="229"/>
      <c r="H25" s="229"/>
      <c r="I25" s="247"/>
      <c r="J25" s="230"/>
    </row>
    <row r="26" spans="1:12" ht="20.100000000000001" customHeight="1" x14ac:dyDescent="0.25">
      <c r="A26" s="702" t="s">
        <v>467</v>
      </c>
      <c r="B26" s="702"/>
      <c r="C26" s="244"/>
      <c r="D26" s="245"/>
      <c r="E26" s="245"/>
      <c r="F26" s="229">
        <f>Dados!O9</f>
        <v>776.94</v>
      </c>
      <c r="G26" s="229"/>
      <c r="H26" s="229"/>
      <c r="I26" s="229"/>
      <c r="J26" s="230"/>
      <c r="L26" s="248"/>
    </row>
    <row r="27" spans="1:12" ht="20.100000000000001" customHeight="1" x14ac:dyDescent="0.25">
      <c r="A27" s="242" t="s">
        <v>468</v>
      </c>
      <c r="B27" s="249"/>
      <c r="C27" s="244"/>
      <c r="D27" s="245"/>
      <c r="E27" s="245"/>
      <c r="F27" s="229"/>
      <c r="G27" s="229"/>
      <c r="H27" s="229"/>
      <c r="I27" s="229"/>
      <c r="J27" s="230"/>
    </row>
    <row r="28" spans="1:12" ht="20.100000000000001" customHeight="1" x14ac:dyDescent="0.25">
      <c r="A28" s="710" t="s">
        <v>469</v>
      </c>
      <c r="B28" s="710"/>
      <c r="C28" s="250"/>
      <c r="D28" s="251"/>
      <c r="E28" s="251"/>
      <c r="F28" s="235">
        <f>Dados!P9</f>
        <v>0.9</v>
      </c>
      <c r="G28" s="235">
        <f>F28</f>
        <v>0.9</v>
      </c>
      <c r="H28" s="235"/>
      <c r="I28" s="235"/>
      <c r="J28" s="236"/>
    </row>
    <row r="29" spans="1:12" ht="20.100000000000001" customHeight="1" x14ac:dyDescent="0.25">
      <c r="A29" s="711" t="s">
        <v>470</v>
      </c>
      <c r="B29" s="711"/>
      <c r="C29" s="711"/>
      <c r="D29" s="711"/>
      <c r="E29" s="711"/>
      <c r="F29" s="240">
        <f>SUM(F19:F28)</f>
        <v>963.37</v>
      </c>
      <c r="G29" s="240">
        <f>SUM(G19:G28)</f>
        <v>186.42999999999998</v>
      </c>
      <c r="H29" s="240">
        <f>SUM(H19:H28)</f>
        <v>0</v>
      </c>
      <c r="I29" s="240">
        <f>SUM(I19:I28)</f>
        <v>107.96</v>
      </c>
      <c r="J29" s="241">
        <f>SUM(J19:J28)</f>
        <v>0</v>
      </c>
    </row>
    <row r="30" spans="1:12" ht="20.100000000000001" customHeight="1" x14ac:dyDescent="0.25">
      <c r="A30" s="711" t="s">
        <v>471</v>
      </c>
      <c r="B30" s="711"/>
      <c r="C30" s="711"/>
      <c r="D30" s="711"/>
      <c r="E30" s="711"/>
      <c r="F30" s="240">
        <f>F16+F29</f>
        <v>2665.46</v>
      </c>
      <c r="G30" s="240">
        <f>G16+G29</f>
        <v>1888.5200000000002</v>
      </c>
      <c r="H30" s="240">
        <f>H16+H29</f>
        <v>0</v>
      </c>
      <c r="I30" s="240">
        <f>I16+I29</f>
        <v>107.96</v>
      </c>
      <c r="J30" s="241">
        <f>J16+J29</f>
        <v>0</v>
      </c>
    </row>
    <row r="31" spans="1:12" ht="20.100000000000001" customHeight="1" x14ac:dyDescent="0.25">
      <c r="A31" s="712" t="s">
        <v>472</v>
      </c>
      <c r="B31" s="712"/>
      <c r="C31" s="712"/>
      <c r="D31" s="712"/>
      <c r="E31" s="712"/>
      <c r="F31" s="712"/>
      <c r="G31" s="712"/>
      <c r="H31" s="712"/>
      <c r="I31" s="712"/>
      <c r="J31" s="712"/>
    </row>
    <row r="32" spans="1:12" ht="20.100000000000001" customHeight="1" x14ac:dyDescent="0.25">
      <c r="A32" s="707" t="s">
        <v>473</v>
      </c>
      <c r="B32" s="707"/>
      <c r="C32" s="707"/>
      <c r="D32" s="252" t="s">
        <v>375</v>
      </c>
      <c r="E32" s="708" t="s">
        <v>352</v>
      </c>
      <c r="F32" s="708"/>
      <c r="G32" s="708"/>
      <c r="H32" s="708"/>
      <c r="I32" s="708"/>
      <c r="J32" s="708"/>
    </row>
    <row r="33" spans="1:12" ht="20.100000000000001" customHeight="1" x14ac:dyDescent="0.25">
      <c r="A33" s="253" t="s">
        <v>474</v>
      </c>
      <c r="B33" s="254"/>
      <c r="C33" s="254"/>
      <c r="D33" s="255">
        <f>Dados!$G$43</f>
        <v>0.03</v>
      </c>
      <c r="E33" s="256"/>
      <c r="F33" s="229">
        <f>ROUND((F30*$D$33),2)</f>
        <v>79.959999999999994</v>
      </c>
      <c r="G33" s="229">
        <f>ROUND((G30*$D$33),2)</f>
        <v>56.66</v>
      </c>
      <c r="H33" s="229">
        <f>ROUND((H30*$D$33),2)</f>
        <v>0</v>
      </c>
      <c r="I33" s="229">
        <f>ROUND((I30*$D$33),2)</f>
        <v>3.24</v>
      </c>
      <c r="J33" s="230">
        <f>ROUND((J30*$D$33),2)</f>
        <v>0</v>
      </c>
    </row>
    <row r="34" spans="1:12" ht="20.100000000000001" customHeight="1" x14ac:dyDescent="0.25">
      <c r="A34" s="699" t="s">
        <v>475</v>
      </c>
      <c r="B34" s="699"/>
      <c r="C34" s="699"/>
      <c r="D34" s="255"/>
      <c r="E34" s="256"/>
      <c r="F34" s="229">
        <f>F30+F33</f>
        <v>2745.42</v>
      </c>
      <c r="G34" s="229">
        <f>G30+G33</f>
        <v>1945.1800000000003</v>
      </c>
      <c r="H34" s="229">
        <f>H30+H33</f>
        <v>0</v>
      </c>
      <c r="I34" s="229">
        <f>I30+I33</f>
        <v>111.19999999999999</v>
      </c>
      <c r="J34" s="230">
        <f>J30+J33</f>
        <v>0</v>
      </c>
    </row>
    <row r="35" spans="1:12" ht="20.100000000000001" customHeight="1" x14ac:dyDescent="0.25">
      <c r="A35" s="257" t="s">
        <v>214</v>
      </c>
      <c r="B35" s="258"/>
      <c r="C35" s="258"/>
      <c r="D35" s="259">
        <f>Dados!$G$44</f>
        <v>6.7900000000000002E-2</v>
      </c>
      <c r="E35" s="260"/>
      <c r="F35" s="235">
        <f>ROUND((F34*$D$35),2)</f>
        <v>186.41</v>
      </c>
      <c r="G35" s="235">
        <f>ROUND((G34*$D$35),2)</f>
        <v>132.08000000000001</v>
      </c>
      <c r="H35" s="235">
        <f>ROUND((H34*$D$35),2)</f>
        <v>0</v>
      </c>
      <c r="I35" s="235">
        <f>ROUND((I34*$D$35),2)</f>
        <v>7.55</v>
      </c>
      <c r="J35" s="236">
        <f>ROUND((J34*$D$35),2)</f>
        <v>0</v>
      </c>
    </row>
    <row r="36" spans="1:12" ht="20.100000000000001" customHeight="1" x14ac:dyDescent="0.25">
      <c r="A36" s="261" t="s">
        <v>476</v>
      </c>
      <c r="B36" s="262"/>
      <c r="C36" s="262"/>
      <c r="D36" s="263">
        <f>SUM(D33:D35)</f>
        <v>9.7900000000000001E-2</v>
      </c>
      <c r="E36" s="264"/>
      <c r="F36" s="240">
        <f>F33+F35</f>
        <v>266.37</v>
      </c>
      <c r="G36" s="240">
        <f>G33+G35</f>
        <v>188.74</v>
      </c>
      <c r="H36" s="240">
        <f>H33+H35</f>
        <v>0</v>
      </c>
      <c r="I36" s="240">
        <f>I33+I35</f>
        <v>10.79</v>
      </c>
      <c r="J36" s="241">
        <f>J33+J35</f>
        <v>0</v>
      </c>
    </row>
    <row r="37" spans="1:12" ht="20.100000000000001" customHeight="1" x14ac:dyDescent="0.25">
      <c r="A37" s="700" t="s">
        <v>477</v>
      </c>
      <c r="B37" s="700"/>
      <c r="C37" s="700"/>
      <c r="D37" s="700"/>
      <c r="E37" s="700"/>
      <c r="F37" s="265">
        <f>F30+F36</f>
        <v>2931.83</v>
      </c>
      <c r="G37" s="265">
        <f>G30+G36</f>
        <v>2077.2600000000002</v>
      </c>
      <c r="H37" s="265">
        <f>H30+H36</f>
        <v>0</v>
      </c>
      <c r="I37" s="265">
        <f>I30+I36</f>
        <v>118.75</v>
      </c>
      <c r="J37" s="266">
        <f>J30+J36</f>
        <v>0</v>
      </c>
    </row>
    <row r="38" spans="1:12" ht="20.100000000000001" customHeight="1" x14ac:dyDescent="0.25">
      <c r="A38" s="701" t="s">
        <v>478</v>
      </c>
      <c r="B38" s="701"/>
      <c r="C38" s="701"/>
      <c r="D38" s="701"/>
      <c r="E38" s="701"/>
      <c r="F38" s="701"/>
      <c r="G38" s="701"/>
      <c r="H38" s="701"/>
      <c r="I38" s="701"/>
      <c r="J38" s="701"/>
    </row>
    <row r="39" spans="1:12" ht="20.100000000000001" customHeight="1" x14ac:dyDescent="0.25">
      <c r="A39" s="702" t="s">
        <v>220</v>
      </c>
      <c r="B39" s="702"/>
      <c r="C39" s="702"/>
      <c r="D39" s="255">
        <f>Dados!G51</f>
        <v>7.5999999999999998E-2</v>
      </c>
      <c r="E39" s="267"/>
      <c r="F39" s="229">
        <f>ROUND(($F$45*D39),2)</f>
        <v>256.85000000000002</v>
      </c>
      <c r="G39" s="229">
        <f>ROUND((G45*$D$39),2)</f>
        <v>181.99</v>
      </c>
      <c r="H39" s="229">
        <f>ROUND((H45*$D$39),2)</f>
        <v>0</v>
      </c>
      <c r="I39" s="229">
        <f>ROUND((I45*$D$39),2)</f>
        <v>10.4</v>
      </c>
      <c r="J39" s="230">
        <f>ROUND((J45*$D$39),2)</f>
        <v>0</v>
      </c>
    </row>
    <row r="40" spans="1:12" ht="20.100000000000001" customHeight="1" x14ac:dyDescent="0.25">
      <c r="A40" s="702" t="s">
        <v>222</v>
      </c>
      <c r="B40" s="702"/>
      <c r="C40" s="702"/>
      <c r="D40" s="255">
        <f>Dados!G52</f>
        <v>1.6500000000000001E-2</v>
      </c>
      <c r="E40" s="267"/>
      <c r="F40" s="229">
        <f>ROUND((F45*$D$40),2)</f>
        <v>55.76</v>
      </c>
      <c r="G40" s="229">
        <f>ROUND((G45*$D$40),2)</f>
        <v>39.51</v>
      </c>
      <c r="H40" s="229">
        <f>ROUND((H45*$D$40),2)</f>
        <v>0</v>
      </c>
      <c r="I40" s="229">
        <f>ROUND((I45*$D$40),2)</f>
        <v>2.2599999999999998</v>
      </c>
      <c r="J40" s="230">
        <f>ROUND((J45*$D$40),2)</f>
        <v>0</v>
      </c>
    </row>
    <row r="41" spans="1:12" ht="20.100000000000001" customHeight="1" x14ac:dyDescent="0.25">
      <c r="A41" s="702" t="s">
        <v>223</v>
      </c>
      <c r="B41" s="702"/>
      <c r="C41" s="702"/>
      <c r="D41" s="255">
        <f>Dados!G53</f>
        <v>0.04</v>
      </c>
      <c r="E41" s="267"/>
      <c r="F41" s="229">
        <f>ROUND((F45*$D$41),2)</f>
        <v>135.19</v>
      </c>
      <c r="G41" s="229">
        <f>ROUND((G45*$D$41),2)</f>
        <v>95.78</v>
      </c>
      <c r="H41" s="229">
        <f>ROUND((H45*$D$41),2)</f>
        <v>0</v>
      </c>
      <c r="I41" s="229">
        <f>ROUND((I45*$D$41),2)</f>
        <v>5.48</v>
      </c>
      <c r="J41" s="230">
        <f>ROUND((J45*$D$41),2)</f>
        <v>0</v>
      </c>
    </row>
    <row r="42" spans="1:12" ht="20.100000000000001" customHeight="1" x14ac:dyDescent="0.25">
      <c r="A42" s="702" t="s">
        <v>209</v>
      </c>
      <c r="B42" s="702"/>
      <c r="C42" s="702"/>
      <c r="D42" s="255">
        <f>Dados!G54</f>
        <v>0</v>
      </c>
      <c r="E42" s="267"/>
      <c r="F42" s="229">
        <f>ROUND((F45*$D$42),2)</f>
        <v>0</v>
      </c>
      <c r="G42" s="229">
        <f>ROUND((G45*$D$42),2)</f>
        <v>0</v>
      </c>
      <c r="H42" s="229">
        <f>ROUND((H45*$D$42),2)</f>
        <v>0</v>
      </c>
      <c r="I42" s="229">
        <f>ROUND((I45*$D$42),2)</f>
        <v>0</v>
      </c>
      <c r="J42" s="230">
        <f>ROUND((J45*$D$42),2)</f>
        <v>0</v>
      </c>
    </row>
    <row r="43" spans="1:12" ht="20.100000000000001" customHeight="1" x14ac:dyDescent="0.25">
      <c r="A43" s="703" t="s">
        <v>479</v>
      </c>
      <c r="B43" s="703"/>
      <c r="C43" s="703"/>
      <c r="D43" s="268">
        <f>SUM(D39:D42)</f>
        <v>0.13250000000000001</v>
      </c>
      <c r="E43" s="269"/>
      <c r="F43" s="270">
        <f>SUM(F39:F42)</f>
        <v>447.8</v>
      </c>
      <c r="G43" s="270">
        <f>SUM(G39:G42)</f>
        <v>317.27999999999997</v>
      </c>
      <c r="H43" s="270">
        <f>SUM(H39:H42)</f>
        <v>0</v>
      </c>
      <c r="I43" s="270">
        <f>SUM(I39:I42)</f>
        <v>18.14</v>
      </c>
      <c r="J43" s="271">
        <f>SUM(J39:J41)</f>
        <v>0</v>
      </c>
    </row>
    <row r="44" spans="1:12" ht="20.100000000000001" customHeight="1" x14ac:dyDescent="0.25">
      <c r="A44" s="704" t="str">
        <f>CONCATENATE("Custo Mensal - ",A7)</f>
        <v>Custo Mensal - Servente de Limpeza</v>
      </c>
      <c r="B44" s="704"/>
      <c r="C44" s="704"/>
      <c r="D44" s="704"/>
      <c r="E44" s="704"/>
      <c r="F44" s="272">
        <f>ROUND(F37/(1-D43),2)</f>
        <v>3379.63</v>
      </c>
      <c r="G44" s="272">
        <f>ROUND(G37/(1-D43),2)</f>
        <v>2394.54</v>
      </c>
      <c r="H44" s="272">
        <f>ROUND(H37/(1-C43),2)</f>
        <v>0</v>
      </c>
      <c r="I44" s="272">
        <f>ROUND(I37/(1-D43),2)</f>
        <v>136.88999999999999</v>
      </c>
      <c r="J44" s="273">
        <f>ROUND(J37/(1-D43),2)</f>
        <v>0</v>
      </c>
    </row>
    <row r="45" spans="1:12" ht="20.100000000000001" customHeight="1" x14ac:dyDescent="0.25">
      <c r="A45" s="705" t="str">
        <f>CONCATENATE("Valor do Custo Mensal - ",A7)</f>
        <v>Valor do Custo Mensal - Servente de Limpeza</v>
      </c>
      <c r="B45" s="705"/>
      <c r="C45" s="705"/>
      <c r="D45" s="705"/>
      <c r="E45" s="705"/>
      <c r="F45" s="272">
        <f>F44</f>
        <v>3379.63</v>
      </c>
      <c r="G45" s="272">
        <f>G44</f>
        <v>2394.54</v>
      </c>
      <c r="H45" s="272">
        <f>H44</f>
        <v>0</v>
      </c>
      <c r="I45" s="272">
        <f>I44</f>
        <v>136.88999999999999</v>
      </c>
      <c r="J45" s="273">
        <f>J44</f>
        <v>0</v>
      </c>
      <c r="K45" s="274"/>
      <c r="L45" s="274"/>
    </row>
    <row r="46" spans="1:12" ht="27.75" customHeight="1" x14ac:dyDescent="0.25">
      <c r="A46" s="706" t="s">
        <v>480</v>
      </c>
      <c r="B46" s="706"/>
      <c r="C46" s="706"/>
      <c r="D46" s="706"/>
      <c r="E46" s="706"/>
      <c r="F46" s="275">
        <f>(F45/F14)</f>
        <v>3.5551850371336604</v>
      </c>
      <c r="G46" s="275">
        <f>(G45/G14)</f>
        <v>2.5189244913845701</v>
      </c>
      <c r="H46" s="698" t="s">
        <v>481</v>
      </c>
      <c r="I46" s="698"/>
      <c r="J46" s="276">
        <v>0</v>
      </c>
    </row>
    <row r="47" spans="1:12" ht="20.100000000000001" customHeight="1" x14ac:dyDescent="0.25"/>
  </sheetData>
  <sheetProtection password="C494"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ageMargins left="0.51180555555555496" right="0.51180555555555496" top="0.78749999999999998" bottom="0.78749999999999998" header="0.51180555555555496" footer="0.51180555555555496"/>
  <pageSetup paperSize="9" scale="67"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D9D9D9"/>
    <pageSetUpPr fitToPage="1"/>
  </sheetPr>
  <dimension ref="A1:AI23"/>
  <sheetViews>
    <sheetView showGridLines="0" zoomScaleNormal="100" zoomScalePageLayoutView="115" workbookViewId="0">
      <selection activeCell="B23" sqref="B23:F23"/>
    </sheetView>
  </sheetViews>
  <sheetFormatPr defaultColWidth="8.7109375" defaultRowHeight="15" x14ac:dyDescent="0.25"/>
  <cols>
    <col min="1" max="1" width="7.85546875" customWidth="1"/>
    <col min="2" max="2" width="7.28515625" customWidth="1"/>
    <col min="3" max="3" width="4.42578125" customWidth="1"/>
    <col min="4" max="4" width="7.5703125" customWidth="1"/>
    <col min="5" max="5" width="5.42578125" customWidth="1"/>
    <col min="6" max="6" width="8.28515625" customWidth="1"/>
    <col min="7" max="7" width="7.42578125" customWidth="1"/>
    <col min="8" max="8" width="3.28515625" customWidth="1"/>
    <col min="9" max="9" width="7.28515625" customWidth="1"/>
    <col min="10" max="10" width="4.42578125" customWidth="1"/>
    <col min="11" max="11" width="7.5703125" customWidth="1"/>
    <col min="12" max="12" width="5.42578125" customWidth="1"/>
    <col min="13" max="13" width="8.28515625" customWidth="1"/>
    <col min="14" max="14" width="7.42578125" customWidth="1"/>
    <col min="15" max="15" width="3" customWidth="1"/>
    <col min="16" max="16" width="7.28515625" customWidth="1"/>
    <col min="17" max="17" width="4.42578125" customWidth="1"/>
    <col min="18" max="18" width="7.5703125" customWidth="1"/>
    <col min="19" max="19" width="5.42578125" customWidth="1"/>
    <col min="20" max="20" width="8.28515625" customWidth="1"/>
    <col min="21" max="21" width="7.42578125" customWidth="1"/>
    <col min="22" max="22" width="3" customWidth="1"/>
    <col min="23" max="23" width="7.28515625" customWidth="1"/>
    <col min="24" max="24" width="4.42578125" customWidth="1"/>
    <col min="25" max="25" width="7.5703125" customWidth="1"/>
    <col min="26" max="26" width="5.42578125" customWidth="1"/>
    <col min="27" max="27" width="8.28515625" customWidth="1"/>
    <col min="28" max="28" width="7.42578125" customWidth="1"/>
    <col min="29" max="29" width="3" customWidth="1"/>
    <col min="30" max="30" width="7.28515625" customWidth="1"/>
    <col min="31" max="31" width="4.42578125" customWidth="1"/>
    <col min="257" max="257" width="1.42578125" customWidth="1"/>
    <col min="258" max="258" width="7.28515625" customWidth="1"/>
    <col min="259" max="259" width="4.42578125" customWidth="1"/>
    <col min="260" max="260" width="7.5703125" customWidth="1"/>
    <col min="261" max="261" width="5.42578125" customWidth="1"/>
    <col min="262" max="262" width="8.28515625" customWidth="1"/>
    <col min="263" max="263" width="7.42578125" customWidth="1"/>
    <col min="264" max="264" width="3.28515625" customWidth="1"/>
    <col min="265" max="265" width="7.28515625" customWidth="1"/>
    <col min="266" max="266" width="4.42578125" customWidth="1"/>
    <col min="267" max="267" width="7.5703125" customWidth="1"/>
    <col min="268" max="268" width="5.42578125" customWidth="1"/>
    <col min="269" max="269" width="8.28515625" customWidth="1"/>
    <col min="270" max="270" width="7.42578125" customWidth="1"/>
    <col min="271" max="271" width="3" customWidth="1"/>
    <col min="272" max="272" width="7.28515625" customWidth="1"/>
    <col min="273" max="273" width="4.42578125" customWidth="1"/>
    <col min="274" max="274" width="7.5703125" customWidth="1"/>
    <col min="275" max="275" width="5.42578125" customWidth="1"/>
    <col min="276" max="276" width="8.28515625" customWidth="1"/>
    <col min="277" max="277" width="7.42578125" customWidth="1"/>
    <col min="278" max="278" width="3" customWidth="1"/>
    <col min="279" max="279" width="7.28515625" customWidth="1"/>
    <col min="280" max="280" width="4.42578125" customWidth="1"/>
    <col min="281" max="281" width="7.5703125" customWidth="1"/>
    <col min="282" max="282" width="5.42578125" customWidth="1"/>
    <col min="283" max="283" width="8.28515625" customWidth="1"/>
    <col min="284" max="284" width="7.42578125" customWidth="1"/>
    <col min="285" max="285" width="3" customWidth="1"/>
    <col min="286" max="286" width="7.28515625" customWidth="1"/>
    <col min="287" max="287" width="4.42578125" customWidth="1"/>
    <col min="513" max="513" width="1.42578125" customWidth="1"/>
    <col min="514" max="514" width="7.28515625" customWidth="1"/>
    <col min="515" max="515" width="4.42578125" customWidth="1"/>
    <col min="516" max="516" width="7.5703125" customWidth="1"/>
    <col min="517" max="517" width="5.42578125" customWidth="1"/>
    <col min="518" max="518" width="8.28515625" customWidth="1"/>
    <col min="519" max="519" width="7.42578125" customWidth="1"/>
    <col min="520" max="520" width="3.28515625" customWidth="1"/>
    <col min="521" max="521" width="7.28515625" customWidth="1"/>
    <col min="522" max="522" width="4.42578125" customWidth="1"/>
    <col min="523" max="523" width="7.5703125" customWidth="1"/>
    <col min="524" max="524" width="5.42578125" customWidth="1"/>
    <col min="525" max="525" width="8.28515625" customWidth="1"/>
    <col min="526" max="526" width="7.42578125" customWidth="1"/>
    <col min="527" max="527" width="3" customWidth="1"/>
    <col min="528" max="528" width="7.28515625" customWidth="1"/>
    <col min="529" max="529" width="4.42578125" customWidth="1"/>
    <col min="530" max="530" width="7.5703125" customWidth="1"/>
    <col min="531" max="531" width="5.42578125" customWidth="1"/>
    <col min="532" max="532" width="8.28515625" customWidth="1"/>
    <col min="533" max="533" width="7.42578125" customWidth="1"/>
    <col min="534" max="534" width="3" customWidth="1"/>
    <col min="535" max="535" width="7.28515625" customWidth="1"/>
    <col min="536" max="536" width="4.42578125" customWidth="1"/>
    <col min="537" max="537" width="7.5703125" customWidth="1"/>
    <col min="538" max="538" width="5.42578125" customWidth="1"/>
    <col min="539" max="539" width="8.28515625" customWidth="1"/>
    <col min="540" max="540" width="7.42578125" customWidth="1"/>
    <col min="541" max="541" width="3" customWidth="1"/>
    <col min="542" max="542" width="7.28515625" customWidth="1"/>
    <col min="543" max="543" width="4.42578125" customWidth="1"/>
    <col min="769" max="769" width="1.42578125" customWidth="1"/>
    <col min="770" max="770" width="7.28515625" customWidth="1"/>
    <col min="771" max="771" width="4.42578125" customWidth="1"/>
    <col min="772" max="772" width="7.5703125" customWidth="1"/>
    <col min="773" max="773" width="5.42578125" customWidth="1"/>
    <col min="774" max="774" width="8.28515625" customWidth="1"/>
    <col min="775" max="775" width="7.42578125" customWidth="1"/>
    <col min="776" max="776" width="3.28515625" customWidth="1"/>
    <col min="777" max="777" width="7.28515625" customWidth="1"/>
    <col min="778" max="778" width="4.42578125" customWidth="1"/>
    <col min="779" max="779" width="7.5703125" customWidth="1"/>
    <col min="780" max="780" width="5.42578125" customWidth="1"/>
    <col min="781" max="781" width="8.28515625" customWidth="1"/>
    <col min="782" max="782" width="7.42578125" customWidth="1"/>
    <col min="783" max="783" width="3" customWidth="1"/>
    <col min="784" max="784" width="7.28515625" customWidth="1"/>
    <col min="785" max="785" width="4.42578125" customWidth="1"/>
    <col min="786" max="786" width="7.5703125" customWidth="1"/>
    <col min="787" max="787" width="5.42578125" customWidth="1"/>
    <col min="788" max="788" width="8.28515625" customWidth="1"/>
    <col min="789" max="789" width="7.42578125" customWidth="1"/>
    <col min="790" max="790" width="3" customWidth="1"/>
    <col min="791" max="791" width="7.28515625" customWidth="1"/>
    <col min="792" max="792" width="4.42578125" customWidth="1"/>
    <col min="793" max="793" width="7.5703125" customWidth="1"/>
    <col min="794" max="794" width="5.42578125" customWidth="1"/>
    <col min="795" max="795" width="8.28515625" customWidth="1"/>
    <col min="796" max="796" width="7.42578125" customWidth="1"/>
    <col min="797" max="797" width="3" customWidth="1"/>
    <col min="798" max="798" width="7.28515625" customWidth="1"/>
    <col min="799" max="799" width="4.42578125" customWidth="1"/>
  </cols>
  <sheetData>
    <row r="1" spans="1:35" x14ac:dyDescent="0.25">
      <c r="A1" s="79"/>
      <c r="B1" s="79" t="s">
        <v>94</v>
      </c>
    </row>
    <row r="2" spans="1:35" x14ac:dyDescent="0.25">
      <c r="A2" s="79"/>
      <c r="B2" s="79" t="s">
        <v>95</v>
      </c>
    </row>
    <row r="3" spans="1:35" x14ac:dyDescent="0.25">
      <c r="A3" s="222"/>
      <c r="B3" s="80" t="str">
        <f>INSTRUÇÕES!B3</f>
        <v>Subseção Judiciária de Janaúba</v>
      </c>
    </row>
    <row r="4" spans="1:35" ht="6" customHeight="1" x14ac:dyDescent="0.25"/>
    <row r="5" spans="1:35" ht="6" customHeight="1" x14ac:dyDescent="0.25"/>
    <row r="6" spans="1:35" ht="15.75" customHeight="1" x14ac:dyDescent="0.25">
      <c r="B6" s="729" t="s">
        <v>234</v>
      </c>
      <c r="C6" s="729"/>
      <c r="D6" s="729"/>
      <c r="E6" s="729"/>
      <c r="F6" s="729"/>
      <c r="G6" s="729"/>
      <c r="I6" s="729" t="s">
        <v>238</v>
      </c>
      <c r="J6" s="729"/>
      <c r="K6" s="729"/>
      <c r="L6" s="729"/>
      <c r="M6" s="729"/>
      <c r="N6" s="729"/>
      <c r="P6" s="729" t="s">
        <v>239</v>
      </c>
      <c r="Q6" s="729"/>
      <c r="R6" s="729"/>
      <c r="S6" s="729"/>
      <c r="T6" s="729"/>
      <c r="U6" s="729"/>
      <c r="W6" s="729" t="s">
        <v>240</v>
      </c>
      <c r="X6" s="729"/>
      <c r="Y6" s="729"/>
      <c r="Z6" s="729"/>
      <c r="AA6" s="729"/>
      <c r="AB6" s="729"/>
      <c r="AD6" s="729" t="s">
        <v>241</v>
      </c>
      <c r="AE6" s="729"/>
      <c r="AF6" s="729"/>
      <c r="AG6" s="729"/>
      <c r="AH6" s="729"/>
      <c r="AI6" s="729"/>
    </row>
    <row r="7" spans="1:35" x14ac:dyDescent="0.25">
      <c r="B7" s="336" t="s">
        <v>483</v>
      </c>
      <c r="C7" s="730"/>
      <c r="D7" s="730"/>
      <c r="E7" s="730"/>
      <c r="F7" s="730"/>
      <c r="G7" s="730"/>
      <c r="I7" s="336" t="s">
        <v>483</v>
      </c>
      <c r="J7" s="730"/>
      <c r="K7" s="730"/>
      <c r="L7" s="730"/>
      <c r="M7" s="730"/>
      <c r="N7" s="730"/>
      <c r="P7" s="336" t="s">
        <v>483</v>
      </c>
      <c r="Q7" s="730"/>
      <c r="R7" s="730"/>
      <c r="S7" s="730"/>
      <c r="T7" s="730"/>
      <c r="U7" s="730"/>
      <c r="W7" s="336" t="s">
        <v>483</v>
      </c>
      <c r="X7" s="730"/>
      <c r="Y7" s="730"/>
      <c r="Z7" s="730"/>
      <c r="AA7" s="730"/>
      <c r="AB7" s="730"/>
      <c r="AD7" s="336" t="s">
        <v>483</v>
      </c>
      <c r="AE7" s="730"/>
      <c r="AF7" s="730"/>
      <c r="AG7" s="730"/>
      <c r="AH7" s="730"/>
      <c r="AI7" s="730"/>
    </row>
    <row r="8" spans="1:35" ht="25.5" customHeight="1" x14ac:dyDescent="0.25">
      <c r="B8" s="731" t="s">
        <v>484</v>
      </c>
      <c r="C8" s="731"/>
      <c r="D8" s="337" t="s">
        <v>485</v>
      </c>
      <c r="E8" s="337" t="s">
        <v>486</v>
      </c>
      <c r="F8" s="337" t="s">
        <v>487</v>
      </c>
      <c r="G8" s="337" t="s">
        <v>488</v>
      </c>
      <c r="I8" s="731" t="s">
        <v>484</v>
      </c>
      <c r="J8" s="731"/>
      <c r="K8" s="337" t="s">
        <v>485</v>
      </c>
      <c r="L8" s="337" t="s">
        <v>486</v>
      </c>
      <c r="M8" s="337" t="s">
        <v>487</v>
      </c>
      <c r="N8" s="337" t="s">
        <v>488</v>
      </c>
      <c r="P8" s="731" t="s">
        <v>484</v>
      </c>
      <c r="Q8" s="731"/>
      <c r="R8" s="337" t="s">
        <v>485</v>
      </c>
      <c r="S8" s="337" t="s">
        <v>486</v>
      </c>
      <c r="T8" s="337" t="s">
        <v>487</v>
      </c>
      <c r="U8" s="337" t="s">
        <v>488</v>
      </c>
      <c r="W8" s="731" t="s">
        <v>484</v>
      </c>
      <c r="X8" s="731"/>
      <c r="Y8" s="337" t="s">
        <v>485</v>
      </c>
      <c r="Z8" s="337" t="s">
        <v>486</v>
      </c>
      <c r="AA8" s="337" t="s">
        <v>487</v>
      </c>
      <c r="AB8" s="337" t="s">
        <v>488</v>
      </c>
      <c r="AD8" s="731" t="s">
        <v>484</v>
      </c>
      <c r="AE8" s="731"/>
      <c r="AF8" s="337" t="s">
        <v>485</v>
      </c>
      <c r="AG8" s="337" t="s">
        <v>486</v>
      </c>
      <c r="AH8" s="337" t="s">
        <v>487</v>
      </c>
      <c r="AI8" s="337" t="s">
        <v>488</v>
      </c>
    </row>
    <row r="9" spans="1:35" x14ac:dyDescent="0.25">
      <c r="B9" s="338" t="s">
        <v>489</v>
      </c>
      <c r="C9" s="338" t="s">
        <v>490</v>
      </c>
      <c r="D9" s="338" t="s">
        <v>491</v>
      </c>
      <c r="E9" s="338"/>
      <c r="F9" s="338" t="s">
        <v>492</v>
      </c>
      <c r="G9" s="339">
        <v>100</v>
      </c>
      <c r="I9" s="338" t="s">
        <v>489</v>
      </c>
      <c r="J9" s="338" t="s">
        <v>490</v>
      </c>
      <c r="K9" s="338" t="s">
        <v>491</v>
      </c>
      <c r="L9" s="338"/>
      <c r="M9" s="338" t="s">
        <v>492</v>
      </c>
      <c r="N9" s="339">
        <v>100</v>
      </c>
      <c r="P9" s="338" t="s">
        <v>489</v>
      </c>
      <c r="Q9" s="338" t="s">
        <v>490</v>
      </c>
      <c r="R9" s="338" t="s">
        <v>491</v>
      </c>
      <c r="S9" s="338"/>
      <c r="T9" s="338" t="s">
        <v>492</v>
      </c>
      <c r="U9" s="339">
        <v>100</v>
      </c>
      <c r="W9" s="338" t="s">
        <v>489</v>
      </c>
      <c r="X9" s="338" t="s">
        <v>490</v>
      </c>
      <c r="Y9" s="338" t="s">
        <v>491</v>
      </c>
      <c r="Z9" s="338"/>
      <c r="AA9" s="338" t="s">
        <v>492</v>
      </c>
      <c r="AB9" s="339">
        <v>100</v>
      </c>
      <c r="AD9" s="338" t="s">
        <v>489</v>
      </c>
      <c r="AE9" s="338" t="s">
        <v>490</v>
      </c>
      <c r="AF9" s="338" t="s">
        <v>491</v>
      </c>
      <c r="AG9" s="338"/>
      <c r="AH9" s="338" t="s">
        <v>492</v>
      </c>
      <c r="AI9" s="339">
        <v>100</v>
      </c>
    </row>
    <row r="10" spans="1:35" x14ac:dyDescent="0.25">
      <c r="B10" s="338">
        <v>2023</v>
      </c>
      <c r="C10" s="340" t="s">
        <v>493</v>
      </c>
      <c r="D10" s="341"/>
      <c r="E10" s="342">
        <v>0</v>
      </c>
      <c r="F10" s="341">
        <f t="shared" ref="F10:F22" si="0">D10/30*E10</f>
        <v>0</v>
      </c>
      <c r="G10" s="343">
        <f t="shared" ref="G10:G22" si="1">(G9*F10)+G9</f>
        <v>100</v>
      </c>
      <c r="I10" s="338">
        <f t="shared" ref="I10:I22" si="2">B10+1</f>
        <v>2024</v>
      </c>
      <c r="J10" s="340" t="str">
        <f>$C$10</f>
        <v>AGO</v>
      </c>
      <c r="K10" s="341"/>
      <c r="L10" s="342">
        <f>$E$10</f>
        <v>0</v>
      </c>
      <c r="M10" s="341">
        <f t="shared" ref="M10:M22" si="3">K10/30*L10</f>
        <v>0</v>
      </c>
      <c r="N10" s="343">
        <f t="shared" ref="N10:N22" si="4">(N9*M10)+N9</f>
        <v>100</v>
      </c>
      <c r="P10" s="338">
        <f t="shared" ref="P10:P22" si="5">I10+1</f>
        <v>2025</v>
      </c>
      <c r="Q10" s="340" t="str">
        <f>$C$10</f>
        <v>AGO</v>
      </c>
      <c r="R10" s="341"/>
      <c r="S10" s="342">
        <f>$E$10</f>
        <v>0</v>
      </c>
      <c r="T10" s="341">
        <f t="shared" ref="T10:T22" si="6">R10/30*S10</f>
        <v>0</v>
      </c>
      <c r="U10" s="343">
        <f t="shared" ref="U10:U22" si="7">(U9*T10)+U9</f>
        <v>100</v>
      </c>
      <c r="W10" s="338">
        <f t="shared" ref="W10:W22" si="8">P10+1</f>
        <v>2026</v>
      </c>
      <c r="X10" s="340" t="str">
        <f>$C$10</f>
        <v>AGO</v>
      </c>
      <c r="Y10" s="341"/>
      <c r="Z10" s="342">
        <f>$E$10</f>
        <v>0</v>
      </c>
      <c r="AA10" s="341">
        <f t="shared" ref="AA10:AA22" si="9">Y10/30*Z10</f>
        <v>0</v>
      </c>
      <c r="AB10" s="343">
        <f t="shared" ref="AB10:AB22" si="10">(AB9*AA10)+AB9</f>
        <v>100</v>
      </c>
      <c r="AD10" s="338">
        <f t="shared" ref="AD10:AD22" si="11">W10+1</f>
        <v>2027</v>
      </c>
      <c r="AE10" s="340" t="str">
        <f>$C$10</f>
        <v>AGO</v>
      </c>
      <c r="AF10" s="341"/>
      <c r="AG10" s="342">
        <f>$E$10</f>
        <v>0</v>
      </c>
      <c r="AH10" s="341">
        <f t="shared" ref="AH10:AH22" si="12">AF10/30*AG10</f>
        <v>0</v>
      </c>
      <c r="AI10" s="343">
        <f t="shared" ref="AI10:AI22" si="13">(AI9*AH10)+AI9</f>
        <v>100</v>
      </c>
    </row>
    <row r="11" spans="1:35" x14ac:dyDescent="0.25">
      <c r="B11" s="338">
        <v>2023</v>
      </c>
      <c r="C11" s="340" t="s">
        <v>494</v>
      </c>
      <c r="D11" s="341"/>
      <c r="E11" s="342"/>
      <c r="F11" s="341">
        <f t="shared" si="0"/>
        <v>0</v>
      </c>
      <c r="G11" s="343">
        <f t="shared" si="1"/>
        <v>100</v>
      </c>
      <c r="I11" s="338">
        <f t="shared" si="2"/>
        <v>2024</v>
      </c>
      <c r="J11" s="340" t="str">
        <f>$C$11</f>
        <v>SET</v>
      </c>
      <c r="K11" s="341"/>
      <c r="L11" s="342"/>
      <c r="M11" s="341">
        <f t="shared" si="3"/>
        <v>0</v>
      </c>
      <c r="N11" s="343">
        <f t="shared" si="4"/>
        <v>100</v>
      </c>
      <c r="P11" s="338">
        <f t="shared" si="5"/>
        <v>2025</v>
      </c>
      <c r="Q11" s="340" t="str">
        <f>$C$11</f>
        <v>SET</v>
      </c>
      <c r="R11" s="341"/>
      <c r="S11" s="342"/>
      <c r="T11" s="341">
        <f t="shared" si="6"/>
        <v>0</v>
      </c>
      <c r="U11" s="343">
        <f t="shared" si="7"/>
        <v>100</v>
      </c>
      <c r="W11" s="338">
        <f t="shared" si="8"/>
        <v>2026</v>
      </c>
      <c r="X11" s="340" t="str">
        <f>$C$11</f>
        <v>SET</v>
      </c>
      <c r="Y11" s="341"/>
      <c r="Z11" s="342"/>
      <c r="AA11" s="341">
        <f t="shared" si="9"/>
        <v>0</v>
      </c>
      <c r="AB11" s="343">
        <f t="shared" si="10"/>
        <v>100</v>
      </c>
      <c r="AD11" s="338">
        <f t="shared" si="11"/>
        <v>2027</v>
      </c>
      <c r="AE11" s="340" t="str">
        <f>$C$11</f>
        <v>SET</v>
      </c>
      <c r="AF11" s="341"/>
      <c r="AG11" s="342"/>
      <c r="AH11" s="341">
        <f t="shared" si="12"/>
        <v>0</v>
      </c>
      <c r="AI11" s="343">
        <f t="shared" si="13"/>
        <v>100</v>
      </c>
    </row>
    <row r="12" spans="1:35" x14ac:dyDescent="0.25">
      <c r="B12" s="338">
        <v>2023</v>
      </c>
      <c r="C12" s="340" t="s">
        <v>495</v>
      </c>
      <c r="D12" s="341"/>
      <c r="E12" s="342"/>
      <c r="F12" s="341">
        <f t="shared" si="0"/>
        <v>0</v>
      </c>
      <c r="G12" s="343">
        <f t="shared" si="1"/>
        <v>100</v>
      </c>
      <c r="I12" s="338">
        <f t="shared" si="2"/>
        <v>2024</v>
      </c>
      <c r="J12" s="340" t="str">
        <f>$C$12</f>
        <v>OUT</v>
      </c>
      <c r="K12" s="341"/>
      <c r="L12" s="342"/>
      <c r="M12" s="341">
        <f t="shared" si="3"/>
        <v>0</v>
      </c>
      <c r="N12" s="343">
        <f t="shared" si="4"/>
        <v>100</v>
      </c>
      <c r="P12" s="338">
        <f t="shared" si="5"/>
        <v>2025</v>
      </c>
      <c r="Q12" s="340" t="str">
        <f>$C$12</f>
        <v>OUT</v>
      </c>
      <c r="R12" s="341"/>
      <c r="S12" s="342"/>
      <c r="T12" s="341">
        <f t="shared" si="6"/>
        <v>0</v>
      </c>
      <c r="U12" s="343">
        <f t="shared" si="7"/>
        <v>100</v>
      </c>
      <c r="W12" s="338">
        <f t="shared" si="8"/>
        <v>2026</v>
      </c>
      <c r="X12" s="340" t="str">
        <f>$C$12</f>
        <v>OUT</v>
      </c>
      <c r="Y12" s="341"/>
      <c r="Z12" s="342"/>
      <c r="AA12" s="341">
        <f t="shared" si="9"/>
        <v>0</v>
      </c>
      <c r="AB12" s="343">
        <f t="shared" si="10"/>
        <v>100</v>
      </c>
      <c r="AD12" s="338">
        <f t="shared" si="11"/>
        <v>2027</v>
      </c>
      <c r="AE12" s="340" t="str">
        <f>$C$12</f>
        <v>OUT</v>
      </c>
      <c r="AF12" s="341"/>
      <c r="AG12" s="342"/>
      <c r="AH12" s="341">
        <f t="shared" si="12"/>
        <v>0</v>
      </c>
      <c r="AI12" s="343">
        <f t="shared" si="13"/>
        <v>100</v>
      </c>
    </row>
    <row r="13" spans="1:35" x14ac:dyDescent="0.25">
      <c r="B13" s="338">
        <v>2023</v>
      </c>
      <c r="C13" s="340" t="s">
        <v>496</v>
      </c>
      <c r="D13" s="341"/>
      <c r="E13" s="342"/>
      <c r="F13" s="341">
        <f t="shared" si="0"/>
        <v>0</v>
      </c>
      <c r="G13" s="343">
        <f t="shared" si="1"/>
        <v>100</v>
      </c>
      <c r="I13" s="338">
        <f t="shared" si="2"/>
        <v>2024</v>
      </c>
      <c r="J13" s="340" t="str">
        <f>$C$13</f>
        <v>NOV</v>
      </c>
      <c r="K13" s="341"/>
      <c r="L13" s="342"/>
      <c r="M13" s="341">
        <f t="shared" si="3"/>
        <v>0</v>
      </c>
      <c r="N13" s="343">
        <f t="shared" si="4"/>
        <v>100</v>
      </c>
      <c r="P13" s="338">
        <f t="shared" si="5"/>
        <v>2025</v>
      </c>
      <c r="Q13" s="340" t="str">
        <f>$C$13</f>
        <v>NOV</v>
      </c>
      <c r="R13" s="341"/>
      <c r="S13" s="342"/>
      <c r="T13" s="341">
        <f t="shared" si="6"/>
        <v>0</v>
      </c>
      <c r="U13" s="343">
        <f t="shared" si="7"/>
        <v>100</v>
      </c>
      <c r="W13" s="338">
        <f t="shared" si="8"/>
        <v>2026</v>
      </c>
      <c r="X13" s="340" t="str">
        <f>$C$13</f>
        <v>NOV</v>
      </c>
      <c r="Y13" s="341"/>
      <c r="Z13" s="342"/>
      <c r="AA13" s="341">
        <f t="shared" si="9"/>
        <v>0</v>
      </c>
      <c r="AB13" s="343">
        <f t="shared" si="10"/>
        <v>100</v>
      </c>
      <c r="AD13" s="338">
        <f t="shared" si="11"/>
        <v>2027</v>
      </c>
      <c r="AE13" s="340" t="str">
        <f>$C$13</f>
        <v>NOV</v>
      </c>
      <c r="AF13" s="341"/>
      <c r="AG13" s="342"/>
      <c r="AH13" s="341">
        <f t="shared" si="12"/>
        <v>0</v>
      </c>
      <c r="AI13" s="343">
        <f t="shared" si="13"/>
        <v>100</v>
      </c>
    </row>
    <row r="14" spans="1:35" x14ac:dyDescent="0.25">
      <c r="B14" s="338">
        <v>2023</v>
      </c>
      <c r="C14" s="340" t="s">
        <v>497</v>
      </c>
      <c r="D14" s="341"/>
      <c r="E14" s="342"/>
      <c r="F14" s="341">
        <f t="shared" si="0"/>
        <v>0</v>
      </c>
      <c r="G14" s="343">
        <f t="shared" si="1"/>
        <v>100</v>
      </c>
      <c r="I14" s="338">
        <f t="shared" si="2"/>
        <v>2024</v>
      </c>
      <c r="J14" s="340" t="str">
        <f>$C$14</f>
        <v>DEZ</v>
      </c>
      <c r="K14" s="341"/>
      <c r="L14" s="342"/>
      <c r="M14" s="341">
        <f t="shared" si="3"/>
        <v>0</v>
      </c>
      <c r="N14" s="343">
        <f t="shared" si="4"/>
        <v>100</v>
      </c>
      <c r="P14" s="338">
        <f t="shared" si="5"/>
        <v>2025</v>
      </c>
      <c r="Q14" s="340" t="str">
        <f>$C$14</f>
        <v>DEZ</v>
      </c>
      <c r="R14" s="341"/>
      <c r="S14" s="342"/>
      <c r="T14" s="341">
        <f t="shared" si="6"/>
        <v>0</v>
      </c>
      <c r="U14" s="343">
        <f t="shared" si="7"/>
        <v>100</v>
      </c>
      <c r="W14" s="338">
        <f t="shared" si="8"/>
        <v>2026</v>
      </c>
      <c r="X14" s="340" t="str">
        <f>$C$14</f>
        <v>DEZ</v>
      </c>
      <c r="Y14" s="341"/>
      <c r="Z14" s="342"/>
      <c r="AA14" s="341">
        <f t="shared" si="9"/>
        <v>0</v>
      </c>
      <c r="AB14" s="343">
        <f t="shared" si="10"/>
        <v>100</v>
      </c>
      <c r="AD14" s="338">
        <f t="shared" si="11"/>
        <v>2027</v>
      </c>
      <c r="AE14" s="340" t="str">
        <f>$C$14</f>
        <v>DEZ</v>
      </c>
      <c r="AF14" s="341"/>
      <c r="AG14" s="342"/>
      <c r="AH14" s="341">
        <f t="shared" si="12"/>
        <v>0</v>
      </c>
      <c r="AI14" s="343">
        <f t="shared" si="13"/>
        <v>100</v>
      </c>
    </row>
    <row r="15" spans="1:35" x14ac:dyDescent="0.25">
      <c r="B15" s="338">
        <v>2023</v>
      </c>
      <c r="C15" s="340" t="s">
        <v>497</v>
      </c>
      <c r="D15" s="341"/>
      <c r="E15" s="342"/>
      <c r="F15" s="341">
        <f t="shared" si="0"/>
        <v>0</v>
      </c>
      <c r="G15" s="343">
        <f t="shared" si="1"/>
        <v>100</v>
      </c>
      <c r="I15" s="338">
        <f t="shared" si="2"/>
        <v>2024</v>
      </c>
      <c r="J15" s="340" t="str">
        <f>$C$15</f>
        <v>DEZ</v>
      </c>
      <c r="K15" s="341"/>
      <c r="L15" s="342"/>
      <c r="M15" s="341">
        <f t="shared" si="3"/>
        <v>0</v>
      </c>
      <c r="N15" s="343">
        <f t="shared" si="4"/>
        <v>100</v>
      </c>
      <c r="P15" s="338">
        <f t="shared" si="5"/>
        <v>2025</v>
      </c>
      <c r="Q15" s="340" t="str">
        <f>$C$15</f>
        <v>DEZ</v>
      </c>
      <c r="R15" s="341"/>
      <c r="S15" s="342"/>
      <c r="T15" s="341">
        <f t="shared" si="6"/>
        <v>0</v>
      </c>
      <c r="U15" s="343">
        <f t="shared" si="7"/>
        <v>100</v>
      </c>
      <c r="W15" s="338">
        <f t="shared" si="8"/>
        <v>2026</v>
      </c>
      <c r="X15" s="340" t="str">
        <f>$C$15</f>
        <v>DEZ</v>
      </c>
      <c r="Y15" s="341"/>
      <c r="Z15" s="342"/>
      <c r="AA15" s="341">
        <f t="shared" si="9"/>
        <v>0</v>
      </c>
      <c r="AB15" s="343">
        <f t="shared" si="10"/>
        <v>100</v>
      </c>
      <c r="AD15" s="338">
        <f t="shared" si="11"/>
        <v>2027</v>
      </c>
      <c r="AE15" s="340" t="str">
        <f>$C$15</f>
        <v>DEZ</v>
      </c>
      <c r="AF15" s="341"/>
      <c r="AG15" s="342"/>
      <c r="AH15" s="341">
        <f t="shared" si="12"/>
        <v>0</v>
      </c>
      <c r="AI15" s="343">
        <f t="shared" si="13"/>
        <v>100</v>
      </c>
    </row>
    <row r="16" spans="1:35" x14ac:dyDescent="0.25">
      <c r="B16" s="338">
        <v>2024</v>
      </c>
      <c r="C16" s="344" t="s">
        <v>498</v>
      </c>
      <c r="D16" s="345"/>
      <c r="E16" s="346"/>
      <c r="F16" s="341">
        <f t="shared" si="0"/>
        <v>0</v>
      </c>
      <c r="G16" s="343">
        <f t="shared" si="1"/>
        <v>100</v>
      </c>
      <c r="I16" s="338">
        <f t="shared" si="2"/>
        <v>2025</v>
      </c>
      <c r="J16" s="340" t="str">
        <f>$C$16</f>
        <v>JAN</v>
      </c>
      <c r="K16" s="345"/>
      <c r="L16" s="342"/>
      <c r="M16" s="341">
        <f t="shared" si="3"/>
        <v>0</v>
      </c>
      <c r="N16" s="343">
        <f t="shared" si="4"/>
        <v>100</v>
      </c>
      <c r="P16" s="338">
        <f t="shared" si="5"/>
        <v>2026</v>
      </c>
      <c r="Q16" s="340" t="str">
        <f>$C$16</f>
        <v>JAN</v>
      </c>
      <c r="R16" s="345"/>
      <c r="S16" s="342"/>
      <c r="T16" s="341">
        <f t="shared" si="6"/>
        <v>0</v>
      </c>
      <c r="U16" s="343">
        <f t="shared" si="7"/>
        <v>100</v>
      </c>
      <c r="W16" s="338">
        <f t="shared" si="8"/>
        <v>2027</v>
      </c>
      <c r="X16" s="340" t="str">
        <f>$C$16</f>
        <v>JAN</v>
      </c>
      <c r="Y16" s="345"/>
      <c r="Z16" s="342"/>
      <c r="AA16" s="341">
        <f t="shared" si="9"/>
        <v>0</v>
      </c>
      <c r="AB16" s="343">
        <f t="shared" si="10"/>
        <v>100</v>
      </c>
      <c r="AD16" s="338">
        <f t="shared" si="11"/>
        <v>2028</v>
      </c>
      <c r="AE16" s="340" t="str">
        <f>$C$16</f>
        <v>JAN</v>
      </c>
      <c r="AF16" s="345"/>
      <c r="AG16" s="342"/>
      <c r="AH16" s="341">
        <f t="shared" si="12"/>
        <v>0</v>
      </c>
      <c r="AI16" s="343">
        <f t="shared" si="13"/>
        <v>100</v>
      </c>
    </row>
    <row r="17" spans="2:35" x14ac:dyDescent="0.25">
      <c r="B17" s="338">
        <v>2024</v>
      </c>
      <c r="C17" s="340" t="s">
        <v>499</v>
      </c>
      <c r="D17" s="341"/>
      <c r="E17" s="342"/>
      <c r="F17" s="341">
        <f t="shared" si="0"/>
        <v>0</v>
      </c>
      <c r="G17" s="343">
        <f t="shared" si="1"/>
        <v>100</v>
      </c>
      <c r="I17" s="338">
        <f t="shared" si="2"/>
        <v>2025</v>
      </c>
      <c r="J17" s="340" t="str">
        <f>$C$17</f>
        <v>FEV</v>
      </c>
      <c r="K17" s="341"/>
      <c r="L17" s="342"/>
      <c r="M17" s="341">
        <f t="shared" si="3"/>
        <v>0</v>
      </c>
      <c r="N17" s="343">
        <f t="shared" si="4"/>
        <v>100</v>
      </c>
      <c r="P17" s="338">
        <f t="shared" si="5"/>
        <v>2026</v>
      </c>
      <c r="Q17" s="340" t="str">
        <f>$C$17</f>
        <v>FEV</v>
      </c>
      <c r="R17" s="341"/>
      <c r="S17" s="342"/>
      <c r="T17" s="341">
        <f t="shared" si="6"/>
        <v>0</v>
      </c>
      <c r="U17" s="343">
        <f t="shared" si="7"/>
        <v>100</v>
      </c>
      <c r="W17" s="338">
        <f t="shared" si="8"/>
        <v>2027</v>
      </c>
      <c r="X17" s="340" t="str">
        <f>$C$17</f>
        <v>FEV</v>
      </c>
      <c r="Y17" s="341"/>
      <c r="Z17" s="342"/>
      <c r="AA17" s="341">
        <f t="shared" si="9"/>
        <v>0</v>
      </c>
      <c r="AB17" s="343">
        <f t="shared" si="10"/>
        <v>100</v>
      </c>
      <c r="AD17" s="338">
        <f t="shared" si="11"/>
        <v>2028</v>
      </c>
      <c r="AE17" s="340" t="str">
        <f>$C$17</f>
        <v>FEV</v>
      </c>
      <c r="AF17" s="341"/>
      <c r="AG17" s="342"/>
      <c r="AH17" s="341">
        <f t="shared" si="12"/>
        <v>0</v>
      </c>
      <c r="AI17" s="343">
        <f t="shared" si="13"/>
        <v>100</v>
      </c>
    </row>
    <row r="18" spans="2:35" x14ac:dyDescent="0.25">
      <c r="B18" s="338">
        <v>2024</v>
      </c>
      <c r="C18" s="344" t="s">
        <v>500</v>
      </c>
      <c r="D18" s="341"/>
      <c r="E18" s="342"/>
      <c r="F18" s="341">
        <f t="shared" si="0"/>
        <v>0</v>
      </c>
      <c r="G18" s="343">
        <f t="shared" si="1"/>
        <v>100</v>
      </c>
      <c r="I18" s="338">
        <f t="shared" si="2"/>
        <v>2025</v>
      </c>
      <c r="J18" s="340" t="str">
        <f>$C$18</f>
        <v>MAR</v>
      </c>
      <c r="K18" s="341"/>
      <c r="L18" s="342"/>
      <c r="M18" s="341">
        <f t="shared" si="3"/>
        <v>0</v>
      </c>
      <c r="N18" s="343">
        <f t="shared" si="4"/>
        <v>100</v>
      </c>
      <c r="P18" s="338">
        <f t="shared" si="5"/>
        <v>2026</v>
      </c>
      <c r="Q18" s="340" t="str">
        <f>$C$18</f>
        <v>MAR</v>
      </c>
      <c r="R18" s="341"/>
      <c r="S18" s="342"/>
      <c r="T18" s="341">
        <f t="shared" si="6"/>
        <v>0</v>
      </c>
      <c r="U18" s="343">
        <f t="shared" si="7"/>
        <v>100</v>
      </c>
      <c r="W18" s="338">
        <f t="shared" si="8"/>
        <v>2027</v>
      </c>
      <c r="X18" s="340" t="str">
        <f>$C$18</f>
        <v>MAR</v>
      </c>
      <c r="Y18" s="341"/>
      <c r="Z18" s="342"/>
      <c r="AA18" s="341">
        <f t="shared" si="9"/>
        <v>0</v>
      </c>
      <c r="AB18" s="343">
        <f t="shared" si="10"/>
        <v>100</v>
      </c>
      <c r="AD18" s="338">
        <f t="shared" si="11"/>
        <v>2028</v>
      </c>
      <c r="AE18" s="340" t="str">
        <f>$C$18</f>
        <v>MAR</v>
      </c>
      <c r="AF18" s="341"/>
      <c r="AG18" s="342"/>
      <c r="AH18" s="341">
        <f t="shared" si="12"/>
        <v>0</v>
      </c>
      <c r="AI18" s="343">
        <f t="shared" si="13"/>
        <v>100</v>
      </c>
    </row>
    <row r="19" spans="2:35" x14ac:dyDescent="0.25">
      <c r="B19" s="338">
        <v>2024</v>
      </c>
      <c r="C19" s="340" t="s">
        <v>501</v>
      </c>
      <c r="D19" s="341"/>
      <c r="E19" s="342"/>
      <c r="F19" s="341">
        <f t="shared" si="0"/>
        <v>0</v>
      </c>
      <c r="G19" s="343">
        <f t="shared" si="1"/>
        <v>100</v>
      </c>
      <c r="I19" s="338">
        <f t="shared" si="2"/>
        <v>2025</v>
      </c>
      <c r="J19" s="340" t="str">
        <f>$C$19</f>
        <v>ABR</v>
      </c>
      <c r="K19" s="341"/>
      <c r="L19" s="342"/>
      <c r="M19" s="341">
        <f t="shared" si="3"/>
        <v>0</v>
      </c>
      <c r="N19" s="343">
        <f t="shared" si="4"/>
        <v>100</v>
      </c>
      <c r="P19" s="338">
        <f t="shared" si="5"/>
        <v>2026</v>
      </c>
      <c r="Q19" s="340" t="str">
        <f>$C$19</f>
        <v>ABR</v>
      </c>
      <c r="R19" s="341"/>
      <c r="S19" s="342"/>
      <c r="T19" s="341">
        <f t="shared" si="6"/>
        <v>0</v>
      </c>
      <c r="U19" s="343">
        <f t="shared" si="7"/>
        <v>100</v>
      </c>
      <c r="W19" s="338">
        <f t="shared" si="8"/>
        <v>2027</v>
      </c>
      <c r="X19" s="340" t="str">
        <f>$C$19</f>
        <v>ABR</v>
      </c>
      <c r="Y19" s="341"/>
      <c r="Z19" s="342"/>
      <c r="AA19" s="341">
        <f t="shared" si="9"/>
        <v>0</v>
      </c>
      <c r="AB19" s="343">
        <f t="shared" si="10"/>
        <v>100</v>
      </c>
      <c r="AD19" s="338">
        <f t="shared" si="11"/>
        <v>2028</v>
      </c>
      <c r="AE19" s="340" t="str">
        <f>$C$19</f>
        <v>ABR</v>
      </c>
      <c r="AF19" s="341"/>
      <c r="AG19" s="342"/>
      <c r="AH19" s="341">
        <f t="shared" si="12"/>
        <v>0</v>
      </c>
      <c r="AI19" s="343">
        <f t="shared" si="13"/>
        <v>100</v>
      </c>
    </row>
    <row r="20" spans="2:35" x14ac:dyDescent="0.25">
      <c r="B20" s="338">
        <v>2024</v>
      </c>
      <c r="C20" s="344" t="s">
        <v>502</v>
      </c>
      <c r="D20" s="341"/>
      <c r="E20" s="342"/>
      <c r="F20" s="341">
        <f t="shared" si="0"/>
        <v>0</v>
      </c>
      <c r="G20" s="343">
        <f t="shared" si="1"/>
        <v>100</v>
      </c>
      <c r="I20" s="338">
        <f t="shared" si="2"/>
        <v>2025</v>
      </c>
      <c r="J20" s="340" t="str">
        <f>$C$20</f>
        <v>MAI</v>
      </c>
      <c r="K20" s="341"/>
      <c r="L20" s="342"/>
      <c r="M20" s="341">
        <f t="shared" si="3"/>
        <v>0</v>
      </c>
      <c r="N20" s="343">
        <f t="shared" si="4"/>
        <v>100</v>
      </c>
      <c r="P20" s="338">
        <f t="shared" si="5"/>
        <v>2026</v>
      </c>
      <c r="Q20" s="340" t="str">
        <f>$C$20</f>
        <v>MAI</v>
      </c>
      <c r="R20" s="341"/>
      <c r="S20" s="342"/>
      <c r="T20" s="341">
        <f t="shared" si="6"/>
        <v>0</v>
      </c>
      <c r="U20" s="343">
        <f t="shared" si="7"/>
        <v>100</v>
      </c>
      <c r="W20" s="338">
        <f t="shared" si="8"/>
        <v>2027</v>
      </c>
      <c r="X20" s="340" t="str">
        <f>$C$20</f>
        <v>MAI</v>
      </c>
      <c r="Y20" s="341"/>
      <c r="Z20" s="342"/>
      <c r="AA20" s="341">
        <f t="shared" si="9"/>
        <v>0</v>
      </c>
      <c r="AB20" s="343">
        <f t="shared" si="10"/>
        <v>100</v>
      </c>
      <c r="AD20" s="338">
        <f t="shared" si="11"/>
        <v>2028</v>
      </c>
      <c r="AE20" s="340" t="str">
        <f>$C$20</f>
        <v>MAI</v>
      </c>
      <c r="AF20" s="341"/>
      <c r="AG20" s="342"/>
      <c r="AH20" s="341">
        <f t="shared" si="12"/>
        <v>0</v>
      </c>
      <c r="AI20" s="343">
        <f t="shared" si="13"/>
        <v>100</v>
      </c>
    </row>
    <row r="21" spans="2:35" x14ac:dyDescent="0.25">
      <c r="B21" s="338">
        <v>2024</v>
      </c>
      <c r="C21" s="340" t="s">
        <v>503</v>
      </c>
      <c r="D21" s="341"/>
      <c r="E21" s="342"/>
      <c r="F21" s="341">
        <f t="shared" si="0"/>
        <v>0</v>
      </c>
      <c r="G21" s="343">
        <f t="shared" si="1"/>
        <v>100</v>
      </c>
      <c r="I21" s="338">
        <f t="shared" si="2"/>
        <v>2025</v>
      </c>
      <c r="J21" s="340" t="str">
        <f>$C$21</f>
        <v>JUN</v>
      </c>
      <c r="K21" s="341"/>
      <c r="L21" s="342"/>
      <c r="M21" s="341">
        <f t="shared" si="3"/>
        <v>0</v>
      </c>
      <c r="N21" s="343">
        <f t="shared" si="4"/>
        <v>100</v>
      </c>
      <c r="P21" s="338">
        <f t="shared" si="5"/>
        <v>2026</v>
      </c>
      <c r="Q21" s="340" t="str">
        <f>$C$21</f>
        <v>JUN</v>
      </c>
      <c r="R21" s="341"/>
      <c r="S21" s="342"/>
      <c r="T21" s="341">
        <f t="shared" si="6"/>
        <v>0</v>
      </c>
      <c r="U21" s="343">
        <f t="shared" si="7"/>
        <v>100</v>
      </c>
      <c r="W21" s="338">
        <f t="shared" si="8"/>
        <v>2027</v>
      </c>
      <c r="X21" s="340" t="str">
        <f>$C$21</f>
        <v>JUN</v>
      </c>
      <c r="Y21" s="341"/>
      <c r="Z21" s="342"/>
      <c r="AA21" s="341">
        <f t="shared" si="9"/>
        <v>0</v>
      </c>
      <c r="AB21" s="343">
        <f t="shared" si="10"/>
        <v>100</v>
      </c>
      <c r="AD21" s="338">
        <f t="shared" si="11"/>
        <v>2028</v>
      </c>
      <c r="AE21" s="340" t="str">
        <f>$C$21</f>
        <v>JUN</v>
      </c>
      <c r="AF21" s="341"/>
      <c r="AG21" s="342"/>
      <c r="AH21" s="341">
        <f t="shared" si="12"/>
        <v>0</v>
      </c>
      <c r="AI21" s="343">
        <f t="shared" si="13"/>
        <v>100</v>
      </c>
    </row>
    <row r="22" spans="2:35" x14ac:dyDescent="0.25">
      <c r="B22" s="338">
        <v>2024</v>
      </c>
      <c r="C22" s="344" t="s">
        <v>504</v>
      </c>
      <c r="D22" s="341"/>
      <c r="E22" s="342">
        <v>0</v>
      </c>
      <c r="F22" s="341">
        <f t="shared" si="0"/>
        <v>0</v>
      </c>
      <c r="G22" s="343">
        <f t="shared" si="1"/>
        <v>100</v>
      </c>
      <c r="I22" s="338">
        <f t="shared" si="2"/>
        <v>2025</v>
      </c>
      <c r="J22" s="340" t="str">
        <f>$C$22</f>
        <v>JUL</v>
      </c>
      <c r="K22" s="341"/>
      <c r="L22" s="342">
        <f>$E$22</f>
        <v>0</v>
      </c>
      <c r="M22" s="341">
        <f t="shared" si="3"/>
        <v>0</v>
      </c>
      <c r="N22" s="343">
        <f t="shared" si="4"/>
        <v>100</v>
      </c>
      <c r="P22" s="338">
        <f t="shared" si="5"/>
        <v>2026</v>
      </c>
      <c r="Q22" s="340" t="str">
        <f>$C$22</f>
        <v>JUL</v>
      </c>
      <c r="R22" s="341"/>
      <c r="S22" s="342">
        <f>$E$22</f>
        <v>0</v>
      </c>
      <c r="T22" s="341">
        <f t="shared" si="6"/>
        <v>0</v>
      </c>
      <c r="U22" s="343">
        <f t="shared" si="7"/>
        <v>100</v>
      </c>
      <c r="W22" s="338">
        <f t="shared" si="8"/>
        <v>2027</v>
      </c>
      <c r="X22" s="340" t="str">
        <f>$C$22</f>
        <v>JUL</v>
      </c>
      <c r="Y22" s="341"/>
      <c r="Z22" s="342">
        <f>$E$22</f>
        <v>0</v>
      </c>
      <c r="AA22" s="341">
        <f t="shared" si="9"/>
        <v>0</v>
      </c>
      <c r="AB22" s="343">
        <f t="shared" si="10"/>
        <v>100</v>
      </c>
      <c r="AD22" s="338">
        <f t="shared" si="11"/>
        <v>2028</v>
      </c>
      <c r="AE22" s="340" t="str">
        <f>$C$22</f>
        <v>JUL</v>
      </c>
      <c r="AF22" s="341"/>
      <c r="AG22" s="342">
        <f>$E$22</f>
        <v>0</v>
      </c>
      <c r="AH22" s="341">
        <f t="shared" si="12"/>
        <v>0</v>
      </c>
      <c r="AI22" s="343">
        <f t="shared" si="13"/>
        <v>100</v>
      </c>
    </row>
    <row r="23" spans="2:35" x14ac:dyDescent="0.25">
      <c r="B23" s="732" t="s">
        <v>505</v>
      </c>
      <c r="C23" s="732"/>
      <c r="D23" s="732"/>
      <c r="E23" s="732"/>
      <c r="F23" s="732"/>
      <c r="G23" s="347">
        <f>ROUND(((G22-G9)/G9),4)</f>
        <v>0</v>
      </c>
      <c r="I23" s="732" t="s">
        <v>505</v>
      </c>
      <c r="J23" s="732"/>
      <c r="K23" s="732"/>
      <c r="L23" s="732"/>
      <c r="M23" s="732"/>
      <c r="N23" s="347">
        <f>ROUND(((N22-N9)/N9),4)</f>
        <v>0</v>
      </c>
      <c r="P23" s="732" t="s">
        <v>505</v>
      </c>
      <c r="Q23" s="732"/>
      <c r="R23" s="732"/>
      <c r="S23" s="732"/>
      <c r="T23" s="732"/>
      <c r="U23" s="347">
        <f>ROUND(((U22-U9)/U9),4)</f>
        <v>0</v>
      </c>
      <c r="W23" s="732" t="s">
        <v>505</v>
      </c>
      <c r="X23" s="732"/>
      <c r="Y23" s="732"/>
      <c r="Z23" s="732"/>
      <c r="AA23" s="732"/>
      <c r="AB23" s="347">
        <f>ROUND(((AB22-AB9)/AB9),4)</f>
        <v>0</v>
      </c>
      <c r="AD23" s="732" t="s">
        <v>505</v>
      </c>
      <c r="AE23" s="732"/>
      <c r="AF23" s="732"/>
      <c r="AG23" s="732"/>
      <c r="AH23" s="732"/>
      <c r="AI23" s="347">
        <f>ROUND(((AI22-AI9)/AI9),4)</f>
        <v>0</v>
      </c>
    </row>
  </sheetData>
  <mergeCells count="20">
    <mergeCell ref="B23:F23"/>
    <mergeCell ref="I23:M23"/>
    <mergeCell ref="P23:T23"/>
    <mergeCell ref="W23:AA23"/>
    <mergeCell ref="AD23:AH23"/>
    <mergeCell ref="B8:C8"/>
    <mergeCell ref="I8:J8"/>
    <mergeCell ref="P8:Q8"/>
    <mergeCell ref="W8:X8"/>
    <mergeCell ref="AD8:AE8"/>
    <mergeCell ref="C7:G7"/>
    <mergeCell ref="J7:N7"/>
    <mergeCell ref="Q7:U7"/>
    <mergeCell ref="X7:AB7"/>
    <mergeCell ref="AE7:AI7"/>
    <mergeCell ref="B6:G6"/>
    <mergeCell ref="I6:N6"/>
    <mergeCell ref="P6:U6"/>
    <mergeCell ref="W6:AB6"/>
    <mergeCell ref="AD6:AI6"/>
  </mergeCells>
  <pageMargins left="0.51180555555555496" right="0.51180555555555496" top="0.78749999999999998" bottom="0.78749999999999998" header="0.51180555555555496" footer="0.51180555555555496"/>
  <pageSetup paperSize="9"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J76"/>
  <sheetViews>
    <sheetView showGridLines="0" zoomScaleNormal="100" zoomScalePageLayoutView="130" workbookViewId="0">
      <selection activeCell="E51" sqref="E51"/>
    </sheetView>
  </sheetViews>
  <sheetFormatPr defaultColWidth="9.140625" defaultRowHeight="15" x14ac:dyDescent="0.25"/>
  <cols>
    <col min="1" max="1" width="6.28515625" style="74" customWidth="1"/>
    <col min="2" max="2" width="8.7109375" style="75" customWidth="1"/>
    <col min="3" max="3" width="4" style="65" customWidth="1"/>
    <col min="4" max="23" width="9.140625" style="65"/>
    <col min="24" max="24" width="10.7109375" style="65" customWidth="1"/>
    <col min="25" max="256" width="9.140625" style="65"/>
    <col min="257" max="257" width="4.5703125" style="65" customWidth="1"/>
    <col min="258" max="258" width="11.140625" style="65" customWidth="1"/>
    <col min="259" max="259" width="4" style="65" customWidth="1"/>
    <col min="260" max="512" width="9.140625" style="65"/>
    <col min="513" max="513" width="4.5703125" style="65" customWidth="1"/>
    <col min="514" max="514" width="11.140625" style="65" customWidth="1"/>
    <col min="515" max="515" width="4" style="65" customWidth="1"/>
    <col min="516" max="768" width="9.140625" style="65"/>
    <col min="769" max="769" width="4.5703125" style="65" customWidth="1"/>
    <col min="770" max="770" width="11.140625" style="65" customWidth="1"/>
    <col min="771" max="771" width="4" style="65" customWidth="1"/>
    <col min="772" max="1024" width="9.140625" style="65"/>
  </cols>
  <sheetData>
    <row r="1" spans="1:24" x14ac:dyDescent="0.25">
      <c r="A1" s="76"/>
      <c r="B1" s="77" t="s">
        <v>94</v>
      </c>
    </row>
    <row r="2" spans="1:24" x14ac:dyDescent="0.25">
      <c r="A2" s="78"/>
      <c r="B2" s="79" t="s">
        <v>95</v>
      </c>
    </row>
    <row r="3" spans="1:24" x14ac:dyDescent="0.25">
      <c r="A3" s="78"/>
      <c r="B3" s="80" t="s">
        <v>506</v>
      </c>
    </row>
    <row r="4" spans="1:24" s="81" customFormat="1" ht="15.75" x14ac:dyDescent="0.25">
      <c r="A4" s="591" t="s">
        <v>96</v>
      </c>
      <c r="B4" s="591"/>
      <c r="C4" s="591"/>
      <c r="D4" s="591"/>
      <c r="E4" s="591"/>
      <c r="F4" s="591"/>
      <c r="G4" s="591"/>
      <c r="H4" s="591"/>
      <c r="I4" s="591"/>
      <c r="J4" s="591"/>
      <c r="K4" s="591"/>
      <c r="L4" s="591"/>
      <c r="M4" s="591"/>
      <c r="N4" s="591"/>
      <c r="O4" s="591"/>
      <c r="P4" s="591"/>
      <c r="Q4" s="591"/>
      <c r="R4" s="591"/>
      <c r="S4" s="591"/>
      <c r="T4" s="591"/>
      <c r="U4" s="591"/>
      <c r="V4" s="591"/>
      <c r="W4" s="591"/>
      <c r="X4" s="591"/>
    </row>
    <row r="5" spans="1:24" ht="12" customHeight="1" x14ac:dyDescent="0.25"/>
    <row r="6" spans="1:24" x14ac:dyDescent="0.25">
      <c r="A6" s="82" t="s">
        <v>97</v>
      </c>
      <c r="B6" s="83" t="s">
        <v>98</v>
      </c>
    </row>
    <row r="7" spans="1:24" ht="7.5" customHeight="1" x14ac:dyDescent="0.25"/>
    <row r="8" spans="1:24" x14ac:dyDescent="0.25">
      <c r="B8" s="84"/>
      <c r="C8" s="75" t="s">
        <v>99</v>
      </c>
    </row>
    <row r="10" spans="1:24" x14ac:dyDescent="0.25">
      <c r="A10" s="82" t="s">
        <v>100</v>
      </c>
      <c r="B10" s="75" t="s">
        <v>101</v>
      </c>
    </row>
    <row r="12" spans="1:24" x14ac:dyDescent="0.25">
      <c r="A12" s="82" t="s">
        <v>102</v>
      </c>
      <c r="B12" s="75" t="s">
        <v>103</v>
      </c>
    </row>
    <row r="13" spans="1:24" x14ac:dyDescent="0.25">
      <c r="A13" s="82"/>
      <c r="B13" s="75" t="s">
        <v>104</v>
      </c>
    </row>
    <row r="14" spans="1:24" s="86" customFormat="1" ht="17.25" customHeight="1" x14ac:dyDescent="0.25">
      <c r="A14" s="82"/>
      <c r="B14" s="85" t="s">
        <v>105</v>
      </c>
    </row>
    <row r="15" spans="1:24" ht="7.5" customHeight="1" x14ac:dyDescent="0.25"/>
    <row r="16" spans="1:24" x14ac:dyDescent="0.25">
      <c r="B16" s="87" t="s">
        <v>106</v>
      </c>
      <c r="C16" s="88" t="s">
        <v>107</v>
      </c>
      <c r="D16" s="88"/>
      <c r="E16" s="88"/>
      <c r="F16" s="88"/>
      <c r="G16" s="88"/>
    </row>
    <row r="18" spans="3:4" x14ac:dyDescent="0.25">
      <c r="C18" s="89" t="s">
        <v>108</v>
      </c>
      <c r="D18" s="89" t="s">
        <v>109</v>
      </c>
    </row>
    <row r="19" spans="3:4" x14ac:dyDescent="0.25">
      <c r="D19" s="65" t="s">
        <v>558</v>
      </c>
    </row>
    <row r="20" spans="3:4" x14ac:dyDescent="0.25">
      <c r="D20" s="65" t="s">
        <v>559</v>
      </c>
    </row>
    <row r="21" spans="3:4" x14ac:dyDescent="0.25">
      <c r="D21" s="65" t="s">
        <v>560</v>
      </c>
    </row>
    <row r="22" spans="3:4" x14ac:dyDescent="0.25">
      <c r="D22" s="65" t="s">
        <v>561</v>
      </c>
    </row>
    <row r="23" spans="3:4" x14ac:dyDescent="0.25">
      <c r="D23" s="65" t="s">
        <v>562</v>
      </c>
    </row>
    <row r="24" spans="3:4" x14ac:dyDescent="0.25">
      <c r="D24" s="65" t="s">
        <v>563</v>
      </c>
    </row>
    <row r="25" spans="3:4" x14ac:dyDescent="0.25">
      <c r="D25" s="65" t="s">
        <v>564</v>
      </c>
    </row>
    <row r="26" spans="3:4" x14ac:dyDescent="0.25">
      <c r="D26" s="65" t="s">
        <v>565</v>
      </c>
    </row>
    <row r="27" spans="3:4" x14ac:dyDescent="0.25">
      <c r="D27" s="65" t="s">
        <v>566</v>
      </c>
    </row>
    <row r="28" spans="3:4" x14ac:dyDescent="0.25">
      <c r="D28" s="65" t="s">
        <v>567</v>
      </c>
    </row>
    <row r="29" spans="3:4" x14ac:dyDescent="0.25">
      <c r="D29" s="65" t="s">
        <v>568</v>
      </c>
    </row>
    <row r="30" spans="3:4" x14ac:dyDescent="0.25">
      <c r="D30" s="65" t="s">
        <v>569</v>
      </c>
    </row>
    <row r="31" spans="3:4" x14ac:dyDescent="0.25">
      <c r="D31" s="65" t="s">
        <v>570</v>
      </c>
    </row>
    <row r="32" spans="3:4" x14ac:dyDescent="0.25">
      <c r="D32" s="65" t="s">
        <v>571</v>
      </c>
    </row>
    <row r="33" spans="3:8" x14ac:dyDescent="0.25">
      <c r="D33" s="65" t="s">
        <v>572</v>
      </c>
    </row>
    <row r="34" spans="3:8" x14ac:dyDescent="0.25">
      <c r="D34" s="65" t="s">
        <v>573</v>
      </c>
    </row>
    <row r="35" spans="3:8" x14ac:dyDescent="0.25">
      <c r="D35" s="65" t="s">
        <v>574</v>
      </c>
    </row>
    <row r="36" spans="3:8" x14ac:dyDescent="0.25">
      <c r="D36" s="65" t="s">
        <v>575</v>
      </c>
    </row>
    <row r="37" spans="3:8" x14ac:dyDescent="0.25">
      <c r="D37" s="65" t="s">
        <v>576</v>
      </c>
    </row>
    <row r="38" spans="3:8" x14ac:dyDescent="0.25">
      <c r="D38" s="65" t="s">
        <v>577</v>
      </c>
    </row>
    <row r="39" spans="3:8" x14ac:dyDescent="0.25">
      <c r="D39" s="65" t="s">
        <v>578</v>
      </c>
    </row>
    <row r="40" spans="3:8" x14ac:dyDescent="0.25">
      <c r="D40" s="88" t="s">
        <v>110</v>
      </c>
      <c r="E40" s="88"/>
      <c r="F40" s="88"/>
      <c r="G40" s="88"/>
      <c r="H40" s="88"/>
    </row>
    <row r="42" spans="3:8" x14ac:dyDescent="0.25">
      <c r="C42" s="89" t="s">
        <v>111</v>
      </c>
      <c r="D42" s="89" t="s">
        <v>112</v>
      </c>
    </row>
    <row r="43" spans="3:8" x14ac:dyDescent="0.25">
      <c r="D43" s="65" t="s">
        <v>113</v>
      </c>
    </row>
    <row r="44" spans="3:8" x14ac:dyDescent="0.25">
      <c r="D44" s="65" t="s">
        <v>114</v>
      </c>
    </row>
    <row r="45" spans="3:8" x14ac:dyDescent="0.25">
      <c r="D45" s="88" t="s">
        <v>110</v>
      </c>
      <c r="E45" s="88"/>
      <c r="F45" s="88"/>
      <c r="G45" s="88"/>
      <c r="H45" s="88"/>
    </row>
    <row r="47" spans="3:8" x14ac:dyDescent="0.25">
      <c r="C47" s="89" t="s">
        <v>115</v>
      </c>
      <c r="D47" s="89" t="s">
        <v>116</v>
      </c>
    </row>
    <row r="48" spans="3:8" x14ac:dyDescent="0.25">
      <c r="D48" s="65" t="s">
        <v>117</v>
      </c>
    </row>
    <row r="49" spans="1:8" x14ac:dyDescent="0.25">
      <c r="D49" s="65" t="s">
        <v>118</v>
      </c>
    </row>
    <row r="50" spans="1:8" x14ac:dyDescent="0.25">
      <c r="E50" s="65" t="s">
        <v>623</v>
      </c>
    </row>
    <row r="51" spans="1:8" x14ac:dyDescent="0.25">
      <c r="D51" s="65" t="s">
        <v>119</v>
      </c>
    </row>
    <row r="52" spans="1:8" x14ac:dyDescent="0.25">
      <c r="D52" s="88" t="s">
        <v>110</v>
      </c>
      <c r="E52" s="88"/>
      <c r="F52" s="88"/>
      <c r="G52" s="88"/>
      <c r="H52" s="88"/>
    </row>
    <row r="54" spans="1:8" x14ac:dyDescent="0.25">
      <c r="C54" s="89" t="s">
        <v>120</v>
      </c>
      <c r="D54" s="89" t="s">
        <v>121</v>
      </c>
    </row>
    <row r="55" spans="1:8" x14ac:dyDescent="0.25">
      <c r="D55" s="65" t="s">
        <v>122</v>
      </c>
    </row>
    <row r="56" spans="1:8" x14ac:dyDescent="0.25">
      <c r="D56" s="88" t="s">
        <v>110</v>
      </c>
      <c r="E56" s="88"/>
      <c r="F56" s="88"/>
      <c r="G56" s="88"/>
      <c r="H56" s="88"/>
    </row>
    <row r="58" spans="1:8" x14ac:dyDescent="0.25">
      <c r="C58" s="89" t="s">
        <v>123</v>
      </c>
      <c r="D58" s="89" t="s">
        <v>124</v>
      </c>
    </row>
    <row r="59" spans="1:8" x14ac:dyDescent="0.25">
      <c r="D59" s="65" t="s">
        <v>125</v>
      </c>
    </row>
    <row r="60" spans="1:8" x14ac:dyDescent="0.25">
      <c r="D60" s="65" t="s">
        <v>126</v>
      </c>
    </row>
    <row r="61" spans="1:8" x14ac:dyDescent="0.25">
      <c r="D61" s="65" t="s">
        <v>127</v>
      </c>
    </row>
    <row r="62" spans="1:8" x14ac:dyDescent="0.25">
      <c r="D62" s="88" t="s">
        <v>110</v>
      </c>
      <c r="E62" s="88"/>
      <c r="F62" s="88"/>
      <c r="G62" s="88"/>
      <c r="H62" s="88"/>
    </row>
    <row r="63" spans="1:8" ht="19.5" customHeight="1" x14ac:dyDescent="0.25"/>
    <row r="64" spans="1:8" x14ac:dyDescent="0.25">
      <c r="A64" s="82" t="s">
        <v>128</v>
      </c>
      <c r="B64" s="75" t="s">
        <v>129</v>
      </c>
    </row>
    <row r="65" spans="1:7" x14ac:dyDescent="0.25">
      <c r="A65" s="82"/>
      <c r="B65" s="75" t="s">
        <v>104</v>
      </c>
    </row>
    <row r="66" spans="1:7" s="86" customFormat="1" ht="18" customHeight="1" x14ac:dyDescent="0.25">
      <c r="A66" s="74"/>
      <c r="B66" s="82" t="s">
        <v>130</v>
      </c>
      <c r="C66" s="86" t="s">
        <v>131</v>
      </c>
    </row>
    <row r="67" spans="1:7" x14ac:dyDescent="0.25">
      <c r="B67" s="87" t="s">
        <v>132</v>
      </c>
      <c r="C67" s="92" t="s">
        <v>133</v>
      </c>
      <c r="D67" s="92"/>
      <c r="E67" s="92"/>
      <c r="F67" s="92"/>
      <c r="G67" s="92"/>
    </row>
    <row r="68" spans="1:7" ht="24.75" customHeight="1" x14ac:dyDescent="0.25"/>
    <row r="69" spans="1:7" s="86" customFormat="1" ht="15" customHeight="1" x14ac:dyDescent="0.25">
      <c r="A69" s="82" t="s">
        <v>134</v>
      </c>
      <c r="B69" s="90" t="s">
        <v>135</v>
      </c>
    </row>
    <row r="70" spans="1:7" s="86" customFormat="1" ht="15.75" customHeight="1" x14ac:dyDescent="0.25">
      <c r="A70" s="74"/>
      <c r="B70" s="82" t="s">
        <v>136</v>
      </c>
      <c r="C70" s="91" t="s">
        <v>137</v>
      </c>
    </row>
    <row r="71" spans="1:7" x14ac:dyDescent="0.25">
      <c r="B71" s="87" t="s">
        <v>138</v>
      </c>
      <c r="C71" s="93" t="s">
        <v>139</v>
      </c>
      <c r="D71" s="93"/>
      <c r="E71" s="93"/>
      <c r="F71" s="93"/>
    </row>
    <row r="72" spans="1:7" ht="24.75" customHeight="1" x14ac:dyDescent="0.25"/>
    <row r="73" spans="1:7" x14ac:dyDescent="0.25">
      <c r="A73" s="82" t="s">
        <v>140</v>
      </c>
      <c r="B73" s="75" t="s">
        <v>141</v>
      </c>
    </row>
    <row r="74" spans="1:7" s="86" customFormat="1" ht="16.5" customHeight="1" x14ac:dyDescent="0.25">
      <c r="A74" s="74"/>
      <c r="B74" s="82" t="s">
        <v>142</v>
      </c>
      <c r="C74" s="91" t="s">
        <v>143</v>
      </c>
    </row>
    <row r="75" spans="1:7" s="86" customFormat="1" ht="14.25" customHeight="1" x14ac:dyDescent="0.25">
      <c r="A75" s="74"/>
      <c r="B75" s="82" t="s">
        <v>144</v>
      </c>
      <c r="C75" s="94" t="s">
        <v>133</v>
      </c>
      <c r="D75" s="94"/>
      <c r="E75" s="94"/>
      <c r="F75" s="94"/>
      <c r="G75" s="94"/>
    </row>
    <row r="76" spans="1:7" s="86" customFormat="1" ht="23.25" customHeight="1" x14ac:dyDescent="0.25">
      <c r="A76" s="74"/>
      <c r="B76" s="82"/>
      <c r="C76" s="95"/>
      <c r="D76" s="95"/>
      <c r="E76" s="95"/>
      <c r="F76" s="95"/>
      <c r="G76" s="95"/>
    </row>
  </sheetData>
  <sheetProtection password="C494" sheet="1" objects="1" scenarios="1"/>
  <mergeCells count="1">
    <mergeCell ref="A4:X4"/>
  </mergeCells>
  <pageMargins left="0.51180555555555496" right="0.51180555555555496" top="0.78749999999999998" bottom="0.78749999999999998" header="0.51180555555555496" footer="0.51180555555555496"/>
  <pageSetup paperSize="9" fitToHeight="2"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1:AMI84"/>
  <sheetViews>
    <sheetView showGridLines="0" topLeftCell="A43" zoomScale="90" zoomScaleNormal="90" zoomScalePageLayoutView="85" workbookViewId="0">
      <selection activeCell="B16" sqref="B16:D16"/>
    </sheetView>
  </sheetViews>
  <sheetFormatPr defaultColWidth="9.140625" defaultRowHeight="15" x14ac:dyDescent="0.25"/>
  <cols>
    <col min="1" max="1" width="9.85546875" style="2" customWidth="1"/>
    <col min="2" max="2" width="10.42578125" style="2" customWidth="1"/>
    <col min="3" max="3" width="39.28515625" style="2" customWidth="1"/>
    <col min="4" max="4" width="12" style="2" customWidth="1"/>
    <col min="5" max="5" width="15.7109375" style="2" customWidth="1"/>
    <col min="6" max="6" width="14.85546875" style="2" customWidth="1"/>
    <col min="7" max="7" width="14" style="2" customWidth="1"/>
    <col min="8" max="8" width="13.5703125" style="2" customWidth="1"/>
    <col min="9" max="9" width="13.42578125" style="2" customWidth="1"/>
    <col min="10" max="10" width="13.5703125" style="3" customWidth="1"/>
    <col min="11" max="11" width="18.28515625" style="3" customWidth="1"/>
    <col min="12" max="12" width="13.28515625" style="2" customWidth="1"/>
    <col min="13" max="13" width="15.140625" style="2" customWidth="1"/>
    <col min="14" max="14" width="12.5703125" style="2" customWidth="1"/>
    <col min="15" max="15" width="14.85546875" style="2" customWidth="1"/>
    <col min="16" max="16" width="13.5703125" style="2" customWidth="1"/>
    <col min="17" max="17" width="15" style="2" customWidth="1"/>
    <col min="18" max="253" width="9.140625" style="2"/>
    <col min="254" max="254" width="9.85546875" style="2" customWidth="1"/>
    <col min="255" max="255" width="10.42578125" style="2" customWidth="1"/>
    <col min="256" max="256" width="39.28515625" style="2" customWidth="1"/>
    <col min="257" max="257" width="15" style="2" customWidth="1"/>
    <col min="258" max="258" width="11" style="2" customWidth="1"/>
    <col min="259" max="259" width="11.140625" style="2" customWidth="1"/>
    <col min="260" max="260" width="12.85546875" style="2" customWidth="1"/>
    <col min="261" max="261" width="13.140625" style="2" customWidth="1"/>
    <col min="262" max="265" width="14.140625" style="2" customWidth="1"/>
    <col min="266" max="266" width="14.42578125" style="2" customWidth="1"/>
    <col min="267" max="267" width="9.7109375" style="2" customWidth="1"/>
    <col min="268" max="268" width="12.7109375" style="2" customWidth="1"/>
    <col min="269" max="271" width="13.5703125" style="2" customWidth="1"/>
    <col min="272" max="272" width="12.140625" style="2" customWidth="1"/>
    <col min="273" max="273" width="15" style="2" customWidth="1"/>
    <col min="274" max="509" width="9.140625" style="2"/>
    <col min="510" max="510" width="9.85546875" style="2" customWidth="1"/>
    <col min="511" max="511" width="10.42578125" style="2" customWidth="1"/>
    <col min="512" max="512" width="39.28515625" style="2" customWidth="1"/>
    <col min="513" max="513" width="15" style="2" customWidth="1"/>
    <col min="514" max="514" width="11" style="2" customWidth="1"/>
    <col min="515" max="515" width="11.140625" style="2" customWidth="1"/>
    <col min="516" max="516" width="12.85546875" style="2" customWidth="1"/>
    <col min="517" max="517" width="13.140625" style="2" customWidth="1"/>
    <col min="518" max="521" width="14.140625" style="2" customWidth="1"/>
    <col min="522" max="522" width="14.42578125" style="2" customWidth="1"/>
    <col min="523" max="523" width="9.7109375" style="2" customWidth="1"/>
    <col min="524" max="524" width="12.7109375" style="2" customWidth="1"/>
    <col min="525" max="527" width="13.5703125" style="2" customWidth="1"/>
    <col min="528" max="528" width="12.140625" style="2" customWidth="1"/>
    <col min="529" max="529" width="15" style="2" customWidth="1"/>
    <col min="530" max="765" width="9.140625" style="2"/>
    <col min="766" max="766" width="9.85546875" style="2" customWidth="1"/>
    <col min="767" max="767" width="10.42578125" style="2" customWidth="1"/>
    <col min="768" max="768" width="39.28515625" style="2" customWidth="1"/>
    <col min="769" max="769" width="15" style="2" customWidth="1"/>
    <col min="770" max="770" width="11" style="2" customWidth="1"/>
    <col min="771" max="771" width="11.140625" style="2" customWidth="1"/>
    <col min="772" max="772" width="12.85546875" style="2" customWidth="1"/>
    <col min="773" max="773" width="13.140625" style="2" customWidth="1"/>
    <col min="774" max="777" width="14.140625" style="2" customWidth="1"/>
    <col min="778" max="778" width="14.42578125" style="2" customWidth="1"/>
    <col min="779" max="779" width="9.7109375" style="2" customWidth="1"/>
    <col min="780" max="780" width="12.7109375" style="2" customWidth="1"/>
    <col min="781" max="783" width="13.5703125" style="2" customWidth="1"/>
    <col min="784" max="784" width="12.140625" style="2" customWidth="1"/>
    <col min="785" max="785" width="15" style="2" customWidth="1"/>
    <col min="786" max="1021" width="9.140625" style="2"/>
    <col min="1022" max="1022" width="9.85546875" style="2" customWidth="1"/>
    <col min="1023" max="1023" width="10.42578125" style="2" customWidth="1"/>
  </cols>
  <sheetData>
    <row r="1" spans="1:19" x14ac:dyDescent="0.25">
      <c r="A1" s="96"/>
      <c r="B1" s="97" t="str">
        <f>INSTRUÇÕES!B1</f>
        <v>Tribunal Regional Federal da 6ª Região</v>
      </c>
      <c r="D1" s="65"/>
      <c r="E1" s="65"/>
      <c r="F1" s="65"/>
      <c r="G1" s="65"/>
      <c r="H1" s="65"/>
      <c r="I1" s="65"/>
      <c r="J1" s="98"/>
      <c r="K1" s="98"/>
      <c r="L1" s="65"/>
      <c r="M1" s="65"/>
      <c r="N1" s="65"/>
    </row>
    <row r="2" spans="1:19" x14ac:dyDescent="0.25">
      <c r="A2" s="96"/>
      <c r="B2" s="97" t="str">
        <f>INSTRUÇÕES!B2</f>
        <v>Seção Judiciária de Minas Gerais</v>
      </c>
      <c r="D2" s="65"/>
      <c r="E2" s="65"/>
      <c r="F2" s="65"/>
      <c r="G2" s="65"/>
      <c r="H2" s="65"/>
      <c r="I2" s="65"/>
      <c r="J2" s="98"/>
      <c r="K2" s="98"/>
      <c r="L2" s="65"/>
      <c r="M2" s="65"/>
      <c r="N2" s="65"/>
    </row>
    <row r="3" spans="1:19" ht="18.75" x14ac:dyDescent="0.25">
      <c r="A3" s="96"/>
      <c r="B3" s="97" t="str">
        <f>INSTRUÇÕES!B3</f>
        <v>Subseção Judiciária de Janaúba</v>
      </c>
      <c r="D3" s="65"/>
      <c r="E3" s="99" t="s">
        <v>145</v>
      </c>
      <c r="F3" s="65"/>
      <c r="G3" s="65"/>
      <c r="H3" s="65"/>
      <c r="I3" s="65"/>
      <c r="J3" s="98"/>
      <c r="K3" s="98"/>
      <c r="L3" s="65"/>
      <c r="M3" s="65"/>
      <c r="N3" s="65"/>
      <c r="P3" s="100"/>
    </row>
    <row r="4" spans="1:19" s="17" customFormat="1" ht="24.95" customHeight="1" x14ac:dyDescent="0.25">
      <c r="A4" s="101" t="str">
        <f>CONCATENATE("Sindicato utilizado - ",E14,". Vigência: ",E16,". Sendo a data base da categoria ",E17,". Com número de registro no MTE ",E15,".")</f>
        <v>Sindicato utilizado - SETHAC. Vigência: 01/01/2023 à 31/12/2023. Sendo a data base da categoria 01º Janeiro. Com número de registro no MTE MG003959/2023.</v>
      </c>
      <c r="B4" s="101"/>
      <c r="C4" s="102"/>
      <c r="D4" s="103"/>
      <c r="E4" s="101"/>
      <c r="F4" s="104"/>
      <c r="G4" s="104"/>
      <c r="H4" s="104"/>
      <c r="I4" s="104"/>
      <c r="J4" s="104"/>
      <c r="K4" s="104"/>
      <c r="L4" s="104"/>
      <c r="M4" s="104"/>
      <c r="N4" s="104"/>
      <c r="O4" s="104"/>
      <c r="P4" s="104"/>
      <c r="Q4" s="104"/>
    </row>
    <row r="5" spans="1:19" s="17" customFormat="1" ht="66.75" customHeight="1" x14ac:dyDescent="0.25">
      <c r="A5" s="592" t="s">
        <v>146</v>
      </c>
      <c r="B5" s="592" t="s">
        <v>147</v>
      </c>
      <c r="C5" s="592" t="s">
        <v>25</v>
      </c>
      <c r="D5" s="592" t="s">
        <v>148</v>
      </c>
      <c r="E5" s="592" t="s">
        <v>149</v>
      </c>
      <c r="F5" s="592" t="s">
        <v>150</v>
      </c>
      <c r="G5" s="592" t="s">
        <v>151</v>
      </c>
      <c r="H5" s="592" t="s">
        <v>152</v>
      </c>
      <c r="I5" s="592" t="s">
        <v>153</v>
      </c>
      <c r="J5" s="592" t="s">
        <v>154</v>
      </c>
      <c r="K5" s="592" t="s">
        <v>155</v>
      </c>
      <c r="L5" s="592" t="s">
        <v>156</v>
      </c>
      <c r="M5" s="593" t="s">
        <v>157</v>
      </c>
      <c r="N5" s="105" t="s">
        <v>158</v>
      </c>
      <c r="O5" s="105" t="s">
        <v>159</v>
      </c>
      <c r="P5" s="105" t="s">
        <v>160</v>
      </c>
      <c r="Q5" s="592" t="s">
        <v>161</v>
      </c>
      <c r="S5" s="107"/>
    </row>
    <row r="6" spans="1:19" s="17" customFormat="1" ht="30" x14ac:dyDescent="0.25">
      <c r="A6" s="592"/>
      <c r="B6" s="592"/>
      <c r="C6" s="592"/>
      <c r="D6" s="592"/>
      <c r="E6" s="592"/>
      <c r="F6" s="592"/>
      <c r="G6" s="592"/>
      <c r="H6" s="592"/>
      <c r="I6" s="592"/>
      <c r="J6" s="592"/>
      <c r="K6" s="592"/>
      <c r="L6" s="592"/>
      <c r="M6" s="593"/>
      <c r="N6" s="108" t="s">
        <v>162</v>
      </c>
      <c r="O6" s="109">
        <f>SUM(B9:B10)</f>
        <v>2</v>
      </c>
      <c r="P6" s="109">
        <f>B9+B10</f>
        <v>2</v>
      </c>
      <c r="Q6" s="592"/>
      <c r="S6" s="107"/>
    </row>
    <row r="7" spans="1:19" s="17" customFormat="1" ht="24" customHeight="1" x14ac:dyDescent="0.25">
      <c r="A7" s="594"/>
      <c r="B7" s="109">
        <v>1</v>
      </c>
      <c r="C7" s="110" t="s">
        <v>590</v>
      </c>
      <c r="D7" s="109">
        <v>150</v>
      </c>
      <c r="E7" s="111">
        <v>1949.29</v>
      </c>
      <c r="F7" s="112">
        <f t="shared" ref="F7:F10" si="0">ROUND(((E7/220)*D7),2)</f>
        <v>1329.06</v>
      </c>
      <c r="G7" s="115"/>
      <c r="H7" s="35"/>
      <c r="I7" s="403"/>
      <c r="J7" s="403"/>
      <c r="K7" s="404"/>
      <c r="L7" s="349"/>
      <c r="M7" s="114">
        <f t="shared" ref="M7:M10" si="1">F7+H7+L7</f>
        <v>1329.06</v>
      </c>
      <c r="N7" s="112">
        <f>Uniformes!H21</f>
        <v>37.72</v>
      </c>
      <c r="O7" s="112"/>
      <c r="P7" s="112"/>
      <c r="Q7" s="26">
        <v>1</v>
      </c>
      <c r="S7" s="107"/>
    </row>
    <row r="8" spans="1:19" s="17" customFormat="1" ht="24" customHeight="1" x14ac:dyDescent="0.25">
      <c r="A8" s="594"/>
      <c r="B8" s="109">
        <v>1</v>
      </c>
      <c r="C8" s="110" t="s">
        <v>507</v>
      </c>
      <c r="D8" s="109">
        <v>150</v>
      </c>
      <c r="E8" s="111">
        <v>1978.93</v>
      </c>
      <c r="F8" s="112">
        <f t="shared" si="0"/>
        <v>1349.27</v>
      </c>
      <c r="G8" s="115"/>
      <c r="H8" s="35"/>
      <c r="I8" s="403"/>
      <c r="J8" s="403"/>
      <c r="K8" s="404"/>
      <c r="L8" s="349"/>
      <c r="M8" s="114">
        <f t="shared" si="1"/>
        <v>1349.27</v>
      </c>
      <c r="N8" s="112">
        <f>Uniformes!H29</f>
        <v>35.61</v>
      </c>
      <c r="O8" s="112"/>
      <c r="P8" s="112">
        <f>Equipamentos!$G$16</f>
        <v>8.11</v>
      </c>
      <c r="Q8" s="26">
        <v>2</v>
      </c>
      <c r="S8" s="107"/>
    </row>
    <row r="9" spans="1:19" s="17" customFormat="1" ht="24" customHeight="1" x14ac:dyDescent="0.25">
      <c r="A9" s="594"/>
      <c r="B9" s="109">
        <v>1</v>
      </c>
      <c r="C9" s="110" t="s">
        <v>163</v>
      </c>
      <c r="D9" s="109">
        <v>150</v>
      </c>
      <c r="E9" s="111">
        <v>1394.24</v>
      </c>
      <c r="F9" s="112">
        <f t="shared" si="0"/>
        <v>950.62</v>
      </c>
      <c r="G9" s="115"/>
      <c r="H9" s="35"/>
      <c r="I9" s="403"/>
      <c r="J9" s="403"/>
      <c r="K9" s="404"/>
      <c r="L9" s="349"/>
      <c r="M9" s="114">
        <f t="shared" si="1"/>
        <v>950.62</v>
      </c>
      <c r="N9" s="112">
        <f>Uniformes!H14</f>
        <v>32.36</v>
      </c>
      <c r="O9" s="112">
        <f>ROUND((Materiais!$G$37/$O$6),2)</f>
        <v>776.94</v>
      </c>
      <c r="P9" s="112">
        <f>ROUND((Equipamentos!$G$10/$P$6),2)</f>
        <v>0.9</v>
      </c>
      <c r="Q9" s="26">
        <v>2</v>
      </c>
      <c r="S9" s="107"/>
    </row>
    <row r="10" spans="1:19" s="17" customFormat="1" ht="24" customHeight="1" x14ac:dyDescent="0.25">
      <c r="A10" s="594"/>
      <c r="B10" s="109">
        <v>1</v>
      </c>
      <c r="C10" s="110" t="s">
        <v>164</v>
      </c>
      <c r="D10" s="109">
        <v>220</v>
      </c>
      <c r="E10" s="111">
        <v>1394.24</v>
      </c>
      <c r="F10" s="112">
        <f t="shared" si="0"/>
        <v>1394.24</v>
      </c>
      <c r="G10" s="113">
        <v>0.4</v>
      </c>
      <c r="H10" s="112">
        <f>G10*G27</f>
        <v>528</v>
      </c>
      <c r="I10" s="403"/>
      <c r="J10" s="403"/>
      <c r="K10" s="404"/>
      <c r="L10" s="349"/>
      <c r="M10" s="114">
        <f t="shared" si="1"/>
        <v>1922.24</v>
      </c>
      <c r="N10" s="112">
        <f>Uniformes!H14</f>
        <v>32.36</v>
      </c>
      <c r="O10" s="112">
        <f>ROUND((Materiais!$G$37/$O$6),2)</f>
        <v>776.94</v>
      </c>
      <c r="P10" s="112">
        <f>ROUND((Equipamentos!$G$10/$P$6),2)</f>
        <v>0.9</v>
      </c>
      <c r="Q10" s="26">
        <v>2</v>
      </c>
      <c r="S10" s="107"/>
    </row>
    <row r="11" spans="1:19" ht="34.5" customHeight="1" x14ac:dyDescent="0.25">
      <c r="A11" s="116" t="s">
        <v>165</v>
      </c>
      <c r="B11" s="3"/>
      <c r="C11" s="3"/>
      <c r="D11" s="116"/>
      <c r="F11" s="116"/>
      <c r="G11" s="116" t="s">
        <v>166</v>
      </c>
      <c r="H11" s="116"/>
      <c r="I11" s="116"/>
      <c r="J11" s="116"/>
      <c r="K11" s="101"/>
      <c r="L11" s="117" t="s">
        <v>167</v>
      </c>
      <c r="M11" s="118">
        <f>SUM(M7:M10)</f>
        <v>5551.19</v>
      </c>
      <c r="N11" s="101"/>
      <c r="O11" s="101"/>
      <c r="P11" s="101"/>
      <c r="Q11" s="101"/>
    </row>
    <row r="12" spans="1:19" ht="24.95" customHeight="1" x14ac:dyDescent="0.25">
      <c r="A12" s="595" t="s">
        <v>168</v>
      </c>
      <c r="B12" s="595"/>
      <c r="C12" s="595"/>
      <c r="D12" s="595"/>
      <c r="E12" s="595"/>
      <c r="F12" s="595"/>
      <c r="G12" s="595"/>
      <c r="N12" s="101"/>
      <c r="O12" s="101"/>
      <c r="P12" s="101"/>
      <c r="Q12" s="101"/>
    </row>
    <row r="13" spans="1:19" ht="24" customHeight="1" x14ac:dyDescent="0.25">
      <c r="A13" s="120">
        <v>1</v>
      </c>
      <c r="B13" s="596" t="s">
        <v>169</v>
      </c>
      <c r="C13" s="596"/>
      <c r="D13" s="596"/>
      <c r="E13" s="597" t="s">
        <v>170</v>
      </c>
      <c r="F13" s="597"/>
      <c r="G13" s="597"/>
      <c r="H13" s="14" t="s">
        <v>171</v>
      </c>
      <c r="N13" s="101"/>
      <c r="O13" s="101"/>
      <c r="P13" s="101"/>
      <c r="Q13" s="49"/>
    </row>
    <row r="14" spans="1:19" ht="24" customHeight="1" x14ac:dyDescent="0.25">
      <c r="A14" s="120">
        <v>2</v>
      </c>
      <c r="B14" s="596" t="s">
        <v>172</v>
      </c>
      <c r="C14" s="596"/>
      <c r="D14" s="596"/>
      <c r="E14" s="597" t="s">
        <v>553</v>
      </c>
      <c r="F14" s="597"/>
      <c r="G14" s="597"/>
      <c r="H14" s="14" t="s">
        <v>173</v>
      </c>
      <c r="N14" s="101"/>
      <c r="O14" s="101"/>
      <c r="P14" s="101"/>
      <c r="Q14" s="49"/>
    </row>
    <row r="15" spans="1:19" ht="24" customHeight="1" x14ac:dyDescent="0.25">
      <c r="A15" s="120">
        <v>3</v>
      </c>
      <c r="B15" s="596" t="s">
        <v>174</v>
      </c>
      <c r="C15" s="596"/>
      <c r="D15" s="596"/>
      <c r="E15" s="597" t="s">
        <v>554</v>
      </c>
      <c r="F15" s="597"/>
      <c r="G15" s="597"/>
      <c r="H15" s="14" t="s">
        <v>175</v>
      </c>
      <c r="N15" s="101"/>
      <c r="O15" s="101"/>
      <c r="P15" s="101"/>
      <c r="Q15" s="49"/>
    </row>
    <row r="16" spans="1:19" ht="24" customHeight="1" x14ac:dyDescent="0.25">
      <c r="A16" s="120">
        <v>4</v>
      </c>
      <c r="B16" s="596" t="s">
        <v>176</v>
      </c>
      <c r="C16" s="596"/>
      <c r="D16" s="596"/>
      <c r="E16" s="597" t="s">
        <v>177</v>
      </c>
      <c r="F16" s="597"/>
      <c r="G16" s="597"/>
      <c r="H16" s="14" t="s">
        <v>178</v>
      </c>
      <c r="N16" s="101"/>
      <c r="O16" s="101"/>
      <c r="P16" s="101"/>
      <c r="Q16" s="49"/>
    </row>
    <row r="17" spans="1:17" ht="24" customHeight="1" x14ac:dyDescent="0.25">
      <c r="A17" s="120">
        <v>5</v>
      </c>
      <c r="B17" s="596" t="s">
        <v>179</v>
      </c>
      <c r="C17" s="596"/>
      <c r="D17" s="596"/>
      <c r="E17" s="597" t="s">
        <v>180</v>
      </c>
      <c r="F17" s="597"/>
      <c r="G17" s="597"/>
      <c r="H17" s="14" t="s">
        <v>181</v>
      </c>
      <c r="N17" s="101"/>
      <c r="O17" s="101"/>
      <c r="P17" s="101"/>
      <c r="Q17" s="49"/>
    </row>
    <row r="18" spans="1:17" s="2" customFormat="1" ht="12.75" customHeight="1" x14ac:dyDescent="0.25">
      <c r="A18" s="121"/>
      <c r="H18" s="14"/>
    </row>
    <row r="19" spans="1:17" s="49" customFormat="1" ht="24.95" customHeight="1" x14ac:dyDescent="0.25">
      <c r="A19" s="595" t="s">
        <v>182</v>
      </c>
      <c r="B19" s="595"/>
      <c r="C19" s="595"/>
      <c r="D19" s="595"/>
      <c r="E19" s="595"/>
      <c r="F19" s="595"/>
      <c r="G19" s="595"/>
      <c r="H19" s="14"/>
      <c r="I19" s="101"/>
      <c r="J19" s="101"/>
      <c r="K19" s="101"/>
      <c r="L19" s="101"/>
      <c r="M19" s="101"/>
      <c r="N19" s="101"/>
      <c r="O19" s="101"/>
      <c r="P19" s="101"/>
    </row>
    <row r="20" spans="1:17" s="2" customFormat="1" ht="24" customHeight="1" x14ac:dyDescent="0.25">
      <c r="A20" s="120" t="s">
        <v>183</v>
      </c>
      <c r="B20" s="596" t="s">
        <v>184</v>
      </c>
      <c r="C20" s="596"/>
      <c r="D20" s="596"/>
      <c r="E20" s="596"/>
      <c r="F20" s="596"/>
      <c r="G20" s="113">
        <f>Encargos!C57</f>
        <v>0.79049999999999998</v>
      </c>
      <c r="H20" s="14"/>
    </row>
    <row r="21" spans="1:17" s="2" customFormat="1" ht="12.75" customHeight="1" x14ac:dyDescent="0.25">
      <c r="A21" s="121"/>
      <c r="G21" s="3"/>
      <c r="H21" s="14"/>
    </row>
    <row r="22" spans="1:17" s="2" customFormat="1" ht="24.95" customHeight="1" x14ac:dyDescent="0.25">
      <c r="A22" s="72">
        <v>1</v>
      </c>
      <c r="B22" s="596" t="s">
        <v>185</v>
      </c>
      <c r="C22" s="596"/>
      <c r="D22" s="596"/>
      <c r="E22" s="596"/>
      <c r="F22" s="596"/>
      <c r="G22" s="122">
        <f>G23*G24</f>
        <v>0.06</v>
      </c>
      <c r="H22" s="14"/>
    </row>
    <row r="23" spans="1:17" s="2" customFormat="1" ht="24.95" customHeight="1" x14ac:dyDescent="0.25">
      <c r="A23" s="72">
        <v>2</v>
      </c>
      <c r="B23" s="596" t="s">
        <v>186</v>
      </c>
      <c r="C23" s="596"/>
      <c r="D23" s="596"/>
      <c r="E23" s="596"/>
      <c r="F23" s="596"/>
      <c r="G23" s="407">
        <v>0.03</v>
      </c>
      <c r="H23" s="14" t="s">
        <v>187</v>
      </c>
    </row>
    <row r="24" spans="1:17" s="2" customFormat="1" ht="24.95" customHeight="1" x14ac:dyDescent="0.25">
      <c r="A24" s="72">
        <v>3</v>
      </c>
      <c r="B24" s="596" t="s">
        <v>188</v>
      </c>
      <c r="C24" s="596"/>
      <c r="D24" s="596"/>
      <c r="E24" s="596"/>
      <c r="F24" s="596"/>
      <c r="G24" s="408">
        <v>2</v>
      </c>
      <c r="H24" s="14" t="s">
        <v>189</v>
      </c>
    </row>
    <row r="25" spans="1:17" s="2" customFormat="1" ht="12.75" customHeight="1" x14ac:dyDescent="0.25">
      <c r="A25" s="121"/>
      <c r="B25" s="101"/>
      <c r="C25" s="101"/>
      <c r="D25" s="101"/>
      <c r="E25" s="101"/>
      <c r="F25" s="101"/>
      <c r="H25" s="14"/>
    </row>
    <row r="26" spans="1:17" s="2" customFormat="1" ht="24.95" customHeight="1" x14ac:dyDescent="0.25">
      <c r="A26" s="595" t="s">
        <v>190</v>
      </c>
      <c r="B26" s="595"/>
      <c r="C26" s="595"/>
      <c r="D26" s="595"/>
      <c r="E26" s="595"/>
      <c r="F26" s="595"/>
      <c r="G26" s="595"/>
      <c r="H26" s="14"/>
    </row>
    <row r="27" spans="1:17" s="2" customFormat="1" ht="24.95" customHeight="1" x14ac:dyDescent="0.25">
      <c r="A27" s="72">
        <v>1</v>
      </c>
      <c r="B27" s="596" t="s">
        <v>191</v>
      </c>
      <c r="C27" s="596"/>
      <c r="D27" s="596"/>
      <c r="E27" s="596"/>
      <c r="F27" s="596"/>
      <c r="G27" s="111">
        <v>1320</v>
      </c>
      <c r="H27" s="14" t="s">
        <v>192</v>
      </c>
    </row>
    <row r="28" spans="1:17" s="2" customFormat="1" ht="12.75" customHeight="1" x14ac:dyDescent="0.25">
      <c r="A28" s="123"/>
      <c r="B28" s="124"/>
      <c r="C28" s="124"/>
      <c r="D28" s="124"/>
      <c r="E28" s="124"/>
      <c r="F28" s="124"/>
      <c r="G28" s="125"/>
      <c r="H28" s="14"/>
    </row>
    <row r="29" spans="1:17" s="49" customFormat="1" ht="24.95" customHeight="1" x14ac:dyDescent="0.25">
      <c r="A29" s="595" t="s">
        <v>193</v>
      </c>
      <c r="B29" s="595"/>
      <c r="C29" s="595"/>
      <c r="D29" s="595"/>
      <c r="E29" s="595"/>
      <c r="F29" s="595"/>
      <c r="G29" s="595"/>
      <c r="H29" s="14"/>
      <c r="I29" s="2"/>
      <c r="J29" s="2"/>
      <c r="K29" s="101"/>
      <c r="L29" s="101"/>
      <c r="M29" s="101"/>
      <c r="N29" s="101"/>
      <c r="O29" s="101"/>
      <c r="P29" s="101"/>
    </row>
    <row r="30" spans="1:17" s="2" customFormat="1" ht="26.25" customHeight="1" x14ac:dyDescent="0.25">
      <c r="A30" s="120">
        <v>1</v>
      </c>
      <c r="B30" s="596" t="s">
        <v>194</v>
      </c>
      <c r="C30" s="596"/>
      <c r="D30" s="596"/>
      <c r="E30" s="596"/>
      <c r="F30" s="596"/>
      <c r="G30" s="409">
        <v>1.55</v>
      </c>
      <c r="H30" s="14" t="s">
        <v>195</v>
      </c>
    </row>
    <row r="31" spans="1:17" s="2" customFormat="1" ht="26.25" customHeight="1" x14ac:dyDescent="0.25">
      <c r="A31" s="126">
        <v>2</v>
      </c>
      <c r="B31" s="596" t="s">
        <v>196</v>
      </c>
      <c r="C31" s="596"/>
      <c r="D31" s="596"/>
      <c r="E31" s="596"/>
      <c r="F31" s="596"/>
      <c r="G31" s="408">
        <v>43.66</v>
      </c>
      <c r="H31" s="14" t="s">
        <v>195</v>
      </c>
    </row>
    <row r="32" spans="1:17" s="2" customFormat="1" ht="26.25" customHeight="1" x14ac:dyDescent="0.25">
      <c r="A32" s="598">
        <v>3</v>
      </c>
      <c r="B32" s="599" t="s">
        <v>197</v>
      </c>
      <c r="C32" s="599"/>
      <c r="D32" s="600" t="s">
        <v>198</v>
      </c>
      <c r="E32" s="600"/>
      <c r="F32" s="600"/>
      <c r="G32" s="410">
        <v>3.75</v>
      </c>
      <c r="H32" s="127" t="s">
        <v>199</v>
      </c>
      <c r="I32" s="101"/>
      <c r="O32" s="51"/>
    </row>
    <row r="33" spans="1:16" s="2" customFormat="1" ht="26.25" customHeight="1" x14ac:dyDescent="0.25">
      <c r="A33" s="598"/>
      <c r="B33" s="599"/>
      <c r="C33" s="599"/>
      <c r="D33" s="600" t="s">
        <v>200</v>
      </c>
      <c r="E33" s="600"/>
      <c r="F33" s="600"/>
      <c r="G33" s="410">
        <v>2</v>
      </c>
      <c r="H33" s="127" t="s">
        <v>201</v>
      </c>
      <c r="I33" s="101"/>
      <c r="O33" s="51"/>
    </row>
    <row r="34" spans="1:16" s="2" customFormat="1" ht="26.25" customHeight="1" x14ac:dyDescent="0.25">
      <c r="A34" s="598"/>
      <c r="B34" s="599"/>
      <c r="C34" s="599"/>
      <c r="D34" s="600" t="s">
        <v>202</v>
      </c>
      <c r="E34" s="600"/>
      <c r="F34" s="600"/>
      <c r="G34" s="128">
        <v>22</v>
      </c>
      <c r="H34" s="14" t="s">
        <v>203</v>
      </c>
      <c r="I34" s="101"/>
      <c r="O34" s="51"/>
    </row>
    <row r="35" spans="1:16" ht="26.25" customHeight="1" x14ac:dyDescent="0.25">
      <c r="A35" s="598"/>
      <c r="B35" s="599"/>
      <c r="C35" s="599"/>
      <c r="D35" s="601" t="s">
        <v>204</v>
      </c>
      <c r="E35" s="601"/>
      <c r="F35" s="601"/>
      <c r="G35" s="411">
        <v>0.06</v>
      </c>
      <c r="H35" s="127" t="s">
        <v>205</v>
      </c>
      <c r="O35" s="51"/>
    </row>
    <row r="36" spans="1:16" s="2" customFormat="1" ht="26.25" customHeight="1" x14ac:dyDescent="0.25">
      <c r="A36" s="598">
        <v>4</v>
      </c>
      <c r="B36" s="599" t="s">
        <v>206</v>
      </c>
      <c r="C36" s="599"/>
      <c r="D36" s="600" t="s">
        <v>207</v>
      </c>
      <c r="E36" s="600"/>
      <c r="F36" s="600"/>
      <c r="G36" s="408">
        <v>26.14</v>
      </c>
      <c r="H36" s="127" t="s">
        <v>208</v>
      </c>
      <c r="I36" s="101"/>
    </row>
    <row r="37" spans="1:16" ht="26.25" customHeight="1" x14ac:dyDescent="0.25">
      <c r="A37" s="598"/>
      <c r="B37" s="599"/>
      <c r="C37" s="599"/>
      <c r="D37" s="600" t="s">
        <v>202</v>
      </c>
      <c r="E37" s="600"/>
      <c r="F37" s="600"/>
      <c r="G37" s="128">
        <f>G34</f>
        <v>22</v>
      </c>
      <c r="H37" s="14" t="s">
        <v>203</v>
      </c>
      <c r="I37" s="129"/>
      <c r="J37" s="129"/>
      <c r="K37" s="101"/>
      <c r="O37" s="51"/>
    </row>
    <row r="38" spans="1:16" s="2" customFormat="1" ht="26.25" customHeight="1" x14ac:dyDescent="0.25">
      <c r="A38" s="598"/>
      <c r="B38" s="599"/>
      <c r="C38" s="599"/>
      <c r="D38" s="601" t="s">
        <v>204</v>
      </c>
      <c r="E38" s="601"/>
      <c r="F38" s="601"/>
      <c r="G38" s="407">
        <v>0.2</v>
      </c>
      <c r="H38" s="127" t="s">
        <v>205</v>
      </c>
      <c r="O38" s="51"/>
    </row>
    <row r="39" spans="1:16" s="2" customFormat="1" ht="26.25" customHeight="1" x14ac:dyDescent="0.25">
      <c r="A39" s="120">
        <v>5</v>
      </c>
      <c r="B39" s="602" t="s">
        <v>209</v>
      </c>
      <c r="C39" s="602"/>
      <c r="D39" s="602"/>
      <c r="E39" s="602"/>
      <c r="F39" s="602"/>
      <c r="G39" s="408">
        <v>0</v>
      </c>
      <c r="H39" s="14" t="s">
        <v>210</v>
      </c>
      <c r="O39" s="51"/>
    </row>
    <row r="40" spans="1:16" s="2" customFormat="1" ht="26.25" customHeight="1" x14ac:dyDescent="0.25">
      <c r="A40" s="120">
        <v>6</v>
      </c>
      <c r="B40" s="602" t="s">
        <v>209</v>
      </c>
      <c r="C40" s="602"/>
      <c r="D40" s="602"/>
      <c r="E40" s="602"/>
      <c r="F40" s="602"/>
      <c r="G40" s="408">
        <v>0</v>
      </c>
      <c r="H40" s="14" t="s">
        <v>210</v>
      </c>
    </row>
    <row r="41" spans="1:16" s="2" customFormat="1" ht="12.75" customHeight="1" x14ac:dyDescent="0.25">
      <c r="H41" s="14"/>
    </row>
    <row r="42" spans="1:16" s="49" customFormat="1" ht="24.95" customHeight="1" x14ac:dyDescent="0.25">
      <c r="A42" s="595" t="s">
        <v>211</v>
      </c>
      <c r="B42" s="595"/>
      <c r="C42" s="595"/>
      <c r="D42" s="595"/>
      <c r="E42" s="595"/>
      <c r="F42" s="595"/>
      <c r="G42" s="595"/>
      <c r="H42" s="14"/>
      <c r="I42" s="101"/>
      <c r="J42" s="101"/>
      <c r="K42" s="101"/>
      <c r="L42" s="101"/>
      <c r="M42" s="101"/>
      <c r="N42" s="101"/>
      <c r="O42" s="101"/>
      <c r="P42" s="101"/>
    </row>
    <row r="43" spans="1:16" s="2" customFormat="1" ht="24.95" customHeight="1" x14ac:dyDescent="0.25">
      <c r="A43" s="120">
        <v>1</v>
      </c>
      <c r="B43" s="596" t="s">
        <v>212</v>
      </c>
      <c r="C43" s="596"/>
      <c r="D43" s="596"/>
      <c r="E43" s="596"/>
      <c r="F43" s="596"/>
      <c r="G43" s="407">
        <v>0.03</v>
      </c>
      <c r="H43" s="14" t="s">
        <v>213</v>
      </c>
    </row>
    <row r="44" spans="1:16" s="2" customFormat="1" ht="24.95" customHeight="1" x14ac:dyDescent="0.25">
      <c r="A44" s="120">
        <v>2</v>
      </c>
      <c r="B44" s="596" t="s">
        <v>214</v>
      </c>
      <c r="C44" s="596"/>
      <c r="D44" s="596"/>
      <c r="E44" s="596"/>
      <c r="F44" s="596"/>
      <c r="G44" s="407">
        <v>6.7900000000000002E-2</v>
      </c>
      <c r="H44" s="14" t="s">
        <v>213</v>
      </c>
    </row>
    <row r="45" spans="1:16" s="2" customFormat="1" ht="12.75" customHeight="1" x14ac:dyDescent="0.25">
      <c r="H45" s="14"/>
    </row>
    <row r="46" spans="1:16" s="49" customFormat="1" ht="24.95" customHeight="1" x14ac:dyDescent="0.25">
      <c r="A46" s="595" t="s">
        <v>215</v>
      </c>
      <c r="B46" s="595"/>
      <c r="C46" s="595"/>
      <c r="D46" s="595"/>
      <c r="E46" s="595"/>
      <c r="F46" s="595"/>
      <c r="G46" s="595"/>
      <c r="H46" s="14"/>
      <c r="I46" s="101"/>
      <c r="J46" s="101"/>
      <c r="K46" s="101"/>
      <c r="L46" s="101"/>
      <c r="M46" s="101"/>
      <c r="N46" s="101"/>
      <c r="O46" s="101"/>
      <c r="P46" s="101"/>
    </row>
    <row r="47" spans="1:16" s="49" customFormat="1" ht="24.95" customHeight="1" x14ac:dyDescent="0.25">
      <c r="A47" s="593" t="s">
        <v>216</v>
      </c>
      <c r="B47" s="593" t="str">
        <f>IF(F50="LUCRO REAL","INFORMAR ALÍQUOTAS MÉDIAS DE RECOLHIMENTO DOS ÚLTIMOS 12 (DOZE) MESES.",IF(F50="LUCRO PRESUMIDO","ALÍQUOTAS FIXAS - PIS: 0,65%; COFINS: 3,00%.",IF(F50="SIMPLES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7" s="593"/>
      <c r="D47" s="593"/>
      <c r="E47" s="593"/>
      <c r="F47" s="593"/>
      <c r="G47" s="593"/>
      <c r="H47" s="14"/>
      <c r="I47" s="101"/>
      <c r="J47" s="101"/>
      <c r="K47" s="101"/>
      <c r="L47" s="101"/>
      <c r="M47" s="101"/>
      <c r="N47" s="101"/>
      <c r="O47" s="101"/>
      <c r="P47" s="101"/>
    </row>
    <row r="48" spans="1:16" s="49" customFormat="1" ht="24.95" customHeight="1" x14ac:dyDescent="0.25">
      <c r="A48" s="593"/>
      <c r="B48" s="593"/>
      <c r="C48" s="593"/>
      <c r="D48" s="593"/>
      <c r="E48" s="593"/>
      <c r="F48" s="593"/>
      <c r="G48" s="593"/>
      <c r="H48" s="14"/>
      <c r="I48" s="101"/>
      <c r="J48" s="101"/>
      <c r="K48" s="101"/>
      <c r="L48" s="101"/>
      <c r="M48" s="101"/>
      <c r="N48" s="101"/>
      <c r="O48" s="101"/>
      <c r="P48" s="101"/>
    </row>
    <row r="49" spans="1:16" s="49" customFormat="1" ht="24.95" customHeight="1" x14ac:dyDescent="0.25">
      <c r="A49" s="593"/>
      <c r="B49" s="593"/>
      <c r="C49" s="593"/>
      <c r="D49" s="593"/>
      <c r="E49" s="593"/>
      <c r="F49" s="593"/>
      <c r="G49" s="593"/>
      <c r="H49" s="14"/>
      <c r="I49" s="101"/>
      <c r="J49" s="101"/>
      <c r="K49" s="101"/>
      <c r="L49" s="101"/>
      <c r="M49" s="101"/>
      <c r="N49" s="101"/>
      <c r="O49" s="101"/>
      <c r="P49" s="101"/>
    </row>
    <row r="50" spans="1:16" s="2" customFormat="1" ht="24" customHeight="1" x14ac:dyDescent="0.25">
      <c r="A50" s="120">
        <v>1</v>
      </c>
      <c r="B50" s="596" t="s">
        <v>217</v>
      </c>
      <c r="C50" s="596"/>
      <c r="D50" s="596"/>
      <c r="E50" s="596"/>
      <c r="F50" s="597" t="s">
        <v>218</v>
      </c>
      <c r="G50" s="597"/>
      <c r="H50" s="14" t="s">
        <v>219</v>
      </c>
      <c r="P50" s="130"/>
    </row>
    <row r="51" spans="1:16" s="2" customFormat="1" ht="24" customHeight="1" x14ac:dyDescent="0.25">
      <c r="A51" s="120">
        <v>2</v>
      </c>
      <c r="B51" s="596" t="s">
        <v>220</v>
      </c>
      <c r="C51" s="596"/>
      <c r="D51" s="596"/>
      <c r="E51" s="596"/>
      <c r="F51" s="596"/>
      <c r="G51" s="407">
        <v>7.5999999999999998E-2</v>
      </c>
      <c r="H51" s="14" t="s">
        <v>221</v>
      </c>
    </row>
    <row r="52" spans="1:16" s="2" customFormat="1" ht="24" customHeight="1" x14ac:dyDescent="0.25">
      <c r="A52" s="120">
        <v>3</v>
      </c>
      <c r="B52" s="596" t="s">
        <v>222</v>
      </c>
      <c r="C52" s="596"/>
      <c r="D52" s="596"/>
      <c r="E52" s="596"/>
      <c r="F52" s="596"/>
      <c r="G52" s="407">
        <v>1.6500000000000001E-2</v>
      </c>
      <c r="H52" s="14" t="s">
        <v>221</v>
      </c>
    </row>
    <row r="53" spans="1:16" s="2" customFormat="1" ht="24" customHeight="1" x14ac:dyDescent="0.25">
      <c r="A53" s="120">
        <v>4</v>
      </c>
      <c r="B53" s="596" t="s">
        <v>223</v>
      </c>
      <c r="C53" s="596"/>
      <c r="D53" s="596"/>
      <c r="E53" s="596"/>
      <c r="F53" s="596"/>
      <c r="G53" s="407">
        <v>0.04</v>
      </c>
      <c r="H53" s="14" t="s">
        <v>224</v>
      </c>
    </row>
    <row r="54" spans="1:16" s="2" customFormat="1" ht="24" customHeight="1" x14ac:dyDescent="0.25">
      <c r="A54" s="120">
        <v>5</v>
      </c>
      <c r="B54" s="602" t="s">
        <v>209</v>
      </c>
      <c r="C54" s="602"/>
      <c r="D54" s="602"/>
      <c r="E54" s="602"/>
      <c r="F54" s="602"/>
      <c r="G54" s="407">
        <v>0</v>
      </c>
      <c r="H54" s="14" t="s">
        <v>225</v>
      </c>
    </row>
    <row r="55" spans="1:16" s="2" customFormat="1" ht="21.75" customHeight="1" x14ac:dyDescent="0.25">
      <c r="A55" s="120">
        <v>6</v>
      </c>
      <c r="B55" s="596" t="s">
        <v>226</v>
      </c>
      <c r="C55" s="596"/>
      <c r="D55" s="596"/>
      <c r="E55" s="596"/>
      <c r="F55" s="596"/>
      <c r="G55" s="113">
        <f>SUM(G51:G54)</f>
        <v>0.13250000000000001</v>
      </c>
      <c r="H55" s="14"/>
    </row>
    <row r="56" spans="1:16" ht="12.75" customHeight="1" x14ac:dyDescent="0.25"/>
    <row r="57" spans="1:16" s="2" customFormat="1" x14ac:dyDescent="0.25"/>
    <row r="58" spans="1:16" hidden="1" x14ac:dyDescent="0.25"/>
    <row r="59" spans="1:16" ht="66.75" hidden="1" customHeight="1" x14ac:dyDescent="0.25">
      <c r="A59" s="593" t="s">
        <v>227</v>
      </c>
      <c r="B59" s="593"/>
      <c r="C59" s="593"/>
      <c r="D59" s="593"/>
      <c r="E59" s="593"/>
      <c r="F59" s="593"/>
      <c r="G59" s="593"/>
      <c r="H59" s="593"/>
      <c r="I59" s="119" t="s">
        <v>228</v>
      </c>
      <c r="J59" s="106" t="s">
        <v>229</v>
      </c>
      <c r="K59" s="119" t="s">
        <v>228</v>
      </c>
      <c r="L59" s="119" t="s">
        <v>230</v>
      </c>
      <c r="M59" s="131" t="s">
        <v>231</v>
      </c>
      <c r="N59" s="106" t="s">
        <v>232</v>
      </c>
      <c r="O59" s="106" t="s">
        <v>233</v>
      </c>
      <c r="P59" s="132"/>
    </row>
    <row r="60" spans="1:16" ht="15" hidden="1" customHeight="1" x14ac:dyDescent="0.25">
      <c r="A60" s="598" t="s">
        <v>234</v>
      </c>
      <c r="B60" s="598"/>
      <c r="C60" s="120" t="s">
        <v>235</v>
      </c>
      <c r="D60" s="133">
        <f>IPCA!G23</f>
        <v>0</v>
      </c>
      <c r="E60" s="596" t="s">
        <v>236</v>
      </c>
      <c r="F60" s="596"/>
      <c r="G60" s="596"/>
      <c r="H60" s="596"/>
      <c r="I60" s="134" t="s">
        <v>237</v>
      </c>
      <c r="J60" s="134" t="s">
        <v>237</v>
      </c>
      <c r="K60" s="134" t="s">
        <v>237</v>
      </c>
      <c r="L60" s="134" t="s">
        <v>237</v>
      </c>
      <c r="M60" s="135">
        <f>ROUND((100%+D60),2)</f>
        <v>1</v>
      </c>
      <c r="N60" s="136"/>
      <c r="O60" s="137"/>
      <c r="P60" s="138"/>
    </row>
    <row r="61" spans="1:16" ht="15" hidden="1" customHeight="1" x14ac:dyDescent="0.25">
      <c r="A61" s="598" t="s">
        <v>238</v>
      </c>
      <c r="B61" s="598"/>
      <c r="C61" s="120" t="s">
        <v>235</v>
      </c>
      <c r="D61" s="133">
        <f>IPCA!N23</f>
        <v>0</v>
      </c>
      <c r="E61" s="596" t="s">
        <v>236</v>
      </c>
      <c r="F61" s="596"/>
      <c r="G61" s="596"/>
      <c r="H61" s="596"/>
      <c r="I61" s="134" t="s">
        <v>237</v>
      </c>
      <c r="J61" s="134" t="s">
        <v>237</v>
      </c>
      <c r="K61" s="134" t="s">
        <v>237</v>
      </c>
      <c r="L61" s="134" t="s">
        <v>237</v>
      </c>
      <c r="M61" s="135">
        <f>ROUND((100%+D61),2)</f>
        <v>1</v>
      </c>
      <c r="N61" s="136"/>
      <c r="O61" s="137"/>
      <c r="P61" s="138"/>
    </row>
    <row r="62" spans="1:16" ht="15" hidden="1" customHeight="1" x14ac:dyDescent="0.25">
      <c r="A62" s="598" t="s">
        <v>239</v>
      </c>
      <c r="B62" s="598"/>
      <c r="C62" s="120" t="s">
        <v>235</v>
      </c>
      <c r="D62" s="133">
        <f>IPCA!U23</f>
        <v>0</v>
      </c>
      <c r="E62" s="596" t="s">
        <v>236</v>
      </c>
      <c r="F62" s="596"/>
      <c r="G62" s="596"/>
      <c r="H62" s="596"/>
      <c r="I62" s="134" t="s">
        <v>237</v>
      </c>
      <c r="J62" s="134" t="s">
        <v>237</v>
      </c>
      <c r="K62" s="134" t="s">
        <v>237</v>
      </c>
      <c r="L62" s="134" t="s">
        <v>237</v>
      </c>
      <c r="M62" s="135">
        <f>ROUND((100%+D62),2)</f>
        <v>1</v>
      </c>
      <c r="N62" s="136"/>
      <c r="O62" s="137"/>
      <c r="P62" s="138"/>
    </row>
    <row r="63" spans="1:16" ht="15" hidden="1" customHeight="1" x14ac:dyDescent="0.25">
      <c r="A63" s="598" t="s">
        <v>240</v>
      </c>
      <c r="B63" s="598"/>
      <c r="C63" s="120" t="s">
        <v>235</v>
      </c>
      <c r="D63" s="133">
        <f>IPCA!AB23</f>
        <v>0</v>
      </c>
      <c r="E63" s="596" t="s">
        <v>236</v>
      </c>
      <c r="F63" s="596"/>
      <c r="G63" s="596"/>
      <c r="H63" s="596"/>
      <c r="I63" s="134" t="s">
        <v>237</v>
      </c>
      <c r="J63" s="134" t="s">
        <v>237</v>
      </c>
      <c r="K63" s="134" t="s">
        <v>237</v>
      </c>
      <c r="L63" s="134" t="s">
        <v>237</v>
      </c>
      <c r="M63" s="135">
        <f>ROUND((100%+D63),2)</f>
        <v>1</v>
      </c>
      <c r="N63" s="136"/>
      <c r="O63" s="137"/>
      <c r="P63" s="138"/>
    </row>
    <row r="64" spans="1:16" ht="15" hidden="1" customHeight="1" x14ac:dyDescent="0.25">
      <c r="A64" s="598" t="s">
        <v>241</v>
      </c>
      <c r="B64" s="598"/>
      <c r="C64" s="120" t="s">
        <v>235</v>
      </c>
      <c r="D64" s="133">
        <f>IPCA!AI23</f>
        <v>0</v>
      </c>
      <c r="E64" s="596" t="s">
        <v>236</v>
      </c>
      <c r="F64" s="596"/>
      <c r="G64" s="596"/>
      <c r="H64" s="596"/>
      <c r="I64" s="134" t="s">
        <v>237</v>
      </c>
      <c r="J64" s="134" t="s">
        <v>237</v>
      </c>
      <c r="K64" s="134" t="s">
        <v>237</v>
      </c>
      <c r="L64" s="134" t="s">
        <v>237</v>
      </c>
      <c r="M64" s="135">
        <f>ROUND((100%+D64),2)</f>
        <v>1</v>
      </c>
      <c r="N64" s="136"/>
      <c r="O64" s="137"/>
      <c r="P64" s="138"/>
    </row>
    <row r="65" spans="1:11" hidden="1" x14ac:dyDescent="0.25">
      <c r="B65" s="139"/>
      <c r="C65" s="139"/>
      <c r="D65" s="139"/>
      <c r="E65" s="139"/>
    </row>
    <row r="66" spans="1:11" ht="30" hidden="1" customHeight="1" x14ac:dyDescent="0.25">
      <c r="A66" s="593" t="s">
        <v>242</v>
      </c>
      <c r="B66" s="593"/>
      <c r="C66" s="593"/>
      <c r="D66" s="140" t="s">
        <v>243</v>
      </c>
      <c r="E66" s="139"/>
    </row>
    <row r="67" spans="1:11" ht="15.75" hidden="1" customHeight="1" x14ac:dyDescent="0.25">
      <c r="A67" s="593"/>
      <c r="B67" s="593"/>
      <c r="C67" s="593"/>
      <c r="D67" s="134" t="s">
        <v>244</v>
      </c>
      <c r="E67" s="139"/>
    </row>
    <row r="68" spans="1:11" ht="30" hidden="1" customHeight="1" x14ac:dyDescent="0.25">
      <c r="A68" s="593" t="s">
        <v>245</v>
      </c>
      <c r="B68" s="593"/>
      <c r="C68" s="593"/>
      <c r="D68" s="140" t="s">
        <v>243</v>
      </c>
      <c r="E68" s="139"/>
    </row>
    <row r="69" spans="1:11" ht="15.75" hidden="1" customHeight="1" x14ac:dyDescent="0.25">
      <c r="A69" s="593"/>
      <c r="B69" s="593"/>
      <c r="C69" s="593"/>
      <c r="D69" s="134" t="s">
        <v>244</v>
      </c>
      <c r="E69" s="139"/>
    </row>
    <row r="70" spans="1:11" ht="30" hidden="1" customHeight="1" x14ac:dyDescent="0.25">
      <c r="A70" s="593" t="s">
        <v>246</v>
      </c>
      <c r="B70" s="593"/>
      <c r="C70" s="593"/>
      <c r="D70" s="140" t="s">
        <v>243</v>
      </c>
      <c r="E70" s="139"/>
    </row>
    <row r="71" spans="1:11" ht="15.75" hidden="1" customHeight="1" x14ac:dyDescent="0.25">
      <c r="A71" s="593"/>
      <c r="B71" s="593"/>
      <c r="C71" s="593"/>
      <c r="D71" s="134" t="s">
        <v>244</v>
      </c>
      <c r="E71" s="139"/>
    </row>
    <row r="72" spans="1:11" ht="42.75" hidden="1" customHeight="1" x14ac:dyDescent="0.25">
      <c r="A72" s="593" t="s">
        <v>247</v>
      </c>
      <c r="B72" s="593"/>
      <c r="C72" s="593"/>
      <c r="D72" s="140" t="s">
        <v>243</v>
      </c>
      <c r="E72" s="141" t="s">
        <v>248</v>
      </c>
      <c r="F72" s="140" t="s">
        <v>72</v>
      </c>
      <c r="G72" s="140" t="s">
        <v>73</v>
      </c>
      <c r="H72" s="140" t="s">
        <v>74</v>
      </c>
      <c r="I72" s="140" t="s">
        <v>75</v>
      </c>
      <c r="J72" s="140" t="s">
        <v>76</v>
      </c>
      <c r="K72" s="139" t="s">
        <v>249</v>
      </c>
    </row>
    <row r="73" spans="1:11" ht="15.75" hidden="1" customHeight="1" x14ac:dyDescent="0.25">
      <c r="A73" s="593"/>
      <c r="B73" s="593"/>
      <c r="C73" s="593"/>
      <c r="D73" s="134" t="s">
        <v>244</v>
      </c>
      <c r="E73" s="142">
        <f>G30</f>
        <v>1.55</v>
      </c>
      <c r="F73" s="143">
        <f>ROUND(IF(Dados!$M$60="SIM",E73*Dados!$N$60,E73),2)</f>
        <v>1.55</v>
      </c>
      <c r="G73" s="143">
        <f>ROUND(IF(Dados!$M$61="SIM",F73*Dados!$N$61,F73),2)</f>
        <v>1.55</v>
      </c>
      <c r="H73" s="143">
        <f>ROUND(IF(Dados!$M$62="SIM",G73*Dados!$N$62,G73),2)</f>
        <v>1.55</v>
      </c>
      <c r="I73" s="143">
        <f>ROUND(IF(Dados!$M$63="SIM",H73*Dados!$N$63,H73),2)</f>
        <v>1.55</v>
      </c>
      <c r="J73" s="143">
        <f>ROUND(IF(Dados!$M$64="SIM",I73*Dados!$N$64,I73),2)</f>
        <v>1.55</v>
      </c>
      <c r="K73" s="3">
        <f>IF(D73="INICIAL",E73,IF(D73="1º IPCA",F73,IF(D73="2º IPCA",G73,IF(D73="3º IPCA",H73,IF(D73="4º IPCA",I73,IF(D73="5º IPCA",J73,))))))</f>
        <v>1.55</v>
      </c>
    </row>
    <row r="74" spans="1:11" hidden="1" x14ac:dyDescent="0.25">
      <c r="E74" s="139"/>
    </row>
    <row r="75" spans="1:11" ht="15.75" hidden="1" customHeight="1" x14ac:dyDescent="0.25">
      <c r="A75" s="603" t="s">
        <v>250</v>
      </c>
      <c r="B75" s="603"/>
      <c r="C75" s="603"/>
      <c r="D75" s="603"/>
      <c r="E75" s="603"/>
      <c r="F75" s="603"/>
      <c r="G75" s="603"/>
      <c r="H75" s="603"/>
    </row>
    <row r="76" spans="1:11" hidden="1" x14ac:dyDescent="0.25">
      <c r="A76" s="604" t="s">
        <v>251</v>
      </c>
      <c r="B76" s="604"/>
      <c r="C76" s="604"/>
      <c r="D76" s="604"/>
      <c r="E76" s="604"/>
      <c r="F76" s="605" t="s">
        <v>252</v>
      </c>
      <c r="G76" s="605"/>
      <c r="H76" s="144"/>
    </row>
    <row r="77" spans="1:11" ht="43.5" hidden="1" customHeight="1" x14ac:dyDescent="0.25">
      <c r="A77" s="606" t="s">
        <v>253</v>
      </c>
      <c r="B77" s="606"/>
      <c r="C77" s="606"/>
      <c r="D77" s="606"/>
      <c r="E77" s="606"/>
      <c r="F77" s="606"/>
      <c r="G77" s="606"/>
      <c r="H77" s="606"/>
    </row>
    <row r="78" spans="1:11" hidden="1" x14ac:dyDescent="0.25">
      <c r="A78" s="604" t="s">
        <v>254</v>
      </c>
      <c r="B78" s="604"/>
      <c r="C78" s="604"/>
      <c r="D78" s="604"/>
      <c r="E78" s="604"/>
      <c r="F78" s="605" t="s">
        <v>252</v>
      </c>
      <c r="G78" s="605"/>
      <c r="H78" s="144"/>
    </row>
    <row r="79" spans="1:11" ht="43.5" hidden="1" customHeight="1" x14ac:dyDescent="0.25">
      <c r="A79" s="607" t="s">
        <v>255</v>
      </c>
      <c r="B79" s="607"/>
      <c r="C79" s="607"/>
      <c r="D79" s="607"/>
      <c r="E79" s="607"/>
      <c r="F79" s="607"/>
      <c r="G79" s="607"/>
      <c r="H79" s="607"/>
    </row>
    <row r="80" spans="1:11" hidden="1" x14ac:dyDescent="0.25">
      <c r="A80" s="604" t="s">
        <v>256</v>
      </c>
      <c r="B80" s="604"/>
      <c r="C80" s="604"/>
      <c r="D80" s="604"/>
      <c r="E80" s="604"/>
      <c r="F80" s="605" t="s">
        <v>252</v>
      </c>
      <c r="G80" s="605"/>
      <c r="H80" s="144"/>
    </row>
    <row r="81" spans="1:8" ht="43.5" hidden="1" customHeight="1" x14ac:dyDescent="0.25">
      <c r="A81" s="606" t="s">
        <v>257</v>
      </c>
      <c r="B81" s="606"/>
      <c r="C81" s="606"/>
      <c r="D81" s="606"/>
      <c r="E81" s="606"/>
      <c r="F81" s="606"/>
      <c r="G81" s="606"/>
      <c r="H81" s="606"/>
    </row>
    <row r="82" spans="1:8" hidden="1" x14ac:dyDescent="0.25">
      <c r="A82" s="608" t="s">
        <v>258</v>
      </c>
      <c r="B82" s="608"/>
      <c r="C82" s="608"/>
      <c r="D82" s="608"/>
      <c r="E82" s="608"/>
      <c r="F82" s="605" t="s">
        <v>252</v>
      </c>
      <c r="G82" s="605"/>
      <c r="H82" s="145"/>
    </row>
    <row r="83" spans="1:8" ht="43.5" hidden="1" customHeight="1" x14ac:dyDescent="0.25">
      <c r="A83" s="606" t="s">
        <v>259</v>
      </c>
      <c r="B83" s="606"/>
      <c r="C83" s="606"/>
      <c r="D83" s="606"/>
      <c r="E83" s="606"/>
      <c r="F83" s="606"/>
      <c r="G83" s="606"/>
      <c r="H83" s="606"/>
    </row>
    <row r="84" spans="1:8" hidden="1" x14ac:dyDescent="0.25">
      <c r="A84" s="146"/>
      <c r="H84" s="147"/>
    </row>
  </sheetData>
  <sheetProtection password="C494" sheet="1" objects="1" scenarios="1"/>
  <mergeCells count="90">
    <mergeCell ref="A83:H83"/>
    <mergeCell ref="A79:H79"/>
    <mergeCell ref="A80:E80"/>
    <mergeCell ref="F80:G80"/>
    <mergeCell ref="A81:H81"/>
    <mergeCell ref="A82:E82"/>
    <mergeCell ref="F82:G82"/>
    <mergeCell ref="A76:E76"/>
    <mergeCell ref="F76:G76"/>
    <mergeCell ref="A77:H77"/>
    <mergeCell ref="A78:E78"/>
    <mergeCell ref="F78:G78"/>
    <mergeCell ref="A66:C67"/>
    <mergeCell ref="A68:C69"/>
    <mergeCell ref="A70:C71"/>
    <mergeCell ref="A72:C73"/>
    <mergeCell ref="A75:H75"/>
    <mergeCell ref="A62:B62"/>
    <mergeCell ref="E62:H62"/>
    <mergeCell ref="A63:B63"/>
    <mergeCell ref="E63:H63"/>
    <mergeCell ref="A64:B64"/>
    <mergeCell ref="E64:H64"/>
    <mergeCell ref="A59:H59"/>
    <mergeCell ref="A60:B60"/>
    <mergeCell ref="E60:H60"/>
    <mergeCell ref="A61:B61"/>
    <mergeCell ref="E61:H61"/>
    <mergeCell ref="B51:F51"/>
    <mergeCell ref="B52:F52"/>
    <mergeCell ref="B53:F53"/>
    <mergeCell ref="B54:F54"/>
    <mergeCell ref="B55:F55"/>
    <mergeCell ref="A46:G46"/>
    <mergeCell ref="A47:A49"/>
    <mergeCell ref="B47:G49"/>
    <mergeCell ref="B50:E50"/>
    <mergeCell ref="F50:G50"/>
    <mergeCell ref="B39:F39"/>
    <mergeCell ref="B40:F40"/>
    <mergeCell ref="A42:G42"/>
    <mergeCell ref="B43:F43"/>
    <mergeCell ref="B44:F44"/>
    <mergeCell ref="A36:A38"/>
    <mergeCell ref="B36:C38"/>
    <mergeCell ref="D36:F36"/>
    <mergeCell ref="D37:F37"/>
    <mergeCell ref="D38:F38"/>
    <mergeCell ref="A32:A35"/>
    <mergeCell ref="B32:C35"/>
    <mergeCell ref="D32:F32"/>
    <mergeCell ref="D33:F33"/>
    <mergeCell ref="D34:F34"/>
    <mergeCell ref="D35:F35"/>
    <mergeCell ref="A26:G26"/>
    <mergeCell ref="B27:F27"/>
    <mergeCell ref="A29:G29"/>
    <mergeCell ref="B30:F30"/>
    <mergeCell ref="B31:F31"/>
    <mergeCell ref="A19:G19"/>
    <mergeCell ref="B20:F20"/>
    <mergeCell ref="B22:F22"/>
    <mergeCell ref="B23:F23"/>
    <mergeCell ref="B24:F24"/>
    <mergeCell ref="B15:D15"/>
    <mergeCell ref="E15:G15"/>
    <mergeCell ref="B16:D16"/>
    <mergeCell ref="E16:G16"/>
    <mergeCell ref="B17:D17"/>
    <mergeCell ref="E17:G17"/>
    <mergeCell ref="A7:A10"/>
    <mergeCell ref="A12:G12"/>
    <mergeCell ref="B13:D13"/>
    <mergeCell ref="E13:G13"/>
    <mergeCell ref="B14:D14"/>
    <mergeCell ref="E14:G14"/>
    <mergeCell ref="A5:A6"/>
    <mergeCell ref="B5:B6"/>
    <mergeCell ref="C5:C6"/>
    <mergeCell ref="D5:D6"/>
    <mergeCell ref="E5:E6"/>
    <mergeCell ref="K5:K6"/>
    <mergeCell ref="L5:L6"/>
    <mergeCell ref="M5:M6"/>
    <mergeCell ref="Q5:Q6"/>
    <mergeCell ref="F5:F6"/>
    <mergeCell ref="G5:G6"/>
    <mergeCell ref="H5:H6"/>
    <mergeCell ref="I5:I6"/>
    <mergeCell ref="J5:J6"/>
  </mergeCells>
  <dataValidations count="3">
    <dataValidation type="list" allowBlank="1" showInputMessage="1" showErrorMessage="1" sqref="F50" xr:uid="{00000000-0002-0000-0200-000000000000}">
      <formula1>"LUCRO REAL,LUCRO PRESUMIDO,SIMPLES NACIONAL,OUTRO"</formula1>
      <formula2>0</formula2>
    </dataValidation>
    <dataValidation type="list" allowBlank="1" showInputMessage="1" showErrorMessage="1" sqref="I60:L64" xr:uid="{00000000-0002-0000-0200-000001000000}">
      <formula1>"NÃO,SIM"</formula1>
      <formula2>0</formula2>
    </dataValidation>
    <dataValidation type="list" allowBlank="1" showInputMessage="1" showErrorMessage="1" sqref="D67 D69 D71 D73" xr:uid="{00000000-0002-0000-0200-000002000000}">
      <formula1>"INICIAL,1º IPCA,2º IPCA,3º IPCA,4º IPCA,5º IPCA"</formula1>
      <formula2>0</formula2>
    </dataValidation>
  </dataValidations>
  <pageMargins left="0.51180555555555496" right="0.51180555555555496" top="0.78749999999999998" bottom="0.78749999999999998" header="0.51180555555555496" footer="0.51180555555555496"/>
  <pageSetup paperSize="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pageSetUpPr fitToPage="1"/>
  </sheetPr>
  <dimension ref="A1:H61"/>
  <sheetViews>
    <sheetView showGridLines="0" zoomScaleNormal="100" workbookViewId="0"/>
  </sheetViews>
  <sheetFormatPr defaultColWidth="9" defaultRowHeight="15" x14ac:dyDescent="0.25"/>
  <cols>
    <col min="2" max="2" width="55.5703125" customWidth="1"/>
    <col min="3" max="3" width="13.140625" customWidth="1"/>
    <col min="4" max="4" width="4.85546875" customWidth="1"/>
    <col min="5" max="5" width="41.7109375" customWidth="1"/>
    <col min="6" max="8" width="11" customWidth="1"/>
    <col min="258" max="258" width="55.5703125" customWidth="1"/>
    <col min="259" max="259" width="13.140625" customWidth="1"/>
    <col min="261" max="261" width="35.140625" customWidth="1"/>
    <col min="262" max="264" width="11" customWidth="1"/>
    <col min="514" max="514" width="55.5703125" customWidth="1"/>
    <col min="515" max="515" width="13.140625" customWidth="1"/>
    <col min="517" max="517" width="35.140625" customWidth="1"/>
    <col min="518" max="520" width="11" customWidth="1"/>
    <col min="770" max="770" width="55.5703125" customWidth="1"/>
    <col min="771" max="771" width="13.140625" customWidth="1"/>
    <col min="773" max="773" width="35.140625" customWidth="1"/>
    <col min="774" max="776" width="11" customWidth="1"/>
  </cols>
  <sheetData>
    <row r="1" spans="1:4" x14ac:dyDescent="0.25">
      <c r="A1" s="148"/>
      <c r="B1" s="149" t="str">
        <f>INSTRUÇÕES!B1</f>
        <v>Tribunal Regional Federal da 6ª Região</v>
      </c>
      <c r="C1" s="150"/>
    </row>
    <row r="2" spans="1:4" x14ac:dyDescent="0.25">
      <c r="A2" s="151"/>
      <c r="B2" s="97" t="str">
        <f>INSTRUÇÕES!B2</f>
        <v>Seção Judiciária de Minas Gerais</v>
      </c>
      <c r="C2" s="152"/>
    </row>
    <row r="3" spans="1:4" x14ac:dyDescent="0.25">
      <c r="A3" s="153"/>
      <c r="B3" s="97" t="str">
        <f>INSTRUÇÕES!B3</f>
        <v>Subseção Judiciária de Janaúba</v>
      </c>
      <c r="C3" s="152"/>
    </row>
    <row r="4" spans="1:4" ht="21.75" customHeight="1" x14ac:dyDescent="0.25">
      <c r="A4" s="609" t="s">
        <v>260</v>
      </c>
      <c r="B4" s="609"/>
      <c r="C4" s="609"/>
    </row>
    <row r="5" spans="1:4" ht="21.75" customHeight="1" x14ac:dyDescent="0.25">
      <c r="A5" s="609" t="s">
        <v>261</v>
      </c>
      <c r="B5" s="609"/>
      <c r="C5" s="609"/>
    </row>
    <row r="6" spans="1:4" ht="26.25" customHeight="1" x14ac:dyDescent="0.25">
      <c r="A6" s="610" t="s">
        <v>262</v>
      </c>
      <c r="B6" s="610"/>
      <c r="C6" s="610"/>
    </row>
    <row r="7" spans="1:4" x14ac:dyDescent="0.25">
      <c r="A7" s="611" t="s">
        <v>263</v>
      </c>
      <c r="B7" s="611"/>
      <c r="C7" s="611"/>
    </row>
    <row r="8" spans="1:4" ht="15.95" customHeight="1" x14ac:dyDescent="0.25">
      <c r="A8" s="154" t="s">
        <v>56</v>
      </c>
      <c r="B8" s="155" t="s">
        <v>264</v>
      </c>
      <c r="C8" s="156" t="s">
        <v>265</v>
      </c>
    </row>
    <row r="9" spans="1:4" ht="15.95" customHeight="1" x14ac:dyDescent="0.25">
      <c r="A9" s="157" t="s">
        <v>266</v>
      </c>
      <c r="B9" s="612" t="s">
        <v>267</v>
      </c>
      <c r="C9" s="612"/>
    </row>
    <row r="10" spans="1:4" ht="15.95" customHeight="1" x14ac:dyDescent="0.25">
      <c r="A10" s="158">
        <v>1</v>
      </c>
      <c r="B10" s="159" t="s">
        <v>268</v>
      </c>
      <c r="C10" s="160">
        <v>0.2</v>
      </c>
    </row>
    <row r="11" spans="1:4" ht="15.95" customHeight="1" x14ac:dyDescent="0.25">
      <c r="A11" s="158">
        <v>2</v>
      </c>
      <c r="B11" s="159" t="s">
        <v>269</v>
      </c>
      <c r="C11" s="160">
        <v>1.4999999999999999E-2</v>
      </c>
    </row>
    <row r="12" spans="1:4" ht="15.95" customHeight="1" x14ac:dyDescent="0.25">
      <c r="A12" s="158">
        <v>3</v>
      </c>
      <c r="B12" s="159" t="s">
        <v>270</v>
      </c>
      <c r="C12" s="160">
        <v>0.01</v>
      </c>
    </row>
    <row r="13" spans="1:4" ht="15.95" customHeight="1" x14ac:dyDescent="0.25">
      <c r="A13" s="158">
        <v>4</v>
      </c>
      <c r="B13" s="159" t="s">
        <v>271</v>
      </c>
      <c r="C13" s="160">
        <v>2E-3</v>
      </c>
    </row>
    <row r="14" spans="1:4" ht="15.95" customHeight="1" x14ac:dyDescent="0.25">
      <c r="A14" s="158">
        <v>5</v>
      </c>
      <c r="B14" s="159" t="s">
        <v>272</v>
      </c>
      <c r="C14" s="160">
        <v>2.5000000000000001E-2</v>
      </c>
    </row>
    <row r="15" spans="1:4" ht="15.95" customHeight="1" x14ac:dyDescent="0.25">
      <c r="A15" s="158">
        <v>6</v>
      </c>
      <c r="B15" s="159" t="s">
        <v>273</v>
      </c>
      <c r="C15" s="160">
        <v>0.08</v>
      </c>
    </row>
    <row r="16" spans="1:4" ht="15.95" customHeight="1" x14ac:dyDescent="0.25">
      <c r="A16" s="158">
        <v>7</v>
      </c>
      <c r="B16" s="159" t="s">
        <v>274</v>
      </c>
      <c r="C16" s="161">
        <f>Dados!G22</f>
        <v>0.06</v>
      </c>
      <c r="D16" s="162" t="s">
        <v>275</v>
      </c>
    </row>
    <row r="17" spans="1:3" ht="15.95" customHeight="1" x14ac:dyDescent="0.25">
      <c r="A17" s="158">
        <v>8</v>
      </c>
      <c r="B17" s="159" t="s">
        <v>276</v>
      </c>
      <c r="C17" s="160">
        <v>6.0000000000000001E-3</v>
      </c>
    </row>
    <row r="18" spans="1:3" ht="15.95" customHeight="1" x14ac:dyDescent="0.25">
      <c r="A18" s="613" t="s">
        <v>277</v>
      </c>
      <c r="B18" s="613"/>
      <c r="C18" s="163">
        <f>SUM(C10:C17)</f>
        <v>0.39800000000000008</v>
      </c>
    </row>
    <row r="19" spans="1:3" ht="15.95" customHeight="1" x14ac:dyDescent="0.25">
      <c r="A19" s="614" t="s">
        <v>278</v>
      </c>
      <c r="B19" s="614"/>
      <c r="C19" s="614"/>
    </row>
    <row r="20" spans="1:3" ht="15.95" customHeight="1" x14ac:dyDescent="0.25">
      <c r="A20" s="614" t="s">
        <v>279</v>
      </c>
      <c r="B20" s="614"/>
      <c r="C20" s="614"/>
    </row>
    <row r="21" spans="1:3" ht="15.95" customHeight="1" x14ac:dyDescent="0.25">
      <c r="A21" s="158">
        <v>9</v>
      </c>
      <c r="B21" s="164" t="s">
        <v>280</v>
      </c>
      <c r="C21" s="165">
        <f>ROUND((100%/11),4)</f>
        <v>9.0899999999999995E-2</v>
      </c>
    </row>
    <row r="22" spans="1:3" ht="15.95" customHeight="1" x14ac:dyDescent="0.25">
      <c r="A22" s="158">
        <v>10</v>
      </c>
      <c r="B22" s="164" t="s">
        <v>281</v>
      </c>
      <c r="C22" s="165">
        <f>ROUND((C21/3),4)</f>
        <v>3.0300000000000001E-2</v>
      </c>
    </row>
    <row r="23" spans="1:3" ht="15.95" customHeight="1" x14ac:dyDescent="0.25">
      <c r="A23" s="615" t="s">
        <v>282</v>
      </c>
      <c r="B23" s="615"/>
      <c r="C23" s="166">
        <f>SUM(C21:C22)</f>
        <v>0.1212</v>
      </c>
    </row>
    <row r="24" spans="1:3" ht="15.95" customHeight="1" x14ac:dyDescent="0.25">
      <c r="A24" s="616" t="s">
        <v>283</v>
      </c>
      <c r="B24" s="616"/>
      <c r="C24" s="161">
        <f>(C18*C23)</f>
        <v>4.8237600000000012E-2</v>
      </c>
    </row>
    <row r="25" spans="1:3" ht="15.95" customHeight="1" x14ac:dyDescent="0.25">
      <c r="A25" s="615" t="s">
        <v>284</v>
      </c>
      <c r="B25" s="615"/>
      <c r="C25" s="166">
        <f>SUM(C23:C24)</f>
        <v>0.16943760000000002</v>
      </c>
    </row>
    <row r="26" spans="1:3" ht="15.95" customHeight="1" x14ac:dyDescent="0.25">
      <c r="A26" s="157" t="s">
        <v>285</v>
      </c>
      <c r="B26" s="612" t="s">
        <v>286</v>
      </c>
      <c r="C26" s="612"/>
    </row>
    <row r="27" spans="1:3" ht="15.95" customHeight="1" x14ac:dyDescent="0.25">
      <c r="A27" s="158">
        <v>11</v>
      </c>
      <c r="B27" s="159" t="s">
        <v>287</v>
      </c>
      <c r="C27" s="167">
        <f>ROUND((0.0144*0.1*0.4509*6/12),4)</f>
        <v>2.9999999999999997E-4</v>
      </c>
    </row>
    <row r="28" spans="1:3" ht="15.95" customHeight="1" x14ac:dyDescent="0.25">
      <c r="A28" s="616" t="s">
        <v>288</v>
      </c>
      <c r="B28" s="616"/>
      <c r="C28" s="168">
        <f>C18*C27</f>
        <v>1.1940000000000002E-4</v>
      </c>
    </row>
    <row r="29" spans="1:3" ht="15.95" customHeight="1" x14ac:dyDescent="0.25">
      <c r="A29" s="615" t="s">
        <v>289</v>
      </c>
      <c r="B29" s="615"/>
      <c r="C29" s="169">
        <f>SUM(C27:C28)</f>
        <v>4.194E-4</v>
      </c>
    </row>
    <row r="30" spans="1:3" ht="15.95" customHeight="1" x14ac:dyDescent="0.25">
      <c r="A30" s="157" t="s">
        <v>290</v>
      </c>
      <c r="B30" s="612" t="s">
        <v>291</v>
      </c>
      <c r="C30" s="612"/>
    </row>
    <row r="31" spans="1:3" ht="15.95" customHeight="1" x14ac:dyDescent="0.25">
      <c r="A31" s="158">
        <v>12</v>
      </c>
      <c r="B31" s="159" t="s">
        <v>292</v>
      </c>
      <c r="C31" s="160">
        <f>ROUND((100%/12)*5%,4)</f>
        <v>4.1999999999999997E-3</v>
      </c>
    </row>
    <row r="32" spans="1:3" ht="15.95" customHeight="1" x14ac:dyDescent="0.25">
      <c r="A32" s="617" t="s">
        <v>293</v>
      </c>
      <c r="B32" s="617"/>
      <c r="C32" s="161">
        <f>C15*C31</f>
        <v>3.3599999999999998E-4</v>
      </c>
    </row>
    <row r="33" spans="1:8" ht="15.95" customHeight="1" x14ac:dyDescent="0.25">
      <c r="A33" s="158">
        <v>13</v>
      </c>
      <c r="B33" s="159" t="s">
        <v>294</v>
      </c>
      <c r="C33" s="165">
        <f>ROUND((C15*0.4*0.9*(1+1/11+1/11+(1/3*1/11))),5)</f>
        <v>3.4909999999999997E-2</v>
      </c>
    </row>
    <row r="34" spans="1:8" ht="15.95" customHeight="1" x14ac:dyDescent="0.25">
      <c r="A34" s="158">
        <v>14</v>
      </c>
      <c r="B34" s="159" t="s">
        <v>295</v>
      </c>
      <c r="C34" s="160">
        <f>ROUND((100%/30)*7/12,4)</f>
        <v>1.9400000000000001E-2</v>
      </c>
    </row>
    <row r="35" spans="1:8" ht="15.95" customHeight="1" x14ac:dyDescent="0.25">
      <c r="A35" s="617" t="s">
        <v>296</v>
      </c>
      <c r="B35" s="617"/>
      <c r="C35" s="161">
        <f>ROUND((C34*C18),4)</f>
        <v>7.7000000000000002E-3</v>
      </c>
    </row>
    <row r="36" spans="1:8" ht="15.95" customHeight="1" x14ac:dyDescent="0.25">
      <c r="A36" s="158">
        <v>15</v>
      </c>
      <c r="B36" s="159" t="s">
        <v>297</v>
      </c>
      <c r="C36" s="161">
        <f>(0.4*C15/100)</f>
        <v>3.2000000000000003E-4</v>
      </c>
    </row>
    <row r="37" spans="1:8" ht="15.95" customHeight="1" x14ac:dyDescent="0.25">
      <c r="A37" s="618" t="s">
        <v>298</v>
      </c>
      <c r="B37" s="618"/>
      <c r="C37" s="166">
        <f>SUM(C31:C36)</f>
        <v>6.6865999999999995E-2</v>
      </c>
    </row>
    <row r="38" spans="1:8" ht="15.95" customHeight="1" x14ac:dyDescent="0.25">
      <c r="A38" s="157" t="s">
        <v>299</v>
      </c>
      <c r="B38" s="612" t="s">
        <v>300</v>
      </c>
      <c r="C38" s="612"/>
    </row>
    <row r="39" spans="1:8" ht="15.95" customHeight="1" x14ac:dyDescent="0.25">
      <c r="A39" s="158">
        <v>16</v>
      </c>
      <c r="B39" s="159" t="s">
        <v>301</v>
      </c>
      <c r="C39" s="165">
        <f>ROUND((100%/11),4)</f>
        <v>9.0899999999999995E-2</v>
      </c>
    </row>
    <row r="40" spans="1:8" ht="15.95" customHeight="1" x14ac:dyDescent="0.25">
      <c r="A40" s="158">
        <v>17</v>
      </c>
      <c r="B40" s="159" t="s">
        <v>302</v>
      </c>
      <c r="C40" s="160">
        <f>ROUND((5.96/30/12),4)</f>
        <v>1.66E-2</v>
      </c>
    </row>
    <row r="41" spans="1:8" ht="15.95" customHeight="1" x14ac:dyDescent="0.25">
      <c r="A41" s="158">
        <v>18</v>
      </c>
      <c r="B41" s="159" t="s">
        <v>303</v>
      </c>
      <c r="C41" s="160">
        <f>ROUND((5/30/12)*0.022,4)</f>
        <v>2.9999999999999997E-4</v>
      </c>
    </row>
    <row r="42" spans="1:8" ht="15.95" customHeight="1" x14ac:dyDescent="0.25">
      <c r="A42" s="158">
        <v>19</v>
      </c>
      <c r="B42" s="159" t="s">
        <v>304</v>
      </c>
      <c r="C42" s="160">
        <f>ROUND((1/30/12),4)</f>
        <v>2.8E-3</v>
      </c>
    </row>
    <row r="43" spans="1:8" ht="15.95" customHeight="1" x14ac:dyDescent="0.25">
      <c r="A43" s="158">
        <v>20</v>
      </c>
      <c r="B43" s="159" t="s">
        <v>305</v>
      </c>
      <c r="C43" s="160">
        <f>ROUND((15/30/12*0.0078),4)</f>
        <v>2.9999999999999997E-4</v>
      </c>
    </row>
    <row r="44" spans="1:8" ht="15.95" customHeight="1" x14ac:dyDescent="0.25">
      <c r="A44" s="618" t="s">
        <v>282</v>
      </c>
      <c r="B44" s="618"/>
      <c r="C44" s="166">
        <f>SUM(C39:C43)</f>
        <v>0.11089999999999998</v>
      </c>
      <c r="E44" s="619" t="s">
        <v>306</v>
      </c>
      <c r="F44" s="619"/>
      <c r="G44" s="619"/>
      <c r="H44" s="619"/>
    </row>
    <row r="45" spans="1:8" ht="15.95" customHeight="1" x14ac:dyDescent="0.25">
      <c r="A45" s="617" t="s">
        <v>307</v>
      </c>
      <c r="B45" s="617"/>
      <c r="C45" s="161">
        <f>C18*C44</f>
        <v>4.4138200000000002E-2</v>
      </c>
      <c r="E45" s="619"/>
      <c r="F45" s="619"/>
      <c r="G45" s="619"/>
      <c r="H45" s="619"/>
    </row>
    <row r="46" spans="1:8" ht="15" customHeight="1" x14ac:dyDescent="0.25">
      <c r="A46" s="618" t="s">
        <v>308</v>
      </c>
      <c r="B46" s="618"/>
      <c r="C46" s="166">
        <f>SUM(C44:C45)</f>
        <v>0.15503819999999999</v>
      </c>
      <c r="E46" s="620" t="s">
        <v>309</v>
      </c>
      <c r="F46" s="621" t="s">
        <v>310</v>
      </c>
      <c r="G46" s="621"/>
      <c r="H46" s="621"/>
    </row>
    <row r="47" spans="1:8" ht="15.95" customHeight="1" x14ac:dyDescent="0.25">
      <c r="A47" s="170" t="s">
        <v>311</v>
      </c>
      <c r="B47" s="171" t="s">
        <v>312</v>
      </c>
      <c r="C47" s="172" t="s">
        <v>183</v>
      </c>
      <c r="E47" s="620"/>
      <c r="F47" s="621" t="s">
        <v>313</v>
      </c>
      <c r="G47" s="621"/>
      <c r="H47" s="621"/>
    </row>
    <row r="48" spans="1:8" ht="15.95" customHeight="1" x14ac:dyDescent="0.25">
      <c r="A48" s="158">
        <v>21</v>
      </c>
      <c r="B48" s="159" t="s">
        <v>314</v>
      </c>
      <c r="C48" s="160">
        <f>1*1%/12</f>
        <v>8.3333333333333339E-4</v>
      </c>
      <c r="E48" s="173" t="s">
        <v>315</v>
      </c>
      <c r="F48" s="174" t="s">
        <v>316</v>
      </c>
      <c r="G48" s="174" t="s">
        <v>317</v>
      </c>
      <c r="H48" s="175" t="s">
        <v>318</v>
      </c>
    </row>
    <row r="49" spans="1:8" ht="15.95" customHeight="1" x14ac:dyDescent="0.25">
      <c r="A49" s="618" t="s">
        <v>319</v>
      </c>
      <c r="B49" s="618"/>
      <c r="C49" s="166">
        <f>SUM(C47:C48)</f>
        <v>8.3333333333333339E-4</v>
      </c>
      <c r="E49" s="173" t="s">
        <v>320</v>
      </c>
      <c r="F49" s="176">
        <v>0.34300000000000003</v>
      </c>
      <c r="G49" s="176">
        <v>0.39800000000000002</v>
      </c>
      <c r="H49" s="177">
        <f>$C$18</f>
        <v>0.39800000000000008</v>
      </c>
    </row>
    <row r="50" spans="1:8" ht="15.95" customHeight="1" x14ac:dyDescent="0.25">
      <c r="A50" s="622" t="s">
        <v>321</v>
      </c>
      <c r="B50" s="622"/>
      <c r="C50" s="622"/>
      <c r="E50" s="173" t="s">
        <v>322</v>
      </c>
      <c r="F50" s="176">
        <v>5.0000000000000001E-3</v>
      </c>
      <c r="G50" s="176">
        <v>0.06</v>
      </c>
      <c r="H50" s="177">
        <f>$C$16</f>
        <v>0.06</v>
      </c>
    </row>
    <row r="51" spans="1:8" ht="15.95" customHeight="1" x14ac:dyDescent="0.25">
      <c r="A51" s="617" t="s">
        <v>267</v>
      </c>
      <c r="B51" s="617"/>
      <c r="C51" s="161">
        <f>ROUND(C18,4)</f>
        <v>0.39800000000000002</v>
      </c>
      <c r="E51" s="178" t="s">
        <v>323</v>
      </c>
      <c r="F51" s="179">
        <f>$C$21</f>
        <v>9.0899999999999995E-2</v>
      </c>
      <c r="G51" s="179">
        <f>$F$51</f>
        <v>9.0899999999999995E-2</v>
      </c>
      <c r="H51" s="180">
        <f>$F$51</f>
        <v>9.0899999999999995E-2</v>
      </c>
    </row>
    <row r="52" spans="1:8" ht="15.95" customHeight="1" x14ac:dyDescent="0.25">
      <c r="A52" s="617" t="s">
        <v>324</v>
      </c>
      <c r="B52" s="617"/>
      <c r="C52" s="161">
        <f>ROUND(C25,4)</f>
        <v>0.1694</v>
      </c>
      <c r="E52" s="178" t="s">
        <v>325</v>
      </c>
      <c r="F52" s="179">
        <f>$C$39</f>
        <v>9.0899999999999995E-2</v>
      </c>
      <c r="G52" s="179">
        <f>$F$52</f>
        <v>9.0899999999999995E-2</v>
      </c>
      <c r="H52" s="180">
        <f>$F$52</f>
        <v>9.0899999999999995E-2</v>
      </c>
    </row>
    <row r="53" spans="1:8" ht="15.95" customHeight="1" x14ac:dyDescent="0.25">
      <c r="A53" s="617" t="s">
        <v>286</v>
      </c>
      <c r="B53" s="617"/>
      <c r="C53" s="161">
        <f>ROUND(C29,4)</f>
        <v>4.0000000000000002E-4</v>
      </c>
      <c r="E53" s="178" t="s">
        <v>326</v>
      </c>
      <c r="F53" s="179">
        <f>$C$22</f>
        <v>3.0300000000000001E-2</v>
      </c>
      <c r="G53" s="179">
        <f>$F$53</f>
        <v>3.0300000000000001E-2</v>
      </c>
      <c r="H53" s="180">
        <f>$F$53</f>
        <v>3.0300000000000001E-2</v>
      </c>
    </row>
    <row r="54" spans="1:8" ht="15.95" customHeight="1" x14ac:dyDescent="0.25">
      <c r="A54" s="617" t="s">
        <v>327</v>
      </c>
      <c r="B54" s="617"/>
      <c r="C54" s="161">
        <f>ROUND(C37,4)</f>
        <v>6.6900000000000001E-2</v>
      </c>
      <c r="E54" s="181" t="s">
        <v>282</v>
      </c>
      <c r="F54" s="182">
        <f>SUM(F51:F53)</f>
        <v>0.21209999999999998</v>
      </c>
      <c r="G54" s="182">
        <f>SUM(G51:G53)</f>
        <v>0.21209999999999998</v>
      </c>
      <c r="H54" s="183">
        <f>SUM(H51:H53)</f>
        <v>0.21209999999999998</v>
      </c>
    </row>
    <row r="55" spans="1:8" ht="15.95" customHeight="1" x14ac:dyDescent="0.25">
      <c r="A55" s="617" t="s">
        <v>328</v>
      </c>
      <c r="B55" s="617"/>
      <c r="C55" s="161">
        <f>ROUND(C46,4)</f>
        <v>0.155</v>
      </c>
      <c r="E55" s="178" t="s">
        <v>329</v>
      </c>
      <c r="F55" s="179">
        <f>F54*F49</f>
        <v>7.2750300000000004E-2</v>
      </c>
      <c r="G55" s="179">
        <f>G54*G49</f>
        <v>8.4415799999999999E-2</v>
      </c>
      <c r="H55" s="180">
        <f>H54*H49</f>
        <v>8.4415800000000013E-2</v>
      </c>
    </row>
    <row r="56" spans="1:8" ht="15.95" customHeight="1" x14ac:dyDescent="0.25">
      <c r="A56" s="617" t="s">
        <v>314</v>
      </c>
      <c r="B56" s="617"/>
      <c r="C56" s="161">
        <f>ROUND(C49,4)</f>
        <v>8.0000000000000004E-4</v>
      </c>
      <c r="E56" s="178" t="s">
        <v>330</v>
      </c>
      <c r="F56" s="179">
        <v>3.4909999999999997E-2</v>
      </c>
      <c r="G56" s="179">
        <v>3.4909999999999997E-2</v>
      </c>
      <c r="H56" s="180">
        <v>3.4909999999999997E-2</v>
      </c>
    </row>
    <row r="57" spans="1:8" ht="15.95" customHeight="1" x14ac:dyDescent="0.25">
      <c r="A57" s="623" t="s">
        <v>331</v>
      </c>
      <c r="B57" s="623"/>
      <c r="C57" s="163">
        <f>SUM(C51:C56)</f>
        <v>0.79049999999999998</v>
      </c>
      <c r="E57" s="184" t="s">
        <v>332</v>
      </c>
      <c r="F57" s="185">
        <v>0.3197603</v>
      </c>
      <c r="G57" s="185">
        <v>0.33142579999999999</v>
      </c>
      <c r="H57" s="186">
        <v>0.33142579999999999</v>
      </c>
    </row>
    <row r="58" spans="1:8" ht="24" x14ac:dyDescent="0.25">
      <c r="A58" s="187" t="s">
        <v>49</v>
      </c>
      <c r="B58" s="188"/>
      <c r="C58" s="189"/>
      <c r="E58" s="178" t="s">
        <v>333</v>
      </c>
      <c r="F58" s="179" t="s">
        <v>183</v>
      </c>
      <c r="G58" s="179" t="s">
        <v>183</v>
      </c>
      <c r="H58" s="180" t="s">
        <v>183</v>
      </c>
    </row>
    <row r="59" spans="1:8" ht="54.75" customHeight="1" x14ac:dyDescent="0.25">
      <c r="A59" s="624" t="s">
        <v>334</v>
      </c>
      <c r="B59" s="624"/>
      <c r="C59" s="624"/>
      <c r="E59" s="190" t="s">
        <v>335</v>
      </c>
      <c r="F59" s="191">
        <v>0.3197603</v>
      </c>
      <c r="G59" s="191">
        <v>0.33142579999999999</v>
      </c>
      <c r="H59" s="192">
        <v>0.33142579999999999</v>
      </c>
    </row>
    <row r="61" spans="1:8" ht="12.75" customHeight="1" x14ac:dyDescent="0.25"/>
  </sheetData>
  <sheetProtection password="C494" sheet="1" objects="1" scenarios="1"/>
  <mergeCells count="36">
    <mergeCell ref="A54:B54"/>
    <mergeCell ref="A55:B55"/>
    <mergeCell ref="A56:B56"/>
    <mergeCell ref="A57:B57"/>
    <mergeCell ref="A59:C59"/>
    <mergeCell ref="A49:B49"/>
    <mergeCell ref="A50:C50"/>
    <mergeCell ref="A51:B51"/>
    <mergeCell ref="A52:B52"/>
    <mergeCell ref="A53:B53"/>
    <mergeCell ref="E44:H45"/>
    <mergeCell ref="A45:B45"/>
    <mergeCell ref="A46:B46"/>
    <mergeCell ref="E46:E47"/>
    <mergeCell ref="F46:H46"/>
    <mergeCell ref="F47:H47"/>
    <mergeCell ref="A32:B32"/>
    <mergeCell ref="A35:B35"/>
    <mergeCell ref="A37:B37"/>
    <mergeCell ref="B38:C38"/>
    <mergeCell ref="A44:B44"/>
    <mergeCell ref="A25:B25"/>
    <mergeCell ref="B26:C26"/>
    <mergeCell ref="A28:B28"/>
    <mergeCell ref="A29:B29"/>
    <mergeCell ref="B30:C30"/>
    <mergeCell ref="A18:B18"/>
    <mergeCell ref="A19:C19"/>
    <mergeCell ref="A20:C20"/>
    <mergeCell ref="A23:B23"/>
    <mergeCell ref="A24:B24"/>
    <mergeCell ref="A4:C4"/>
    <mergeCell ref="A5:C5"/>
    <mergeCell ref="A6:C6"/>
    <mergeCell ref="A7:C7"/>
    <mergeCell ref="B9:C9"/>
  </mergeCells>
  <pageMargins left="0.51180555555555496" right="0.51180555555555496" top="0.78749999999999998" bottom="0.78749999999999998" header="0.51180555555555496" footer="0.51180555555555496"/>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sheetPr>
  <dimension ref="A1:L38"/>
  <sheetViews>
    <sheetView showGridLines="0" topLeftCell="A3" zoomScaleNormal="100" zoomScaleSheetLayoutView="80" zoomScalePageLayoutView="85" workbookViewId="0">
      <selection activeCell="B20" sqref="B20"/>
    </sheetView>
  </sheetViews>
  <sheetFormatPr defaultColWidth="9" defaultRowHeight="15" x14ac:dyDescent="0.25"/>
  <cols>
    <col min="1" max="1" width="5" style="425" customWidth="1"/>
    <col min="2" max="2" width="59.140625" style="422" customWidth="1"/>
    <col min="3" max="3" width="7.5703125" style="422" customWidth="1"/>
    <col min="4" max="4" width="13.5703125" style="422" customWidth="1"/>
    <col min="5" max="5" width="11.5703125" style="422" customWidth="1"/>
    <col min="6" max="6" width="9.42578125" style="425" customWidth="1"/>
    <col min="7" max="7" width="11.42578125" style="422" customWidth="1"/>
    <col min="8" max="8" width="6.42578125" style="453" customWidth="1"/>
    <col min="9" max="9" width="4.28515625" style="453" customWidth="1"/>
    <col min="10" max="10" width="6.42578125" style="453" customWidth="1"/>
    <col min="11" max="11" width="12.42578125" style="422" customWidth="1"/>
    <col min="12" max="12" width="10" style="453" customWidth="1"/>
    <col min="13" max="256" width="9" style="453"/>
    <col min="257" max="257" width="8.28515625" style="453" customWidth="1"/>
    <col min="258" max="258" width="44.5703125" style="453" customWidth="1"/>
    <col min="259" max="259" width="7.42578125" style="453" customWidth="1"/>
    <col min="260" max="260" width="13" style="453" customWidth="1"/>
    <col min="261" max="261" width="11.7109375" style="453" customWidth="1"/>
    <col min="262" max="262" width="10.5703125" style="453" customWidth="1"/>
    <col min="263" max="263" width="14.42578125" style="453" customWidth="1"/>
    <col min="264" max="264" width="35.42578125" style="453" customWidth="1"/>
    <col min="265" max="265" width="14" style="453" customWidth="1"/>
    <col min="266" max="266" width="11.7109375" style="453" customWidth="1"/>
    <col min="267" max="267" width="13.5703125" style="453" customWidth="1"/>
    <col min="268" max="512" width="9" style="453"/>
    <col min="513" max="513" width="8.28515625" style="453" customWidth="1"/>
    <col min="514" max="514" width="44.5703125" style="453" customWidth="1"/>
    <col min="515" max="515" width="7.42578125" style="453" customWidth="1"/>
    <col min="516" max="516" width="13" style="453" customWidth="1"/>
    <col min="517" max="517" width="11.7109375" style="453" customWidth="1"/>
    <col min="518" max="518" width="10.5703125" style="453" customWidth="1"/>
    <col min="519" max="519" width="14.42578125" style="453" customWidth="1"/>
    <col min="520" max="520" width="35.42578125" style="453" customWidth="1"/>
    <col min="521" max="521" width="14" style="453" customWidth="1"/>
    <col min="522" max="522" width="11.7109375" style="453" customWidth="1"/>
    <col min="523" max="523" width="13.5703125" style="453" customWidth="1"/>
    <col min="524" max="768" width="9" style="453"/>
    <col min="769" max="769" width="8.28515625" style="453" customWidth="1"/>
    <col min="770" max="770" width="44.5703125" style="453" customWidth="1"/>
    <col min="771" max="771" width="7.42578125" style="453" customWidth="1"/>
    <col min="772" max="772" width="13" style="453" customWidth="1"/>
    <col min="773" max="773" width="11.7109375" style="453" customWidth="1"/>
    <col min="774" max="774" width="10.5703125" style="453" customWidth="1"/>
    <col min="775" max="775" width="14.42578125" style="453" customWidth="1"/>
    <col min="776" max="776" width="35.42578125" style="453" customWidth="1"/>
    <col min="777" max="777" width="14" style="453" customWidth="1"/>
    <col min="778" max="778" width="11.7109375" style="453" customWidth="1"/>
    <col min="779" max="779" width="13.5703125" style="453" customWidth="1"/>
    <col min="780" max="16384" width="9" style="453"/>
  </cols>
  <sheetData>
    <row r="1" spans="1:12" s="422" customFormat="1" ht="15" customHeight="1" x14ac:dyDescent="0.2">
      <c r="A1" s="417"/>
      <c r="B1" s="418" t="str">
        <f>INSTRUÇÕES!B1</f>
        <v>Tribunal Regional Federal da 6ª Região</v>
      </c>
      <c r="C1" s="419"/>
      <c r="D1" s="419"/>
      <c r="E1" s="419"/>
      <c r="F1" s="420"/>
      <c r="G1" s="419"/>
      <c r="H1" s="421"/>
    </row>
    <row r="2" spans="1:12" s="422" customFormat="1" ht="17.25" customHeight="1" x14ac:dyDescent="0.2">
      <c r="A2" s="423"/>
      <c r="B2" s="424" t="str">
        <f>INSTRUÇÕES!B2</f>
        <v>Seção Judiciária de Minas Gerais</v>
      </c>
      <c r="F2" s="425"/>
      <c r="H2" s="426"/>
    </row>
    <row r="3" spans="1:12" s="422" customFormat="1" ht="16.5" customHeight="1" x14ac:dyDescent="0.2">
      <c r="A3" s="423"/>
      <c r="B3" s="424" t="str">
        <f>INSTRUÇÕES!B3</f>
        <v>Subseção Judiciária de Janaúba</v>
      </c>
      <c r="F3" s="425"/>
      <c r="H3" s="426"/>
    </row>
    <row r="4" spans="1:12" s="422" customFormat="1" ht="27.75" customHeight="1" x14ac:dyDescent="0.2">
      <c r="A4" s="627" t="s">
        <v>336</v>
      </c>
      <c r="B4" s="627"/>
      <c r="C4" s="627"/>
      <c r="D4" s="627"/>
      <c r="E4" s="627"/>
      <c r="F4" s="627"/>
      <c r="G4" s="627"/>
      <c r="H4" s="627"/>
      <c r="I4" s="427"/>
      <c r="J4" s="427"/>
    </row>
    <row r="5" spans="1:12" s="428" customFormat="1" ht="39" customHeight="1" x14ac:dyDescent="0.25">
      <c r="A5" s="628" t="s">
        <v>608</v>
      </c>
      <c r="B5" s="628"/>
      <c r="C5" s="628"/>
      <c r="D5" s="628"/>
      <c r="E5" s="628"/>
      <c r="F5" s="628"/>
      <c r="G5" s="628"/>
      <c r="H5" s="628"/>
      <c r="K5" s="429"/>
    </row>
    <row r="6" spans="1:12" s="422" customFormat="1" ht="12.75" customHeight="1" x14ac:dyDescent="0.2">
      <c r="A6" s="629" t="s">
        <v>56</v>
      </c>
      <c r="B6" s="630" t="s">
        <v>337</v>
      </c>
      <c r="C6" s="630"/>
      <c r="D6" s="630"/>
      <c r="E6" s="631" t="s">
        <v>58</v>
      </c>
      <c r="F6" s="631"/>
      <c r="G6" s="631"/>
      <c r="H6" s="632" t="s">
        <v>607</v>
      </c>
      <c r="I6" s="430"/>
      <c r="J6" s="430"/>
    </row>
    <row r="7" spans="1:12" s="422" customFormat="1" ht="12.75" customHeight="1" x14ac:dyDescent="0.2">
      <c r="A7" s="629"/>
      <c r="B7" s="630"/>
      <c r="C7" s="630"/>
      <c r="D7" s="630"/>
      <c r="E7" s="631"/>
      <c r="F7" s="631"/>
      <c r="G7" s="631"/>
      <c r="H7" s="632"/>
      <c r="I7" s="430"/>
      <c r="J7" s="625" t="s">
        <v>338</v>
      </c>
      <c r="K7" s="625"/>
      <c r="L7" s="625"/>
    </row>
    <row r="8" spans="1:12" s="422" customFormat="1" ht="25.5" x14ac:dyDescent="0.2">
      <c r="A8" s="629"/>
      <c r="B8" s="431" t="s">
        <v>62</v>
      </c>
      <c r="C8" s="431" t="s">
        <v>63</v>
      </c>
      <c r="D8" s="431" t="s">
        <v>64</v>
      </c>
      <c r="E8" s="431" t="s">
        <v>67</v>
      </c>
      <c r="F8" s="431" t="s">
        <v>339</v>
      </c>
      <c r="G8" s="431" t="s">
        <v>66</v>
      </c>
      <c r="H8" s="632"/>
      <c r="I8" s="430"/>
      <c r="J8" s="432" t="s">
        <v>340</v>
      </c>
      <c r="K8" s="432" t="s">
        <v>69</v>
      </c>
      <c r="L8" s="432" t="s">
        <v>341</v>
      </c>
    </row>
    <row r="9" spans="1:12" s="422" customFormat="1" ht="38.25" x14ac:dyDescent="0.2">
      <c r="A9" s="365">
        <v>1</v>
      </c>
      <c r="B9" s="433" t="s">
        <v>508</v>
      </c>
      <c r="C9" s="433" t="s">
        <v>63</v>
      </c>
      <c r="D9" s="434" t="s">
        <v>534</v>
      </c>
      <c r="E9" s="435">
        <f>'Ocorrências Mensais - FAT'!G26</f>
        <v>3</v>
      </c>
      <c r="F9" s="436">
        <v>12.22</v>
      </c>
      <c r="G9" s="437">
        <f t="shared" ref="G9:G36" si="0">E9*F9</f>
        <v>36.660000000000004</v>
      </c>
      <c r="H9" s="438"/>
      <c r="I9" s="430"/>
      <c r="J9" s="439">
        <v>3</v>
      </c>
      <c r="K9" s="440" t="s">
        <v>342</v>
      </c>
      <c r="L9" s="441">
        <f t="shared" ref="L9:L36" si="1">IF(K9="Semestral",6,IF(K9="Mensal",1,IF(K9="Anual",12,IF(K9="Bienal",24,IF(K9="Trimestral",3,IF(K9="Bimestral",2,IF(K9="Quadrimestral",4)))))))</f>
        <v>1</v>
      </c>
    </row>
    <row r="10" spans="1:12" s="422" customFormat="1" ht="12.75" x14ac:dyDescent="0.2">
      <c r="A10" s="365">
        <v>2</v>
      </c>
      <c r="B10" s="442" t="s">
        <v>509</v>
      </c>
      <c r="C10" s="442" t="s">
        <v>63</v>
      </c>
      <c r="D10" s="443" t="s">
        <v>609</v>
      </c>
      <c r="E10" s="435">
        <f>'Ocorrências Mensais - FAT'!G27</f>
        <v>0.66666666666666663</v>
      </c>
      <c r="F10" s="436">
        <v>14.55</v>
      </c>
      <c r="G10" s="437">
        <f t="shared" si="0"/>
        <v>9.6999999999999993</v>
      </c>
      <c r="H10" s="438"/>
      <c r="I10" s="430"/>
      <c r="J10" s="444">
        <v>2</v>
      </c>
      <c r="K10" s="440" t="s">
        <v>344</v>
      </c>
      <c r="L10" s="441">
        <f t="shared" si="1"/>
        <v>3</v>
      </c>
    </row>
    <row r="11" spans="1:12" s="422" customFormat="1" ht="12.75" x14ac:dyDescent="0.2">
      <c r="A11" s="365">
        <v>3</v>
      </c>
      <c r="B11" s="442" t="s">
        <v>510</v>
      </c>
      <c r="C11" s="442" t="s">
        <v>78</v>
      </c>
      <c r="D11" s="443" t="s">
        <v>535</v>
      </c>
      <c r="E11" s="435">
        <f>'Ocorrências Mensais - FAT'!G28</f>
        <v>0.33333333333333331</v>
      </c>
      <c r="F11" s="436">
        <v>19.57</v>
      </c>
      <c r="G11" s="437">
        <f t="shared" si="0"/>
        <v>6.5233333333333334</v>
      </c>
      <c r="H11" s="438"/>
      <c r="I11" s="430"/>
      <c r="J11" s="444">
        <v>2</v>
      </c>
      <c r="K11" s="440" t="s">
        <v>343</v>
      </c>
      <c r="L11" s="441">
        <f t="shared" si="1"/>
        <v>6</v>
      </c>
    </row>
    <row r="12" spans="1:12" s="422" customFormat="1" ht="12.75" x14ac:dyDescent="0.2">
      <c r="A12" s="365">
        <v>4</v>
      </c>
      <c r="B12" s="442" t="s">
        <v>511</v>
      </c>
      <c r="C12" s="442" t="s">
        <v>78</v>
      </c>
      <c r="D12" s="443" t="s">
        <v>535</v>
      </c>
      <c r="E12" s="435">
        <f>'Ocorrências Mensais - FAT'!G29</f>
        <v>0.33333333333333331</v>
      </c>
      <c r="F12" s="436">
        <v>12.38</v>
      </c>
      <c r="G12" s="437">
        <f t="shared" si="0"/>
        <v>4.1266666666666669</v>
      </c>
      <c r="H12" s="438"/>
      <c r="I12" s="430"/>
      <c r="J12" s="444">
        <v>2</v>
      </c>
      <c r="K12" s="440" t="s">
        <v>343</v>
      </c>
      <c r="L12" s="441">
        <f t="shared" si="1"/>
        <v>6</v>
      </c>
    </row>
    <row r="13" spans="1:12" s="422" customFormat="1" ht="12.75" x14ac:dyDescent="0.2">
      <c r="A13" s="365">
        <v>5</v>
      </c>
      <c r="B13" s="445" t="s">
        <v>512</v>
      </c>
      <c r="C13" s="442" t="s">
        <v>513</v>
      </c>
      <c r="D13" s="443" t="s">
        <v>536</v>
      </c>
      <c r="E13" s="435">
        <f>'Ocorrências Mensais - FAT'!G30</f>
        <v>1</v>
      </c>
      <c r="F13" s="436">
        <v>31.92</v>
      </c>
      <c r="G13" s="437">
        <f t="shared" si="0"/>
        <v>31.92</v>
      </c>
      <c r="H13" s="438"/>
      <c r="I13" s="430"/>
      <c r="J13" s="444">
        <v>1</v>
      </c>
      <c r="K13" s="440" t="s">
        <v>342</v>
      </c>
      <c r="L13" s="441">
        <f t="shared" si="1"/>
        <v>1</v>
      </c>
    </row>
    <row r="14" spans="1:12" s="422" customFormat="1" ht="12.75" x14ac:dyDescent="0.2">
      <c r="A14" s="365">
        <v>6</v>
      </c>
      <c r="B14" s="442" t="s">
        <v>514</v>
      </c>
      <c r="C14" s="442" t="s">
        <v>515</v>
      </c>
      <c r="D14" s="443" t="s">
        <v>537</v>
      </c>
      <c r="E14" s="435">
        <f>'Ocorrências Mensais - FAT'!G31</f>
        <v>50</v>
      </c>
      <c r="F14" s="436">
        <v>3.8</v>
      </c>
      <c r="G14" s="437">
        <f t="shared" si="0"/>
        <v>190</v>
      </c>
      <c r="H14" s="438"/>
      <c r="I14" s="430"/>
      <c r="J14" s="444">
        <v>50</v>
      </c>
      <c r="K14" s="440" t="s">
        <v>342</v>
      </c>
      <c r="L14" s="441">
        <f t="shared" si="1"/>
        <v>1</v>
      </c>
    </row>
    <row r="15" spans="1:12" s="422" customFormat="1" ht="38.25" x14ac:dyDescent="0.2">
      <c r="A15" s="365">
        <v>7</v>
      </c>
      <c r="B15" s="455" t="s">
        <v>624</v>
      </c>
      <c r="C15" s="455" t="s">
        <v>63</v>
      </c>
      <c r="D15" s="456" t="s">
        <v>583</v>
      </c>
      <c r="E15" s="435">
        <f>'Ocorrências Mensais - FAT'!G32</f>
        <v>5</v>
      </c>
      <c r="F15" s="436">
        <v>3.25</v>
      </c>
      <c r="G15" s="437">
        <f t="shared" si="0"/>
        <v>16.25</v>
      </c>
      <c r="H15" s="438"/>
      <c r="I15" s="430"/>
      <c r="J15" s="444">
        <v>5</v>
      </c>
      <c r="K15" s="440" t="s">
        <v>342</v>
      </c>
      <c r="L15" s="441">
        <f t="shared" si="1"/>
        <v>1</v>
      </c>
    </row>
    <row r="16" spans="1:12" s="422" customFormat="1" ht="12.75" x14ac:dyDescent="0.2">
      <c r="A16" s="365">
        <v>8</v>
      </c>
      <c r="B16" s="442" t="s">
        <v>516</v>
      </c>
      <c r="C16" s="442" t="s">
        <v>63</v>
      </c>
      <c r="D16" s="443" t="s">
        <v>535</v>
      </c>
      <c r="E16" s="435">
        <f>'Ocorrências Mensais - FAT'!G33</f>
        <v>5</v>
      </c>
      <c r="F16" s="436">
        <v>16.98</v>
      </c>
      <c r="G16" s="437">
        <f t="shared" si="0"/>
        <v>84.9</v>
      </c>
      <c r="H16" s="446"/>
      <c r="I16" s="430"/>
      <c r="J16" s="444">
        <v>5</v>
      </c>
      <c r="K16" s="440" t="s">
        <v>342</v>
      </c>
      <c r="L16" s="441">
        <f t="shared" si="1"/>
        <v>1</v>
      </c>
    </row>
    <row r="17" spans="1:12" s="422" customFormat="1" ht="25.5" x14ac:dyDescent="0.2">
      <c r="A17" s="366">
        <v>9</v>
      </c>
      <c r="B17" s="442" t="s">
        <v>517</v>
      </c>
      <c r="C17" s="442" t="s">
        <v>63</v>
      </c>
      <c r="D17" s="443" t="s">
        <v>538</v>
      </c>
      <c r="E17" s="435">
        <f>'Ocorrências Mensais - FAT'!G34</f>
        <v>8</v>
      </c>
      <c r="F17" s="436">
        <v>3.2</v>
      </c>
      <c r="G17" s="437">
        <f t="shared" si="0"/>
        <v>25.6</v>
      </c>
      <c r="H17" s="446"/>
      <c r="I17" s="430"/>
      <c r="J17" s="444">
        <v>8</v>
      </c>
      <c r="K17" s="440" t="s">
        <v>342</v>
      </c>
      <c r="L17" s="441">
        <f t="shared" si="1"/>
        <v>1</v>
      </c>
    </row>
    <row r="18" spans="1:12" s="422" customFormat="1" ht="25.5" x14ac:dyDescent="0.2">
      <c r="A18" s="366">
        <v>10</v>
      </c>
      <c r="B18" s="455" t="s">
        <v>617</v>
      </c>
      <c r="C18" s="442" t="s">
        <v>63</v>
      </c>
      <c r="D18" s="443" t="s">
        <v>616</v>
      </c>
      <c r="E18" s="435">
        <f>'Ocorrências Mensais - FAT'!G35</f>
        <v>8.3333333333333329E-2</v>
      </c>
      <c r="F18" s="436">
        <v>266.63</v>
      </c>
      <c r="G18" s="437">
        <f t="shared" si="0"/>
        <v>22.219166666666666</v>
      </c>
      <c r="H18" s="446"/>
      <c r="I18" s="430"/>
      <c r="J18" s="444">
        <v>1</v>
      </c>
      <c r="K18" s="440" t="s">
        <v>345</v>
      </c>
      <c r="L18" s="441">
        <f t="shared" si="1"/>
        <v>12</v>
      </c>
    </row>
    <row r="19" spans="1:12" s="422" customFormat="1" ht="12.75" x14ac:dyDescent="0.2">
      <c r="A19" s="365">
        <v>11</v>
      </c>
      <c r="B19" s="442" t="s">
        <v>518</v>
      </c>
      <c r="C19" s="442" t="s">
        <v>515</v>
      </c>
      <c r="D19" s="443" t="s">
        <v>539</v>
      </c>
      <c r="E19" s="435">
        <f>'Ocorrências Mensais - FAT'!G36</f>
        <v>6</v>
      </c>
      <c r="F19" s="436">
        <v>4.9400000000000004</v>
      </c>
      <c r="G19" s="437">
        <f t="shared" si="0"/>
        <v>29.64</v>
      </c>
      <c r="H19" s="438"/>
      <c r="I19" s="430"/>
      <c r="J19" s="444">
        <v>6</v>
      </c>
      <c r="K19" s="440" t="s">
        <v>342</v>
      </c>
      <c r="L19" s="441">
        <f t="shared" si="1"/>
        <v>1</v>
      </c>
    </row>
    <row r="20" spans="1:12" s="422" customFormat="1" ht="63.75" x14ac:dyDescent="0.2">
      <c r="A20" s="365">
        <v>12</v>
      </c>
      <c r="B20" s="455" t="s">
        <v>588</v>
      </c>
      <c r="C20" s="455" t="s">
        <v>513</v>
      </c>
      <c r="D20" s="456" t="s">
        <v>582</v>
      </c>
      <c r="E20" s="435">
        <f>'Ocorrências Mensais - FAT'!G37</f>
        <v>1</v>
      </c>
      <c r="F20" s="436">
        <v>50.83</v>
      </c>
      <c r="G20" s="437">
        <f t="shared" si="0"/>
        <v>50.83</v>
      </c>
      <c r="H20" s="438"/>
      <c r="I20" s="430"/>
      <c r="J20" s="444">
        <v>1</v>
      </c>
      <c r="K20" s="440" t="s">
        <v>342</v>
      </c>
      <c r="L20" s="441">
        <f t="shared" si="1"/>
        <v>1</v>
      </c>
    </row>
    <row r="21" spans="1:12" s="422" customFormat="1" ht="25.5" x14ac:dyDescent="0.2">
      <c r="A21" s="365">
        <v>13</v>
      </c>
      <c r="B21" s="442" t="s">
        <v>519</v>
      </c>
      <c r="C21" s="442" t="s">
        <v>515</v>
      </c>
      <c r="D21" s="443" t="s">
        <v>540</v>
      </c>
      <c r="E21" s="435">
        <f>'Ocorrências Mensais - FAT'!G38</f>
        <v>2</v>
      </c>
      <c r="F21" s="436">
        <v>12.4</v>
      </c>
      <c r="G21" s="437">
        <f t="shared" si="0"/>
        <v>24.8</v>
      </c>
      <c r="H21" s="438"/>
      <c r="I21" s="430"/>
      <c r="J21" s="444">
        <v>2</v>
      </c>
      <c r="K21" s="440" t="s">
        <v>342</v>
      </c>
      <c r="L21" s="441">
        <f t="shared" si="1"/>
        <v>1</v>
      </c>
    </row>
    <row r="22" spans="1:12" s="422" customFormat="1" ht="38.25" x14ac:dyDescent="0.2">
      <c r="A22" s="365">
        <v>14</v>
      </c>
      <c r="B22" s="442" t="s">
        <v>520</v>
      </c>
      <c r="C22" s="442" t="s">
        <v>513</v>
      </c>
      <c r="D22" s="443" t="s">
        <v>541</v>
      </c>
      <c r="E22" s="435">
        <f>'Ocorrências Mensais - FAT'!G39</f>
        <v>1</v>
      </c>
      <c r="F22" s="436">
        <v>63.64</v>
      </c>
      <c r="G22" s="437">
        <f t="shared" si="0"/>
        <v>63.64</v>
      </c>
      <c r="H22" s="438"/>
      <c r="I22" s="430"/>
      <c r="J22" s="444">
        <v>1</v>
      </c>
      <c r="K22" s="440" t="s">
        <v>342</v>
      </c>
      <c r="L22" s="441">
        <f t="shared" si="1"/>
        <v>1</v>
      </c>
    </row>
    <row r="23" spans="1:12" s="422" customFormat="1" ht="38.25" x14ac:dyDescent="0.2">
      <c r="A23" s="365">
        <v>15</v>
      </c>
      <c r="B23" s="442" t="s">
        <v>521</v>
      </c>
      <c r="C23" s="442" t="s">
        <v>63</v>
      </c>
      <c r="D23" s="443" t="s">
        <v>542</v>
      </c>
      <c r="E23" s="435">
        <f>'Ocorrências Mensais - FAT'!G40</f>
        <v>3</v>
      </c>
      <c r="F23" s="436">
        <v>8.3000000000000007</v>
      </c>
      <c r="G23" s="437">
        <f t="shared" si="0"/>
        <v>24.900000000000002</v>
      </c>
      <c r="H23" s="438"/>
      <c r="I23" s="430"/>
      <c r="J23" s="444">
        <v>3</v>
      </c>
      <c r="K23" s="440" t="s">
        <v>342</v>
      </c>
      <c r="L23" s="441">
        <f t="shared" si="1"/>
        <v>1</v>
      </c>
    </row>
    <row r="24" spans="1:12" s="422" customFormat="1" ht="12.75" x14ac:dyDescent="0.2">
      <c r="A24" s="365">
        <v>16</v>
      </c>
      <c r="B24" s="442" t="s">
        <v>522</v>
      </c>
      <c r="C24" s="442" t="s">
        <v>515</v>
      </c>
      <c r="D24" s="443"/>
      <c r="E24" s="435">
        <f>'Ocorrências Mensais - FAT'!G41</f>
        <v>8.3333333333333329E-2</v>
      </c>
      <c r="F24" s="436">
        <v>239.92</v>
      </c>
      <c r="G24" s="437">
        <f t="shared" si="0"/>
        <v>19.993333333333332</v>
      </c>
      <c r="H24" s="438"/>
      <c r="I24" s="430"/>
      <c r="J24" s="444">
        <v>1</v>
      </c>
      <c r="K24" s="440" t="s">
        <v>345</v>
      </c>
      <c r="L24" s="441">
        <f t="shared" si="1"/>
        <v>12</v>
      </c>
    </row>
    <row r="25" spans="1:12" s="422" customFormat="1" ht="38.25" x14ac:dyDescent="0.2">
      <c r="A25" s="365">
        <v>17</v>
      </c>
      <c r="B25" s="733" t="s">
        <v>618</v>
      </c>
      <c r="C25" s="455" t="s">
        <v>63</v>
      </c>
      <c r="D25" s="540" t="s">
        <v>614</v>
      </c>
      <c r="E25" s="435">
        <f>'Ocorrências Mensais - FAT'!G42</f>
        <v>0.16666666666666666</v>
      </c>
      <c r="F25" s="436">
        <v>2.98</v>
      </c>
      <c r="G25" s="437">
        <f t="shared" si="0"/>
        <v>0.49666666666666665</v>
      </c>
      <c r="H25" s="438"/>
      <c r="I25" s="430"/>
      <c r="J25" s="444">
        <v>2</v>
      </c>
      <c r="K25" s="440" t="s">
        <v>345</v>
      </c>
      <c r="L25" s="441">
        <f t="shared" si="1"/>
        <v>12</v>
      </c>
    </row>
    <row r="26" spans="1:12" s="422" customFormat="1" ht="12.75" x14ac:dyDescent="0.2">
      <c r="A26" s="365">
        <v>18</v>
      </c>
      <c r="B26" s="442" t="s">
        <v>610</v>
      </c>
      <c r="C26" s="442" t="s">
        <v>515</v>
      </c>
      <c r="D26" s="443" t="s">
        <v>543</v>
      </c>
      <c r="E26" s="435">
        <f>'Ocorrências Mensais - FAT'!G43</f>
        <v>6</v>
      </c>
      <c r="F26" s="436">
        <v>8.73</v>
      </c>
      <c r="G26" s="437">
        <f t="shared" si="0"/>
        <v>52.38</v>
      </c>
      <c r="H26" s="446"/>
      <c r="I26" s="430"/>
      <c r="J26" s="444">
        <v>6</v>
      </c>
      <c r="K26" s="440" t="s">
        <v>342</v>
      </c>
      <c r="L26" s="441">
        <f t="shared" si="1"/>
        <v>1</v>
      </c>
    </row>
    <row r="27" spans="1:12" s="422" customFormat="1" ht="12.75" x14ac:dyDescent="0.2">
      <c r="A27" s="365">
        <v>19</v>
      </c>
      <c r="B27" s="442" t="s">
        <v>523</v>
      </c>
      <c r="C27" s="442" t="s">
        <v>63</v>
      </c>
      <c r="D27" s="443" t="s">
        <v>535</v>
      </c>
      <c r="E27" s="435">
        <f>'Ocorrências Mensais - FAT'!G44</f>
        <v>0.33333333333333331</v>
      </c>
      <c r="F27" s="436">
        <v>11.42</v>
      </c>
      <c r="G27" s="437">
        <f t="shared" si="0"/>
        <v>3.8066666666666666</v>
      </c>
      <c r="H27" s="446"/>
      <c r="I27" s="430"/>
      <c r="J27" s="444">
        <v>2</v>
      </c>
      <c r="K27" s="440" t="s">
        <v>343</v>
      </c>
      <c r="L27" s="441">
        <f t="shared" si="1"/>
        <v>6</v>
      </c>
    </row>
    <row r="28" spans="1:12" s="422" customFormat="1" ht="25.5" x14ac:dyDescent="0.2">
      <c r="A28" s="365">
        <v>20</v>
      </c>
      <c r="B28" s="442" t="s">
        <v>611</v>
      </c>
      <c r="C28" s="442" t="s">
        <v>526</v>
      </c>
      <c r="D28" s="443" t="s">
        <v>544</v>
      </c>
      <c r="E28" s="435">
        <f>'Ocorrências Mensais - FAT'!G45</f>
        <v>5</v>
      </c>
      <c r="F28" s="436">
        <v>91.19</v>
      </c>
      <c r="G28" s="437">
        <f t="shared" si="0"/>
        <v>455.95</v>
      </c>
      <c r="H28" s="446"/>
      <c r="I28" s="430"/>
      <c r="J28" s="444">
        <v>5</v>
      </c>
      <c r="K28" s="440" t="s">
        <v>342</v>
      </c>
      <c r="L28" s="441">
        <f t="shared" si="1"/>
        <v>1</v>
      </c>
    </row>
    <row r="29" spans="1:12" s="422" customFormat="1" ht="25.5" x14ac:dyDescent="0.2">
      <c r="A29" s="365">
        <v>21</v>
      </c>
      <c r="B29" s="442" t="s">
        <v>525</v>
      </c>
      <c r="C29" s="442" t="s">
        <v>526</v>
      </c>
      <c r="D29" s="443" t="s">
        <v>545</v>
      </c>
      <c r="E29" s="435">
        <f>'Ocorrências Mensais - FAT'!G46</f>
        <v>8</v>
      </c>
      <c r="F29" s="436">
        <v>20.89</v>
      </c>
      <c r="G29" s="437">
        <f t="shared" si="0"/>
        <v>167.12</v>
      </c>
      <c r="H29" s="438"/>
      <c r="I29" s="430"/>
      <c r="J29" s="444">
        <v>8</v>
      </c>
      <c r="K29" s="440" t="s">
        <v>342</v>
      </c>
      <c r="L29" s="441">
        <f t="shared" si="1"/>
        <v>1</v>
      </c>
    </row>
    <row r="30" spans="1:12" s="422" customFormat="1" ht="12.75" x14ac:dyDescent="0.2">
      <c r="A30" s="365">
        <v>22</v>
      </c>
      <c r="B30" s="442" t="s">
        <v>527</v>
      </c>
      <c r="C30" s="442" t="s">
        <v>63</v>
      </c>
      <c r="D30" s="443" t="s">
        <v>535</v>
      </c>
      <c r="E30" s="435">
        <f>'Ocorrências Mensais - FAT'!G47</f>
        <v>0.66666666666666663</v>
      </c>
      <c r="F30" s="436">
        <v>13.72</v>
      </c>
      <c r="G30" s="437">
        <f t="shared" si="0"/>
        <v>9.1466666666666665</v>
      </c>
      <c r="H30" s="438"/>
      <c r="I30" s="430"/>
      <c r="J30" s="444">
        <v>2</v>
      </c>
      <c r="K30" s="440" t="s">
        <v>344</v>
      </c>
      <c r="L30" s="441">
        <f t="shared" si="1"/>
        <v>3</v>
      </c>
    </row>
    <row r="31" spans="1:12" s="422" customFormat="1" ht="12.75" x14ac:dyDescent="0.2">
      <c r="A31" s="365">
        <v>23</v>
      </c>
      <c r="B31" s="442" t="s">
        <v>528</v>
      </c>
      <c r="C31" s="442" t="s">
        <v>515</v>
      </c>
      <c r="D31" s="443" t="s">
        <v>546</v>
      </c>
      <c r="E31" s="435">
        <f>'Ocorrências Mensais - FAT'!G48</f>
        <v>3</v>
      </c>
      <c r="F31" s="436">
        <v>3.13</v>
      </c>
      <c r="G31" s="437">
        <f t="shared" si="0"/>
        <v>9.39</v>
      </c>
      <c r="H31" s="438"/>
      <c r="I31" s="430"/>
      <c r="J31" s="444">
        <v>3</v>
      </c>
      <c r="K31" s="440" t="s">
        <v>342</v>
      </c>
      <c r="L31" s="441">
        <f t="shared" si="1"/>
        <v>1</v>
      </c>
    </row>
    <row r="32" spans="1:12" s="422" customFormat="1" ht="38.25" x14ac:dyDescent="0.2">
      <c r="A32" s="365">
        <v>24</v>
      </c>
      <c r="B32" s="442" t="s">
        <v>612</v>
      </c>
      <c r="C32" s="442" t="s">
        <v>529</v>
      </c>
      <c r="D32" s="443" t="s">
        <v>547</v>
      </c>
      <c r="E32" s="435">
        <f>'Ocorrências Mensais - FAT'!G49</f>
        <v>1</v>
      </c>
      <c r="F32" s="436">
        <v>19.54</v>
      </c>
      <c r="G32" s="437">
        <f t="shared" si="0"/>
        <v>19.54</v>
      </c>
      <c r="H32" s="446"/>
      <c r="I32" s="430"/>
      <c r="J32" s="444">
        <v>1</v>
      </c>
      <c r="K32" s="440" t="s">
        <v>342</v>
      </c>
      <c r="L32" s="441">
        <f t="shared" si="1"/>
        <v>1</v>
      </c>
    </row>
    <row r="33" spans="1:12" s="422" customFormat="1" ht="12.75" x14ac:dyDescent="0.2">
      <c r="A33" s="365">
        <v>25</v>
      </c>
      <c r="B33" s="442" t="s">
        <v>530</v>
      </c>
      <c r="C33" s="442" t="s">
        <v>513</v>
      </c>
      <c r="D33" s="443" t="s">
        <v>548</v>
      </c>
      <c r="E33" s="435">
        <f>'Ocorrências Mensais - FAT'!G50</f>
        <v>3</v>
      </c>
      <c r="F33" s="436">
        <v>24.32</v>
      </c>
      <c r="G33" s="437">
        <f t="shared" si="0"/>
        <v>72.960000000000008</v>
      </c>
      <c r="H33" s="446"/>
      <c r="I33" s="430"/>
      <c r="J33" s="444">
        <v>3</v>
      </c>
      <c r="K33" s="440" t="s">
        <v>342</v>
      </c>
      <c r="L33" s="441">
        <f t="shared" si="1"/>
        <v>1</v>
      </c>
    </row>
    <row r="34" spans="1:12" s="422" customFormat="1" ht="12.75" x14ac:dyDescent="0.2">
      <c r="A34" s="365">
        <v>26</v>
      </c>
      <c r="B34" s="442" t="s">
        <v>531</v>
      </c>
      <c r="C34" s="442" t="s">
        <v>63</v>
      </c>
      <c r="D34" s="443" t="s">
        <v>549</v>
      </c>
      <c r="E34" s="435">
        <f>'Ocorrências Mensais - FAT'!G51</f>
        <v>6</v>
      </c>
      <c r="F34" s="436">
        <v>9.2200000000000006</v>
      </c>
      <c r="G34" s="437">
        <f t="shared" si="0"/>
        <v>55.320000000000007</v>
      </c>
      <c r="H34" s="438"/>
      <c r="I34" s="430"/>
      <c r="J34" s="444">
        <v>6</v>
      </c>
      <c r="K34" s="440" t="s">
        <v>342</v>
      </c>
      <c r="L34" s="441">
        <f t="shared" si="1"/>
        <v>1</v>
      </c>
    </row>
    <row r="35" spans="1:12" s="422" customFormat="1" ht="12.75" x14ac:dyDescent="0.2">
      <c r="A35" s="365">
        <v>27</v>
      </c>
      <c r="B35" s="442" t="s">
        <v>613</v>
      </c>
      <c r="C35" s="442" t="s">
        <v>532</v>
      </c>
      <c r="D35" s="443" t="s">
        <v>550</v>
      </c>
      <c r="E35" s="435">
        <f>'Ocorrências Mensais - FAT'!G52</f>
        <v>2</v>
      </c>
      <c r="F35" s="436">
        <v>23.6</v>
      </c>
      <c r="G35" s="437">
        <f t="shared" si="0"/>
        <v>47.2</v>
      </c>
      <c r="H35" s="438"/>
      <c r="I35" s="430"/>
      <c r="J35" s="444">
        <v>2</v>
      </c>
      <c r="K35" s="440" t="s">
        <v>342</v>
      </c>
      <c r="L35" s="441">
        <f t="shared" si="1"/>
        <v>1</v>
      </c>
    </row>
    <row r="36" spans="1:12" s="422" customFormat="1" ht="12.75" x14ac:dyDescent="0.2">
      <c r="A36" s="365">
        <v>28</v>
      </c>
      <c r="B36" s="447" t="s">
        <v>533</v>
      </c>
      <c r="C36" s="447" t="s">
        <v>63</v>
      </c>
      <c r="D36" s="448" t="s">
        <v>535</v>
      </c>
      <c r="E36" s="435">
        <f>'Ocorrências Mensais - FAT'!G53</f>
        <v>0.66666666666666663</v>
      </c>
      <c r="F36" s="436">
        <v>28.31</v>
      </c>
      <c r="G36" s="437">
        <f t="shared" si="0"/>
        <v>18.873333333333331</v>
      </c>
      <c r="H36" s="438"/>
      <c r="I36" s="430"/>
      <c r="J36" s="444">
        <v>2</v>
      </c>
      <c r="K36" s="440" t="s">
        <v>344</v>
      </c>
      <c r="L36" s="441">
        <f t="shared" si="1"/>
        <v>3</v>
      </c>
    </row>
    <row r="37" spans="1:12" ht="16.5" thickBot="1" x14ac:dyDescent="0.3">
      <c r="A37" s="626" t="s">
        <v>79</v>
      </c>
      <c r="B37" s="626"/>
      <c r="C37" s="626"/>
      <c r="D37" s="626"/>
      <c r="E37" s="626"/>
      <c r="F37" s="626"/>
      <c r="G37" s="449">
        <f>SUM(G9:G36)</f>
        <v>1553.8858333333335</v>
      </c>
      <c r="H37" s="450"/>
      <c r="I37" s="451"/>
      <c r="J37" s="451"/>
      <c r="K37" s="452"/>
    </row>
    <row r="38" spans="1:12" x14ac:dyDescent="0.25">
      <c r="A38" s="454"/>
    </row>
  </sheetData>
  <sheetProtection algorithmName="SHA-512" hashValue="SikcmXztGS4MeE+10i7k24eY8K5/SMjygCQr/Ymw5VAswkVY8yWKulnSu7RdIFKXjDknmHQ7SOzofAukjxupZQ==" saltValue="XyrJXmN5XEnPWVqXQWRbkw==" spinCount="100000" sheet="1" objects="1" scenarios="1"/>
  <mergeCells count="8">
    <mergeCell ref="J7:L7"/>
    <mergeCell ref="A37:F37"/>
    <mergeCell ref="A4:H4"/>
    <mergeCell ref="A5:H5"/>
    <mergeCell ref="A6:A8"/>
    <mergeCell ref="B6:D7"/>
    <mergeCell ref="E6:G7"/>
    <mergeCell ref="H6:H8"/>
  </mergeCells>
  <dataValidations count="1">
    <dataValidation type="list" allowBlank="1" showInputMessage="1" showErrorMessage="1" sqref="K9:K36" xr:uid="{00000000-0002-0000-0400-000000000000}">
      <formula1>"Mensal,Bimestral,Trimestral,Quadrimestral,Semestral,Anual,Bienal"</formula1>
      <formula2>0</formula2>
    </dataValidation>
  </dataValidations>
  <pageMargins left="0.51180555555555496" right="0.51180555555555496" top="0.78749999999999998" bottom="0.78749999999999998" header="0.51180555555555496" footer="0.51180555555555496"/>
  <pageSetup paperSize="9" scale="4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sheetPr>
  <dimension ref="A1:G16"/>
  <sheetViews>
    <sheetView showGridLines="0" zoomScaleNormal="100" zoomScalePageLayoutView="115" workbookViewId="0">
      <selection activeCell="G16" sqref="G16"/>
    </sheetView>
  </sheetViews>
  <sheetFormatPr defaultColWidth="9" defaultRowHeight="15" x14ac:dyDescent="0.25"/>
  <cols>
    <col min="1" max="1" width="5.5703125" style="59" customWidth="1"/>
    <col min="2" max="2" width="52" style="59" customWidth="1"/>
    <col min="3" max="3" width="7.85546875" style="59" customWidth="1"/>
    <col min="4" max="7" width="13.7109375" style="59" customWidth="1"/>
    <col min="257" max="257" width="5.5703125" customWidth="1"/>
    <col min="258" max="258" width="45.140625" customWidth="1"/>
    <col min="259" max="259" width="6.28515625" customWidth="1"/>
    <col min="260" max="263" width="13.7109375" customWidth="1"/>
    <col min="513" max="513" width="5.5703125" customWidth="1"/>
    <col min="514" max="514" width="45.140625" customWidth="1"/>
    <col min="515" max="515" width="6.28515625" customWidth="1"/>
    <col min="516" max="519" width="13.7109375" customWidth="1"/>
    <col min="769" max="769" width="5.5703125" customWidth="1"/>
    <col min="770" max="770" width="45.140625" customWidth="1"/>
    <col min="771" max="771" width="6.28515625" customWidth="1"/>
    <col min="772" max="775" width="13.7109375" customWidth="1"/>
  </cols>
  <sheetData>
    <row r="1" spans="1:7" s="59" customFormat="1" ht="11.25" customHeight="1" x14ac:dyDescent="0.25">
      <c r="A1" s="148"/>
      <c r="B1" s="149" t="str">
        <f>INSTRUÇÕES!B1</f>
        <v>Tribunal Regional Federal da 6ª Região</v>
      </c>
      <c r="C1" s="193"/>
      <c r="D1" s="194"/>
      <c r="E1" s="194"/>
      <c r="F1" s="194"/>
      <c r="G1" s="195"/>
    </row>
    <row r="2" spans="1:7" s="59" customFormat="1" ht="11.25" customHeight="1" x14ac:dyDescent="0.25">
      <c r="A2" s="151"/>
      <c r="B2" s="97" t="str">
        <f>INSTRUÇÕES!B2</f>
        <v>Seção Judiciária de Minas Gerais</v>
      </c>
      <c r="C2" s="196"/>
      <c r="D2" s="197"/>
      <c r="E2" s="197"/>
      <c r="F2" s="197"/>
      <c r="G2" s="198"/>
    </row>
    <row r="3" spans="1:7" s="59" customFormat="1" ht="10.5" customHeight="1" x14ac:dyDescent="0.25">
      <c r="A3" s="153"/>
      <c r="B3" s="97" t="str">
        <f>INSTRUÇÕES!B3</f>
        <v>Subseção Judiciária de Janaúba</v>
      </c>
      <c r="C3" s="196"/>
      <c r="D3" s="197"/>
      <c r="E3" s="197"/>
      <c r="F3" s="197"/>
      <c r="G3" s="198"/>
    </row>
    <row r="4" spans="1:7" s="59" customFormat="1" ht="21.75" customHeight="1" x14ac:dyDescent="0.2">
      <c r="A4" s="634" t="s">
        <v>347</v>
      </c>
      <c r="B4" s="634"/>
      <c r="C4" s="634"/>
      <c r="D4" s="634"/>
      <c r="E4" s="634"/>
      <c r="F4" s="634"/>
      <c r="G4" s="634"/>
    </row>
    <row r="5" spans="1:7" s="59" customFormat="1" ht="26.25" customHeight="1" x14ac:dyDescent="0.2">
      <c r="A5" s="635" t="s">
        <v>606</v>
      </c>
      <c r="B5" s="635"/>
      <c r="C5" s="635"/>
      <c r="D5" s="635"/>
      <c r="E5" s="635"/>
      <c r="F5" s="635"/>
      <c r="G5" s="635"/>
    </row>
    <row r="6" spans="1:7" s="59" customFormat="1" ht="15.75" x14ac:dyDescent="0.2">
      <c r="A6" s="199"/>
      <c r="B6" s="200"/>
      <c r="C6" s="200"/>
      <c r="D6" s="200" t="s">
        <v>348</v>
      </c>
      <c r="E6" s="200"/>
      <c r="G6" s="201">
        <v>0.1</v>
      </c>
    </row>
    <row r="7" spans="1:7" s="59" customFormat="1" ht="25.5" x14ac:dyDescent="0.2">
      <c r="A7" s="202" t="s">
        <v>349</v>
      </c>
      <c r="B7" s="203" t="s">
        <v>350</v>
      </c>
      <c r="C7" s="203" t="s">
        <v>351</v>
      </c>
      <c r="D7" s="204" t="s">
        <v>352</v>
      </c>
      <c r="E7" s="204" t="s">
        <v>353</v>
      </c>
      <c r="F7" s="204" t="s">
        <v>354</v>
      </c>
      <c r="G7" s="205" t="s">
        <v>355</v>
      </c>
    </row>
    <row r="8" spans="1:7" s="59" customFormat="1" ht="12.75" x14ac:dyDescent="0.2">
      <c r="A8" s="636" t="s">
        <v>356</v>
      </c>
      <c r="B8" s="636"/>
      <c r="C8" s="636"/>
      <c r="D8" s="636"/>
      <c r="E8" s="636"/>
      <c r="F8" s="636"/>
      <c r="G8" s="636"/>
    </row>
    <row r="9" spans="1:7" s="59" customFormat="1" ht="17.25" customHeight="1" x14ac:dyDescent="0.2">
      <c r="A9" s="406">
        <v>1</v>
      </c>
      <c r="B9" s="412" t="s">
        <v>584</v>
      </c>
      <c r="C9" s="405">
        <v>1</v>
      </c>
      <c r="D9" s="206">
        <v>216.25</v>
      </c>
      <c r="E9" s="207">
        <f>ROUND((D9*C9),2)</f>
        <v>216.25</v>
      </c>
      <c r="F9" s="207">
        <f>ROUND(E9*$G$6,2)</f>
        <v>21.63</v>
      </c>
      <c r="G9" s="208">
        <f>ROUND(F9/12,2)</f>
        <v>1.8</v>
      </c>
    </row>
    <row r="10" spans="1:7" s="59" customFormat="1" ht="15.75" customHeight="1" x14ac:dyDescent="0.2">
      <c r="A10" s="637" t="s">
        <v>357</v>
      </c>
      <c r="B10" s="637"/>
      <c r="C10" s="637"/>
      <c r="D10" s="637"/>
      <c r="E10" s="637"/>
      <c r="F10" s="637"/>
      <c r="G10" s="377">
        <f>SUM(G9:G9)</f>
        <v>1.8</v>
      </c>
    </row>
    <row r="11" spans="1:7" s="59" customFormat="1" ht="15.75" customHeight="1" x14ac:dyDescent="0.25">
      <c r="A11" s="641"/>
      <c r="B11" s="641"/>
      <c r="C11" s="641"/>
      <c r="D11" s="641"/>
      <c r="E11" s="641"/>
      <c r="F11" s="641"/>
      <c r="G11" s="641"/>
    </row>
    <row r="12" spans="1:7" x14ac:dyDescent="0.25">
      <c r="A12" s="638" t="s">
        <v>551</v>
      </c>
      <c r="B12" s="639"/>
      <c r="C12" s="639"/>
      <c r="D12" s="639"/>
      <c r="E12" s="639"/>
      <c r="F12" s="639"/>
      <c r="G12" s="640"/>
    </row>
    <row r="13" spans="1:7" x14ac:dyDescent="0.25">
      <c r="A13" s="379">
        <v>1</v>
      </c>
      <c r="B13" s="412" t="s">
        <v>587</v>
      </c>
      <c r="C13" s="378">
        <v>1</v>
      </c>
      <c r="D13" s="206">
        <v>394.08</v>
      </c>
      <c r="E13" s="207">
        <f t="shared" ref="E13:E15" si="0">ROUND((D13*C13),2)</f>
        <v>394.08</v>
      </c>
      <c r="F13" s="207">
        <f t="shared" ref="F13:F15" si="1">ROUND(E13*$G$6,2)</f>
        <v>39.409999999999997</v>
      </c>
      <c r="G13" s="376">
        <f t="shared" ref="G13:G15" si="2">ROUND(F13/12,2)</f>
        <v>3.28</v>
      </c>
    </row>
    <row r="14" spans="1:7" x14ac:dyDescent="0.25">
      <c r="A14" s="457">
        <v>2</v>
      </c>
      <c r="B14" s="458" t="s">
        <v>585</v>
      </c>
      <c r="C14" s="459">
        <v>1</v>
      </c>
      <c r="D14" s="460">
        <v>261.95999999999998</v>
      </c>
      <c r="E14" s="207">
        <f t="shared" si="0"/>
        <v>261.95999999999998</v>
      </c>
      <c r="F14" s="207">
        <f t="shared" si="1"/>
        <v>26.2</v>
      </c>
      <c r="G14" s="376">
        <f t="shared" si="2"/>
        <v>2.1800000000000002</v>
      </c>
    </row>
    <row r="15" spans="1:7" ht="25.5" x14ac:dyDescent="0.25">
      <c r="A15" s="457">
        <v>3</v>
      </c>
      <c r="B15" s="458" t="s">
        <v>586</v>
      </c>
      <c r="C15" s="459">
        <v>1</v>
      </c>
      <c r="D15" s="460">
        <v>317.70999999999998</v>
      </c>
      <c r="E15" s="207">
        <f t="shared" si="0"/>
        <v>317.70999999999998</v>
      </c>
      <c r="F15" s="207">
        <f t="shared" si="1"/>
        <v>31.77</v>
      </c>
      <c r="G15" s="376">
        <f t="shared" si="2"/>
        <v>2.65</v>
      </c>
    </row>
    <row r="16" spans="1:7" ht="15.75" customHeight="1" thickBot="1" x14ac:dyDescent="0.3">
      <c r="A16" s="633" t="s">
        <v>552</v>
      </c>
      <c r="B16" s="633"/>
      <c r="C16" s="633"/>
      <c r="D16" s="633"/>
      <c r="E16" s="633"/>
      <c r="F16" s="633"/>
      <c r="G16" s="209">
        <f>SUM(G13:G15)</f>
        <v>8.11</v>
      </c>
    </row>
  </sheetData>
  <sheetProtection password="C494" sheet="1" objects="1" scenarios="1"/>
  <mergeCells count="7">
    <mergeCell ref="A16:F16"/>
    <mergeCell ref="A4:G4"/>
    <mergeCell ref="A5:G5"/>
    <mergeCell ref="A8:G8"/>
    <mergeCell ref="A10:F10"/>
    <mergeCell ref="A12:G12"/>
    <mergeCell ref="A11:G11"/>
  </mergeCells>
  <pageMargins left="0.51180555555555496" right="0.51180555555555496" top="0.78749999999999998" bottom="0.78749999999999998" header="0.51180555555555496" footer="0.51180555555555496"/>
  <pageSetup paperSize="9"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sheetPr>
  <dimension ref="A1:R29"/>
  <sheetViews>
    <sheetView showGridLines="0" tabSelected="1" topLeftCell="A18" zoomScale="80" zoomScaleNormal="80" workbookViewId="0">
      <selection activeCell="D10" sqref="D10"/>
    </sheetView>
  </sheetViews>
  <sheetFormatPr defaultColWidth="9" defaultRowHeight="15" x14ac:dyDescent="0.25"/>
  <cols>
    <col min="1" max="1" width="24.140625" style="508" customWidth="1"/>
    <col min="2" max="2" width="9" style="535" customWidth="1"/>
    <col min="3" max="3" width="6.140625" style="479" customWidth="1"/>
    <col min="4" max="4" width="56.140625" style="468" customWidth="1"/>
    <col min="5" max="5" width="15.7109375" style="468" customWidth="1"/>
    <col min="6" max="6" width="12.42578125" style="472" customWidth="1"/>
    <col min="7" max="7" width="12.42578125" style="473" customWidth="1"/>
    <col min="8" max="8" width="10.85546875" style="536" customWidth="1"/>
    <col min="9" max="10" width="9" style="453"/>
    <col min="11" max="11" width="11.5703125" style="453" hidden="1" customWidth="1"/>
    <col min="12" max="12" width="16.42578125" style="537" hidden="1" customWidth="1"/>
    <col min="13" max="17" width="11.28515625" style="537" hidden="1" customWidth="1"/>
    <col min="18" max="18" width="11.5703125" style="453" hidden="1" customWidth="1"/>
    <col min="19" max="256" width="9" style="453"/>
    <col min="257" max="257" width="13.28515625" style="453" customWidth="1"/>
    <col min="258" max="258" width="7.7109375" style="453" customWidth="1"/>
    <col min="259" max="259" width="6.140625" style="453" customWidth="1"/>
    <col min="260" max="260" width="56.140625" style="453" customWidth="1"/>
    <col min="261" max="261" width="9.28515625" style="453" customWidth="1"/>
    <col min="262" max="263" width="12.42578125" style="453" customWidth="1"/>
    <col min="264" max="264" width="10.85546875" style="453" customWidth="1"/>
    <col min="265" max="267" width="9" style="453"/>
    <col min="268" max="268" width="11.42578125" style="453" customWidth="1"/>
    <col min="269" max="273" width="11.28515625" style="453" customWidth="1"/>
    <col min="274" max="512" width="9" style="453"/>
    <col min="513" max="513" width="13.28515625" style="453" customWidth="1"/>
    <col min="514" max="514" width="7.7109375" style="453" customWidth="1"/>
    <col min="515" max="515" width="6.140625" style="453" customWidth="1"/>
    <col min="516" max="516" width="56.140625" style="453" customWidth="1"/>
    <col min="517" max="517" width="9.28515625" style="453" customWidth="1"/>
    <col min="518" max="519" width="12.42578125" style="453" customWidth="1"/>
    <col min="520" max="520" width="10.85546875" style="453" customWidth="1"/>
    <col min="521" max="523" width="9" style="453"/>
    <col min="524" max="524" width="11.42578125" style="453" customWidth="1"/>
    <col min="525" max="529" width="11.28515625" style="453" customWidth="1"/>
    <col min="530" max="768" width="9" style="453"/>
    <col min="769" max="769" width="13.28515625" style="453" customWidth="1"/>
    <col min="770" max="770" width="7.7109375" style="453" customWidth="1"/>
    <col min="771" max="771" width="6.140625" style="453" customWidth="1"/>
    <col min="772" max="772" width="56.140625" style="453" customWidth="1"/>
    <col min="773" max="773" width="9.28515625" style="453" customWidth="1"/>
    <col min="774" max="775" width="12.42578125" style="453" customWidth="1"/>
    <col min="776" max="776" width="10.85546875" style="453" customWidth="1"/>
    <col min="777" max="779" width="9" style="453"/>
    <col min="780" max="780" width="11.42578125" style="453" customWidth="1"/>
    <col min="781" max="785" width="11.28515625" style="453" customWidth="1"/>
    <col min="786" max="16384" width="9" style="453"/>
  </cols>
  <sheetData>
    <row r="1" spans="1:18" s="468" customFormat="1" ht="12.75" customHeight="1" x14ac:dyDescent="0.25">
      <c r="A1" s="461"/>
      <c r="B1" s="462" t="str">
        <f>INSTRUÇÕES!B1</f>
        <v>Tribunal Regional Federal da 6ª Região</v>
      </c>
      <c r="C1" s="539"/>
      <c r="D1" s="463"/>
      <c r="E1" s="464"/>
      <c r="F1" s="465"/>
      <c r="G1" s="466"/>
      <c r="H1" s="467"/>
      <c r="L1" s="642" t="s">
        <v>61</v>
      </c>
      <c r="M1" s="642"/>
      <c r="N1" s="642"/>
      <c r="O1" s="642"/>
      <c r="P1" s="642"/>
      <c r="Q1" s="642"/>
    </row>
    <row r="2" spans="1:18" s="468" customFormat="1" ht="12.75" customHeight="1" x14ac:dyDescent="0.25">
      <c r="A2" s="469"/>
      <c r="B2" s="470" t="str">
        <f>INSTRUÇÕES!B2</f>
        <v>Seção Judiciária de Minas Gerais</v>
      </c>
      <c r="C2" s="476"/>
      <c r="D2" s="471"/>
      <c r="F2" s="472"/>
      <c r="G2" s="473"/>
      <c r="H2" s="474"/>
      <c r="L2" s="642"/>
      <c r="M2" s="642"/>
      <c r="N2" s="642"/>
      <c r="O2" s="642"/>
      <c r="P2" s="642"/>
      <c r="Q2" s="642"/>
    </row>
    <row r="3" spans="1:18" s="478" customFormat="1" x14ac:dyDescent="0.25">
      <c r="A3" s="469"/>
      <c r="B3" s="475" t="str">
        <f>INSTRUÇÕES!B3</f>
        <v>Subseção Judiciária de Janaúba</v>
      </c>
      <c r="C3" s="476"/>
      <c r="D3" s="477"/>
      <c r="F3" s="479"/>
      <c r="G3" s="480"/>
      <c r="H3" s="481"/>
      <c r="L3" s="642"/>
      <c r="M3" s="642"/>
      <c r="N3" s="642"/>
      <c r="O3" s="642"/>
      <c r="P3" s="642"/>
      <c r="Q3" s="642"/>
    </row>
    <row r="4" spans="1:18" s="482" customFormat="1" ht="26.25" customHeight="1" x14ac:dyDescent="0.25">
      <c r="A4" s="643" t="s">
        <v>358</v>
      </c>
      <c r="B4" s="643"/>
      <c r="C4" s="643"/>
      <c r="D4" s="643"/>
      <c r="E4" s="643"/>
      <c r="F4" s="643"/>
      <c r="G4" s="643"/>
      <c r="H4" s="643"/>
      <c r="L4" s="642"/>
      <c r="M4" s="642"/>
      <c r="N4" s="642"/>
      <c r="O4" s="642"/>
      <c r="P4" s="642"/>
      <c r="Q4" s="642"/>
    </row>
    <row r="5" spans="1:18" s="468" customFormat="1" ht="27" customHeight="1" x14ac:dyDescent="0.25">
      <c r="A5" s="644" t="s">
        <v>615</v>
      </c>
      <c r="B5" s="644"/>
      <c r="C5" s="644"/>
      <c r="D5" s="644"/>
      <c r="E5" s="644"/>
      <c r="F5" s="644"/>
      <c r="G5" s="644"/>
      <c r="H5" s="644"/>
      <c r="L5" s="645" t="s">
        <v>71</v>
      </c>
      <c r="M5" s="646" t="s">
        <v>72</v>
      </c>
      <c r="N5" s="646" t="s">
        <v>73</v>
      </c>
      <c r="O5" s="646" t="s">
        <v>74</v>
      </c>
      <c r="P5" s="646" t="s">
        <v>75</v>
      </c>
      <c r="Q5" s="646" t="s">
        <v>76</v>
      </c>
    </row>
    <row r="6" spans="1:18" s="468" customFormat="1" ht="15.75" customHeight="1" x14ac:dyDescent="0.25">
      <c r="A6" s="647" t="s">
        <v>359</v>
      </c>
      <c r="B6" s="647"/>
      <c r="C6" s="647"/>
      <c r="D6" s="647"/>
      <c r="E6" s="647"/>
      <c r="F6" s="647"/>
      <c r="G6" s="647"/>
      <c r="H6" s="647"/>
      <c r="J6" s="478"/>
      <c r="L6" s="645"/>
      <c r="M6" s="646"/>
      <c r="N6" s="646"/>
      <c r="O6" s="646"/>
      <c r="P6" s="646"/>
      <c r="Q6" s="646"/>
    </row>
    <row r="7" spans="1:18" s="468" customFormat="1" ht="15.75" customHeight="1" x14ac:dyDescent="0.25">
      <c r="A7" s="483"/>
      <c r="B7" s="484"/>
      <c r="C7" s="485"/>
      <c r="D7" s="484"/>
      <c r="E7" s="484"/>
      <c r="F7" s="485"/>
      <c r="G7" s="486"/>
      <c r="H7" s="487"/>
      <c r="J7" s="478"/>
      <c r="L7" s="645"/>
      <c r="M7" s="646"/>
      <c r="N7" s="646"/>
      <c r="O7" s="646"/>
      <c r="P7" s="646"/>
      <c r="Q7" s="646"/>
    </row>
    <row r="8" spans="1:18" s="468" customFormat="1" ht="42.75" customHeight="1" x14ac:dyDescent="0.25">
      <c r="A8" s="488" t="s">
        <v>360</v>
      </c>
      <c r="B8" s="489" t="s">
        <v>56</v>
      </c>
      <c r="C8" s="538" t="s">
        <v>605</v>
      </c>
      <c r="D8" s="489" t="s">
        <v>361</v>
      </c>
      <c r="E8" s="489" t="s">
        <v>362</v>
      </c>
      <c r="F8" s="490" t="s">
        <v>363</v>
      </c>
      <c r="G8" s="491" t="s">
        <v>346</v>
      </c>
      <c r="H8" s="492" t="s">
        <v>167</v>
      </c>
      <c r="J8" s="478"/>
      <c r="K8" s="478"/>
      <c r="L8" s="645"/>
      <c r="M8" s="646"/>
      <c r="N8" s="646"/>
      <c r="O8" s="646"/>
      <c r="P8" s="646"/>
      <c r="Q8" s="646"/>
      <c r="R8" s="493" t="s">
        <v>77</v>
      </c>
    </row>
    <row r="9" spans="1:18" s="478" customFormat="1" ht="45.75" customHeight="1" x14ac:dyDescent="0.25">
      <c r="A9" s="648" t="s">
        <v>163</v>
      </c>
      <c r="B9" s="494" t="s">
        <v>364</v>
      </c>
      <c r="C9" s="495">
        <v>2</v>
      </c>
      <c r="D9" s="496" t="s">
        <v>604</v>
      </c>
      <c r="E9" s="497" t="s">
        <v>594</v>
      </c>
      <c r="F9" s="498">
        <f>C9*$A$12</f>
        <v>4</v>
      </c>
      <c r="G9" s="499">
        <v>52.87</v>
      </c>
      <c r="H9" s="500">
        <f>ROUND(F9*G9,2)</f>
        <v>211.48</v>
      </c>
      <c r="L9" s="501">
        <v>61.59</v>
      </c>
      <c r="M9" s="372">
        <f>ROUND(IF(Dados!$I$60="SIM",L9*Dados!$N$60,L9),2)</f>
        <v>61.59</v>
      </c>
      <c r="N9" s="372">
        <f>ROUND(IF(Dados!$I$61="SIM",M9*Dados!$N$61,M9),2)</f>
        <v>61.59</v>
      </c>
      <c r="O9" s="372">
        <f>ROUND(IF(Dados!$I$62="SIM",N9*Dados!$N$62,N9),2)</f>
        <v>61.59</v>
      </c>
      <c r="P9" s="372">
        <f>ROUND(IF(Dados!$I$63="SIM",O9*Dados!$N$63,O9),2)</f>
        <v>61.59</v>
      </c>
      <c r="Q9" s="372">
        <f>ROUND(IF(Dados!$I$64="SIM",P9*Dados!$N$64,P9),2)</f>
        <v>61.59</v>
      </c>
      <c r="R9" s="502">
        <f>IF(Dados!$D$67="INICIAL",L9,IF(Dados!$D$67="1º IPCA",M9,IF(Dados!$D$67="2º IPCA",N9,IF(Dados!$D$67="3º IPCA",O9,IF(Dados!$D$67="4º IPCA",P9,IF(Dados!$D$67="5º IPCA",Q9,))))))</f>
        <v>61.59</v>
      </c>
    </row>
    <row r="10" spans="1:18" s="478" customFormat="1" ht="99.75" customHeight="1" x14ac:dyDescent="0.25">
      <c r="A10" s="649"/>
      <c r="B10" s="494" t="s">
        <v>592</v>
      </c>
      <c r="C10" s="495">
        <v>3</v>
      </c>
      <c r="D10" s="503" t="s">
        <v>625</v>
      </c>
      <c r="E10" s="504" t="s">
        <v>593</v>
      </c>
      <c r="F10" s="498">
        <f>C10*$A$12</f>
        <v>6</v>
      </c>
      <c r="G10" s="499">
        <v>26.04</v>
      </c>
      <c r="H10" s="500">
        <f t="shared" ref="H10:H12" si="0">ROUND(F10*G10,2)</f>
        <v>156.24</v>
      </c>
      <c r="L10" s="501">
        <v>95.82</v>
      </c>
      <c r="M10" s="372">
        <f>ROUND(IF(Dados!$I$60="SIM",L10*Dados!$N$60,L10),2)</f>
        <v>95.82</v>
      </c>
      <c r="N10" s="372">
        <f>ROUND(IF(Dados!$I$61="SIM",M10*Dados!$N$61,M10),2)</f>
        <v>95.82</v>
      </c>
      <c r="O10" s="372">
        <f>ROUND(IF(Dados!$I$62="SIM",N10*Dados!$N$62,N10),2)</f>
        <v>95.82</v>
      </c>
      <c r="P10" s="372">
        <f>ROUND(IF(Dados!$I$63="SIM",O10*Dados!$N$63,O10),2)</f>
        <v>95.82</v>
      </c>
      <c r="Q10" s="372">
        <f>ROUND(IF(Dados!$I$64="SIM",P10*Dados!$N$64,P10),2)</f>
        <v>95.82</v>
      </c>
      <c r="R10" s="502">
        <f>IF(Dados!$D$67="INICIAL",L10,IF(Dados!$D$67="1º IPCA",M10,IF(Dados!$D$67="2º IPCA",N10,IF(Dados!$D$67="3º IPCA",O10,IF(Dados!$D$67="4º IPCA",P10,IF(Dados!$D$67="5º IPCA",Q10,))))))</f>
        <v>95.82</v>
      </c>
    </row>
    <row r="11" spans="1:18" s="478" customFormat="1" ht="62.25" customHeight="1" x14ac:dyDescent="0.2">
      <c r="A11" s="543" t="s">
        <v>369</v>
      </c>
      <c r="B11" s="505" t="s">
        <v>367</v>
      </c>
      <c r="C11" s="495">
        <v>1</v>
      </c>
      <c r="D11" s="503" t="s">
        <v>603</v>
      </c>
      <c r="E11" s="504" t="s">
        <v>368</v>
      </c>
      <c r="F11" s="498">
        <f>C11*$A$12</f>
        <v>2</v>
      </c>
      <c r="G11" s="499">
        <v>115.67</v>
      </c>
      <c r="H11" s="500">
        <f t="shared" si="0"/>
        <v>231.34</v>
      </c>
      <c r="L11" s="501"/>
      <c r="M11" s="372"/>
      <c r="N11" s="372"/>
      <c r="O11" s="372"/>
      <c r="P11" s="372"/>
      <c r="Q11" s="372"/>
      <c r="R11" s="502"/>
    </row>
    <row r="12" spans="1:18" s="478" customFormat="1" ht="33.75" customHeight="1" x14ac:dyDescent="0.25">
      <c r="A12" s="506">
        <f>Dados!B9+Dados!B10</f>
        <v>2</v>
      </c>
      <c r="B12" s="505" t="s">
        <v>370</v>
      </c>
      <c r="C12" s="495">
        <v>2</v>
      </c>
      <c r="D12" s="503" t="s">
        <v>591</v>
      </c>
      <c r="E12" s="504" t="s">
        <v>368</v>
      </c>
      <c r="F12" s="498">
        <f>C12*$A$12</f>
        <v>4</v>
      </c>
      <c r="G12" s="499">
        <v>44.4</v>
      </c>
      <c r="H12" s="500">
        <f t="shared" si="0"/>
        <v>177.6</v>
      </c>
      <c r="L12" s="501">
        <v>50.85</v>
      </c>
      <c r="M12" s="372">
        <f>ROUND(IF(Dados!$I$60="SIM",L12*Dados!$N$60,L12),2)</f>
        <v>50.85</v>
      </c>
      <c r="N12" s="372">
        <f>ROUND(IF(Dados!$I$61="SIM",M12*Dados!$N$61,M12),2)</f>
        <v>50.85</v>
      </c>
      <c r="O12" s="372">
        <f>ROUND(IF(Dados!$I$62="SIM",N12*Dados!$N$62,N12),2)</f>
        <v>50.85</v>
      </c>
      <c r="P12" s="372">
        <f>ROUND(IF(Dados!$I$63="SIM",O12*Dados!$N$63,O12),2)</f>
        <v>50.85</v>
      </c>
      <c r="Q12" s="372">
        <f>ROUND(IF(Dados!$I$64="SIM",P12*Dados!$N$64,P12),2)</f>
        <v>50.85</v>
      </c>
      <c r="R12" s="502">
        <f>IF(Dados!$D$67="INICIAL",L12,IF(Dados!$D$67="1º IPCA",M12,IF(Dados!$D$67="2º IPCA",N12,IF(Dados!$D$67="3º IPCA",O12,IF(Dados!$D$67="4º IPCA",P12,IF(Dados!$D$67="5º IPCA",Q12,))))))</f>
        <v>50.85</v>
      </c>
    </row>
    <row r="13" spans="1:18" s="478" customFormat="1" x14ac:dyDescent="0.25">
      <c r="A13" s="653" t="s">
        <v>371</v>
      </c>
      <c r="B13" s="654"/>
      <c r="C13" s="654"/>
      <c r="D13" s="654"/>
      <c r="E13" s="654"/>
      <c r="F13" s="654"/>
      <c r="G13" s="654"/>
      <c r="H13" s="507">
        <f>SUM(H9:H12)</f>
        <v>776.66000000000008</v>
      </c>
      <c r="L13" s="508"/>
      <c r="M13" s="508"/>
      <c r="N13" s="508"/>
      <c r="O13" s="508"/>
      <c r="P13" s="508"/>
      <c r="Q13" s="508"/>
    </row>
    <row r="14" spans="1:18" s="478" customFormat="1" ht="27" customHeight="1" thickBot="1" x14ac:dyDescent="0.3">
      <c r="A14" s="652" t="s">
        <v>556</v>
      </c>
      <c r="B14" s="652"/>
      <c r="C14" s="652"/>
      <c r="D14" s="652"/>
      <c r="E14" s="652"/>
      <c r="F14" s="652"/>
      <c r="G14" s="509"/>
      <c r="H14" s="510">
        <f>ROUND(H13/$A$12/12,2)</f>
        <v>32.36</v>
      </c>
      <c r="L14" s="508"/>
      <c r="M14" s="508"/>
      <c r="N14" s="508"/>
      <c r="O14" s="508"/>
      <c r="P14" s="508"/>
      <c r="Q14" s="508"/>
    </row>
    <row r="15" spans="1:18" s="478" customFormat="1" ht="48.75" customHeight="1" x14ac:dyDescent="0.25">
      <c r="A15" s="511"/>
      <c r="B15" s="512"/>
      <c r="C15" s="513"/>
      <c r="D15" s="514"/>
      <c r="E15" s="514"/>
      <c r="F15" s="513"/>
      <c r="G15" s="515"/>
      <c r="H15" s="516"/>
      <c r="L15" s="508"/>
      <c r="M15" s="508"/>
      <c r="N15" s="508"/>
      <c r="O15" s="508"/>
      <c r="P15" s="508"/>
      <c r="Q15" s="508"/>
    </row>
    <row r="16" spans="1:18" s="478" customFormat="1" ht="40.5" customHeight="1" x14ac:dyDescent="0.25">
      <c r="A16" s="488" t="s">
        <v>360</v>
      </c>
      <c r="B16" s="489" t="s">
        <v>56</v>
      </c>
      <c r="C16" s="538" t="s">
        <v>605</v>
      </c>
      <c r="D16" s="489" t="s">
        <v>361</v>
      </c>
      <c r="E16" s="489" t="s">
        <v>362</v>
      </c>
      <c r="F16" s="490" t="s">
        <v>363</v>
      </c>
      <c r="G16" s="491" t="s">
        <v>346</v>
      </c>
      <c r="H16" s="492" t="s">
        <v>167</v>
      </c>
      <c r="L16" s="517" t="s">
        <v>71</v>
      </c>
      <c r="M16" s="518" t="s">
        <v>72</v>
      </c>
      <c r="N16" s="518" t="s">
        <v>73</v>
      </c>
      <c r="O16" s="518" t="s">
        <v>74</v>
      </c>
      <c r="P16" s="518" t="s">
        <v>75</v>
      </c>
      <c r="Q16" s="518" t="s">
        <v>76</v>
      </c>
    </row>
    <row r="17" spans="1:18" s="478" customFormat="1" ht="81.75" customHeight="1" x14ac:dyDescent="0.25">
      <c r="A17" s="541" t="s">
        <v>590</v>
      </c>
      <c r="B17" s="519" t="s">
        <v>364</v>
      </c>
      <c r="C17" s="495">
        <v>2</v>
      </c>
      <c r="D17" s="520" t="s">
        <v>599</v>
      </c>
      <c r="E17" s="504" t="s">
        <v>595</v>
      </c>
      <c r="F17" s="521">
        <f>C17*$A$19</f>
        <v>2</v>
      </c>
      <c r="G17" s="522">
        <v>71.55</v>
      </c>
      <c r="H17" s="500">
        <f t="shared" ref="H17:H18" si="1">ROUND(F17*G17,2)</f>
        <v>143.1</v>
      </c>
      <c r="L17" s="517"/>
      <c r="M17" s="518"/>
      <c r="N17" s="518"/>
      <c r="O17" s="518"/>
      <c r="P17" s="518"/>
      <c r="Q17" s="518"/>
    </row>
    <row r="18" spans="1:18" s="478" customFormat="1" ht="79.5" customHeight="1" x14ac:dyDescent="0.2">
      <c r="A18" s="543" t="s">
        <v>369</v>
      </c>
      <c r="B18" s="523" t="s">
        <v>366</v>
      </c>
      <c r="C18" s="495">
        <v>3</v>
      </c>
      <c r="D18" s="503" t="s">
        <v>598</v>
      </c>
      <c r="E18" s="497" t="s">
        <v>557</v>
      </c>
      <c r="F18" s="521">
        <f>C18*$A$19</f>
        <v>3</v>
      </c>
      <c r="G18" s="522">
        <v>61.05</v>
      </c>
      <c r="H18" s="500">
        <f t="shared" si="1"/>
        <v>183.15</v>
      </c>
      <c r="L18" s="517"/>
      <c r="M18" s="518"/>
      <c r="N18" s="518"/>
      <c r="O18" s="518"/>
      <c r="P18" s="518"/>
      <c r="Q18" s="518"/>
    </row>
    <row r="19" spans="1:18" s="478" customFormat="1" ht="29.25" customHeight="1" x14ac:dyDescent="0.25">
      <c r="A19" s="524">
        <f>Dados!B7</f>
        <v>1</v>
      </c>
      <c r="B19" s="523" t="s">
        <v>367</v>
      </c>
      <c r="C19" s="495">
        <v>1</v>
      </c>
      <c r="D19" s="520" t="s">
        <v>597</v>
      </c>
      <c r="E19" s="525" t="s">
        <v>372</v>
      </c>
      <c r="F19" s="521">
        <f>C19*$A$19</f>
        <v>1</v>
      </c>
      <c r="G19" s="526">
        <v>126.36</v>
      </c>
      <c r="H19" s="500">
        <f>ROUND(F19*G19,2)</f>
        <v>126.36</v>
      </c>
      <c r="L19" s="501">
        <v>16.41</v>
      </c>
      <c r="M19" s="372">
        <f>ROUND(IF(Dados!$I$60="SIM",L19*Dados!$N$60,L19),2)</f>
        <v>16.41</v>
      </c>
      <c r="N19" s="372">
        <f>ROUND(IF(Dados!$I$61="SIM",M19*Dados!$N$61,M19),2)</f>
        <v>16.41</v>
      </c>
      <c r="O19" s="372">
        <f>ROUND(IF(Dados!$I$62="SIM",N19*Dados!$N$62,N19),2)</f>
        <v>16.41</v>
      </c>
      <c r="P19" s="372">
        <f>ROUND(IF(Dados!$I$63="SIM",O19*Dados!$N$63,O19),2)</f>
        <v>16.41</v>
      </c>
      <c r="Q19" s="372">
        <f>ROUND(IF(Dados!$I$64="SIM",P19*Dados!$N$64,P19),2)</f>
        <v>16.41</v>
      </c>
      <c r="R19" s="502">
        <f>IF(Dados!$D$67="INICIAL",L19,IF(Dados!$D$67="1º IPCA",M19,IF(Dados!$D$67="2º IPCA",N19,IF(Dados!$D$67="3º IPCA",O19,IF(Dados!$D$67="4º IPCA",P19,IF(Dados!$D$67="5º IPCA",Q19,))))))</f>
        <v>16.41</v>
      </c>
    </row>
    <row r="20" spans="1:18" s="478" customFormat="1" ht="15.75" customHeight="1" thickBot="1" x14ac:dyDescent="0.3">
      <c r="A20" s="650" t="s">
        <v>371</v>
      </c>
      <c r="B20" s="650"/>
      <c r="C20" s="650"/>
      <c r="D20" s="650"/>
      <c r="E20" s="650"/>
      <c r="F20" s="650"/>
      <c r="G20" s="650"/>
      <c r="H20" s="527">
        <f>SUM(H16:H19)</f>
        <v>452.61</v>
      </c>
      <c r="L20" s="508"/>
      <c r="M20" s="508"/>
      <c r="N20" s="508"/>
      <c r="O20" s="508"/>
      <c r="P20" s="508"/>
      <c r="Q20" s="508"/>
    </row>
    <row r="21" spans="1:18" s="478" customFormat="1" ht="27" customHeight="1" thickBot="1" x14ac:dyDescent="0.3">
      <c r="A21" s="652" t="s">
        <v>596</v>
      </c>
      <c r="B21" s="652"/>
      <c r="C21" s="652"/>
      <c r="D21" s="652"/>
      <c r="E21" s="652"/>
      <c r="F21" s="652"/>
      <c r="G21" s="509"/>
      <c r="H21" s="510">
        <f>ROUND(H20/$A$19/12,2)</f>
        <v>37.72</v>
      </c>
      <c r="L21" s="508"/>
      <c r="M21" s="508"/>
      <c r="N21" s="508"/>
      <c r="O21" s="508"/>
      <c r="P21" s="508"/>
      <c r="Q21" s="508"/>
    </row>
    <row r="22" spans="1:18" s="478" customFormat="1" ht="42.75" customHeight="1" x14ac:dyDescent="0.25">
      <c r="A22" s="528"/>
      <c r="B22" s="529"/>
      <c r="C22" s="530"/>
      <c r="D22" s="529"/>
      <c r="E22" s="529"/>
      <c r="F22" s="530"/>
      <c r="G22" s="531"/>
      <c r="H22" s="532"/>
      <c r="L22" s="508"/>
      <c r="M22" s="508"/>
      <c r="N22" s="508"/>
      <c r="O22" s="508"/>
      <c r="P22" s="508"/>
      <c r="Q22" s="508"/>
    </row>
    <row r="23" spans="1:18" s="478" customFormat="1" ht="41.25" customHeight="1" x14ac:dyDescent="0.25">
      <c r="A23" s="488" t="s">
        <v>360</v>
      </c>
      <c r="B23" s="489" t="s">
        <v>56</v>
      </c>
      <c r="C23" s="538" t="s">
        <v>605</v>
      </c>
      <c r="D23" s="489" t="s">
        <v>361</v>
      </c>
      <c r="E23" s="489" t="s">
        <v>362</v>
      </c>
      <c r="F23" s="490" t="s">
        <v>363</v>
      </c>
      <c r="G23" s="491" t="s">
        <v>346</v>
      </c>
      <c r="H23" s="492" t="s">
        <v>167</v>
      </c>
      <c r="L23" s="517" t="s">
        <v>71</v>
      </c>
      <c r="M23" s="518" t="s">
        <v>72</v>
      </c>
      <c r="N23" s="518" t="s">
        <v>73</v>
      </c>
      <c r="O23" s="518" t="s">
        <v>74</v>
      </c>
      <c r="P23" s="518" t="s">
        <v>75</v>
      </c>
      <c r="Q23" s="518" t="s">
        <v>76</v>
      </c>
    </row>
    <row r="24" spans="1:18" s="478" customFormat="1" ht="89.25" customHeight="1" x14ac:dyDescent="0.25">
      <c r="A24" s="542" t="s">
        <v>507</v>
      </c>
      <c r="B24" s="519" t="s">
        <v>364</v>
      </c>
      <c r="C24" s="495">
        <v>2</v>
      </c>
      <c r="D24" s="533" t="s">
        <v>600</v>
      </c>
      <c r="E24" s="504" t="s">
        <v>365</v>
      </c>
      <c r="F24" s="498">
        <f>C24*$A$26</f>
        <v>2</v>
      </c>
      <c r="G24" s="522">
        <v>71.86</v>
      </c>
      <c r="H24" s="500">
        <f>ROUND(F24*G24,2)</f>
        <v>143.72</v>
      </c>
      <c r="L24" s="501">
        <v>77.72</v>
      </c>
      <c r="M24" s="372">
        <f>ROUND(IF(Dados!$I$60="SIM",L24*Dados!$N$60,L24),2)</f>
        <v>77.72</v>
      </c>
      <c r="N24" s="372">
        <f>ROUND(IF(Dados!$I$61="SIM",M24*Dados!$N$61,M24),2)</f>
        <v>77.72</v>
      </c>
      <c r="O24" s="372">
        <f>ROUND(IF(Dados!$I$62="SIM",N24*Dados!$N$62,N24),2)</f>
        <v>77.72</v>
      </c>
      <c r="P24" s="372">
        <f>ROUND(IF(Dados!$I$63="SIM",O24*Dados!$N$63,O24),2)</f>
        <v>77.72</v>
      </c>
      <c r="Q24" s="372">
        <f>ROUND(IF(Dados!$I$64="SIM",P24*Dados!$N$64,P24),2)</f>
        <v>77.72</v>
      </c>
      <c r="R24" s="502">
        <f>IF(Dados!$D$67="INICIAL",L24,IF(Dados!$D$67="1º IPCA",M24,IF(Dados!$D$67="2º IPCA",N24,IF(Dados!$D$67="3º IPCA",O24,IF(Dados!$D$67="4º IPCA",P24,IF(Dados!$D$67="5º IPCA",Q24,))))))</f>
        <v>77.72</v>
      </c>
    </row>
    <row r="25" spans="1:18" s="478" customFormat="1" ht="101.25" customHeight="1" x14ac:dyDescent="0.2">
      <c r="A25" s="543" t="s">
        <v>369</v>
      </c>
      <c r="B25" s="523" t="s">
        <v>366</v>
      </c>
      <c r="C25" s="495">
        <v>3</v>
      </c>
      <c r="D25" s="503" t="s">
        <v>601</v>
      </c>
      <c r="E25" s="497" t="s">
        <v>365</v>
      </c>
      <c r="F25" s="498">
        <f t="shared" ref="F25:F27" si="2">C25*$A$26</f>
        <v>3</v>
      </c>
      <c r="G25" s="522">
        <v>54.41</v>
      </c>
      <c r="H25" s="500">
        <f>ROUND(F25*G25,2)</f>
        <v>163.22999999999999</v>
      </c>
      <c r="L25" s="501">
        <v>95.82</v>
      </c>
      <c r="M25" s="372">
        <f>ROUND(IF(Dados!$I$60="SIM",L25*Dados!$N$60,L25),2)</f>
        <v>95.82</v>
      </c>
      <c r="N25" s="372">
        <f>ROUND(IF(Dados!$I$61="SIM",M25*Dados!$N$61,M25),2)</f>
        <v>95.82</v>
      </c>
      <c r="O25" s="372">
        <f>ROUND(IF(Dados!$I$62="SIM",N25*Dados!$N$62,N25),2)</f>
        <v>95.82</v>
      </c>
      <c r="P25" s="372">
        <f>ROUND(IF(Dados!$I$63="SIM",O25*Dados!$N$63,O25),2)</f>
        <v>95.82</v>
      </c>
      <c r="Q25" s="372">
        <f>ROUND(IF(Dados!$I$64="SIM",P25*Dados!$N$64,P25),2)</f>
        <v>95.82</v>
      </c>
      <c r="R25" s="502">
        <f>IF(Dados!$D$67="INICIAL",L25,IF(Dados!$D$67="1º IPCA",M25,IF(Dados!$D$67="2º IPCA",N25,IF(Dados!$D$67="3º IPCA",O25,IF(Dados!$D$67="4º IPCA",P25,IF(Dados!$D$67="5º IPCA",Q25,))))))</f>
        <v>95.82</v>
      </c>
    </row>
    <row r="26" spans="1:18" s="478" customFormat="1" ht="53.25" customHeight="1" x14ac:dyDescent="0.25">
      <c r="A26" s="734">
        <f>Dados!B8</f>
        <v>1</v>
      </c>
      <c r="B26" s="523" t="s">
        <v>367</v>
      </c>
      <c r="C26" s="495">
        <v>1</v>
      </c>
      <c r="D26" s="503" t="s">
        <v>602</v>
      </c>
      <c r="E26" s="497" t="s">
        <v>372</v>
      </c>
      <c r="F26" s="498">
        <f t="shared" si="2"/>
        <v>1</v>
      </c>
      <c r="G26" s="522">
        <v>107.73</v>
      </c>
      <c r="H26" s="500">
        <f>ROUND(F26*G26,2)</f>
        <v>107.73</v>
      </c>
      <c r="L26" s="501"/>
      <c r="M26" s="372"/>
      <c r="N26" s="372"/>
      <c r="O26" s="372"/>
      <c r="P26" s="372"/>
      <c r="Q26" s="372"/>
      <c r="R26" s="502"/>
    </row>
    <row r="27" spans="1:18" s="478" customFormat="1" ht="53.25" customHeight="1" x14ac:dyDescent="0.25">
      <c r="A27" s="735"/>
      <c r="B27" s="544" t="s">
        <v>619</v>
      </c>
      <c r="C27" s="545">
        <v>2</v>
      </c>
      <c r="D27" s="736" t="s">
        <v>620</v>
      </c>
      <c r="E27" s="497" t="s">
        <v>621</v>
      </c>
      <c r="F27" s="498">
        <f t="shared" si="2"/>
        <v>2</v>
      </c>
      <c r="G27" s="546">
        <v>6.34</v>
      </c>
      <c r="H27" s="500">
        <f>ROUND(F27*G27,2)</f>
        <v>12.68</v>
      </c>
      <c r="L27" s="547"/>
      <c r="M27" s="548"/>
      <c r="N27" s="548"/>
      <c r="O27" s="548"/>
      <c r="P27" s="548"/>
      <c r="Q27" s="548"/>
      <c r="R27" s="502"/>
    </row>
    <row r="28" spans="1:18" s="478" customFormat="1" ht="18" customHeight="1" thickBot="1" x14ac:dyDescent="0.3">
      <c r="A28" s="650" t="s">
        <v>371</v>
      </c>
      <c r="B28" s="651"/>
      <c r="C28" s="651"/>
      <c r="D28" s="651"/>
      <c r="E28" s="651"/>
      <c r="F28" s="651"/>
      <c r="G28" s="651"/>
      <c r="H28" s="534">
        <f>SUM(H24:H27)</f>
        <v>427.36</v>
      </c>
      <c r="L28" s="508"/>
      <c r="M28" s="508"/>
      <c r="N28" s="508"/>
      <c r="O28" s="508"/>
      <c r="P28" s="508"/>
      <c r="Q28" s="508"/>
    </row>
    <row r="29" spans="1:18" s="478" customFormat="1" ht="28.5" customHeight="1" thickBot="1" x14ac:dyDescent="0.3">
      <c r="A29" s="652" t="s">
        <v>555</v>
      </c>
      <c r="B29" s="652"/>
      <c r="C29" s="652"/>
      <c r="D29" s="652"/>
      <c r="E29" s="652"/>
      <c r="F29" s="652"/>
      <c r="G29" s="509"/>
      <c r="H29" s="510">
        <f>ROUND(H28/A26/12,2)</f>
        <v>35.61</v>
      </c>
      <c r="L29" s="508"/>
      <c r="M29" s="508"/>
      <c r="N29" s="508"/>
      <c r="O29" s="508"/>
      <c r="P29" s="508"/>
      <c r="Q29" s="508"/>
    </row>
  </sheetData>
  <sheetProtection algorithmName="SHA-512" hashValue="hu3GwefoPV0oLw+N69bEBHYg75hSLpZNcFtMtGNbW2JiBGtzcoj5oBVd6AfWTcZdGj0sySc8943EykL3725TOw==" saltValue="iLrYA7PovHqTaW+QdxBIsw==" spinCount="100000" sheet="1" objects="1" scenarios="1"/>
  <mergeCells count="18">
    <mergeCell ref="A9:A10"/>
    <mergeCell ref="A28:G28"/>
    <mergeCell ref="A29:F29"/>
    <mergeCell ref="A13:G13"/>
    <mergeCell ref="A14:F14"/>
    <mergeCell ref="A20:G20"/>
    <mergeCell ref="A21:F21"/>
    <mergeCell ref="A26:A27"/>
    <mergeCell ref="L1:Q4"/>
    <mergeCell ref="A4:H4"/>
    <mergeCell ref="A5:H5"/>
    <mergeCell ref="L5:L8"/>
    <mergeCell ref="M5:M8"/>
    <mergeCell ref="N5:N8"/>
    <mergeCell ref="O5:O8"/>
    <mergeCell ref="P5:P8"/>
    <mergeCell ref="Q5:Q8"/>
    <mergeCell ref="A6:H6"/>
  </mergeCells>
  <pageMargins left="0.51180555555555496" right="0.51180555555555496" top="0.78749999999999998" bottom="0.78749999999999998" header="0.51180555555555496" footer="0.51180555555555496"/>
  <pageSetup paperSize="9" scale="63"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9D9D9"/>
    <pageSetUpPr fitToPage="1"/>
  </sheetPr>
  <dimension ref="A1:AMB33"/>
  <sheetViews>
    <sheetView showGridLines="0" zoomScaleNormal="100" zoomScalePageLayoutView="115" workbookViewId="0">
      <selection activeCell="I7" sqref="I7"/>
    </sheetView>
  </sheetViews>
  <sheetFormatPr defaultColWidth="9.140625" defaultRowHeight="15" x14ac:dyDescent="0.25"/>
  <cols>
    <col min="1" max="1" width="7.28515625" style="315" customWidth="1"/>
    <col min="2" max="3" width="9.140625" style="315"/>
    <col min="4" max="4" width="33" style="315" customWidth="1"/>
    <col min="5" max="5" width="9.42578125" style="315" customWidth="1"/>
    <col min="6" max="1016" width="9.140625" style="315"/>
  </cols>
  <sheetData>
    <row r="1" spans="1:9" x14ac:dyDescent="0.25">
      <c r="A1" s="76"/>
      <c r="B1" s="77" t="str">
        <f>INSTRUÇÕES!B1</f>
        <v>Tribunal Regional Federal da 6ª Região</v>
      </c>
      <c r="C1" s="77"/>
      <c r="D1" s="77"/>
      <c r="E1" s="77"/>
    </row>
    <row r="2" spans="1:9" x14ac:dyDescent="0.25">
      <c r="A2" s="78"/>
      <c r="B2" s="79" t="str">
        <f>INSTRUÇÕES!B2</f>
        <v>Seção Judiciária de Minas Gerais</v>
      </c>
      <c r="C2" s="79"/>
      <c r="D2" s="79"/>
      <c r="E2" s="79"/>
    </row>
    <row r="3" spans="1:9" x14ac:dyDescent="0.25">
      <c r="A3" s="78"/>
      <c r="B3" s="80" t="str">
        <f>INSTRUÇÕES!B3</f>
        <v>Subseção Judiciária de Janaúba</v>
      </c>
      <c r="C3" s="222"/>
      <c r="D3" s="222"/>
      <c r="E3" s="222"/>
    </row>
    <row r="4" spans="1:9" s="316" customFormat="1" ht="32.25" customHeight="1" x14ac:dyDescent="0.25">
      <c r="A4" s="659" t="s">
        <v>373</v>
      </c>
      <c r="B4" s="659"/>
      <c r="C4" s="659"/>
      <c r="D4" s="659"/>
      <c r="E4" s="659"/>
      <c r="F4" s="659"/>
      <c r="G4" s="659"/>
      <c r="H4" s="659"/>
      <c r="I4" s="659"/>
    </row>
    <row r="5" spans="1:9" s="317" customFormat="1" ht="41.25" customHeight="1" x14ac:dyDescent="0.25">
      <c r="A5" s="655" t="s">
        <v>374</v>
      </c>
      <c r="B5" s="655"/>
      <c r="C5" s="655"/>
      <c r="D5" s="655"/>
      <c r="E5" s="656" t="s">
        <v>375</v>
      </c>
      <c r="F5" s="380" t="str">
        <f>Dados!C7</f>
        <v>Auxiliar Administrativo</v>
      </c>
      <c r="G5" s="380" t="str">
        <f>Dados!C8</f>
        <v>Zelador</v>
      </c>
      <c r="H5" s="380" t="str">
        <f>Dados!C9</f>
        <v>Servente de Limpeza</v>
      </c>
      <c r="I5" s="380" t="str">
        <f>Dados!C10</f>
        <v>Servente de Limpeza (40%)</v>
      </c>
    </row>
    <row r="6" spans="1:9" s="318" customFormat="1" ht="22.5" customHeight="1" x14ac:dyDescent="0.2">
      <c r="A6" s="381" t="s">
        <v>376</v>
      </c>
      <c r="B6" s="657" t="s">
        <v>300</v>
      </c>
      <c r="C6" s="657"/>
      <c r="D6" s="657"/>
      <c r="E6" s="656"/>
      <c r="F6" s="658"/>
      <c r="G6" s="658"/>
      <c r="H6" s="658"/>
      <c r="I6" s="658"/>
    </row>
    <row r="7" spans="1:9" ht="14.25" customHeight="1" x14ac:dyDescent="0.25">
      <c r="A7" s="382">
        <v>1</v>
      </c>
      <c r="B7" s="660" t="s">
        <v>377</v>
      </c>
      <c r="C7" s="660"/>
      <c r="D7" s="660"/>
      <c r="E7" s="660"/>
      <c r="F7" s="383">
        <f>Dados!M7</f>
        <v>1329.06</v>
      </c>
      <c r="G7" s="383">
        <f>Dados!M8</f>
        <v>1349.27</v>
      </c>
      <c r="H7" s="383">
        <f>Dados!M9</f>
        <v>950.62</v>
      </c>
      <c r="I7" s="383">
        <f>Dados!M10</f>
        <v>1922.24</v>
      </c>
    </row>
    <row r="8" spans="1:9" x14ac:dyDescent="0.25">
      <c r="A8" s="384" t="s">
        <v>378</v>
      </c>
      <c r="B8" s="661" t="s">
        <v>301</v>
      </c>
      <c r="C8" s="661"/>
      <c r="D8" s="661"/>
      <c r="E8" s="385">
        <f>Encargos!C39</f>
        <v>9.0899999999999995E-2</v>
      </c>
      <c r="F8" s="320">
        <f t="shared" ref="F8:I8" si="0">ROUND(F7*$E$8,2)</f>
        <v>120.81</v>
      </c>
      <c r="G8" s="320">
        <f t="shared" si="0"/>
        <v>122.65</v>
      </c>
      <c r="H8" s="320">
        <f t="shared" si="0"/>
        <v>86.41</v>
      </c>
      <c r="I8" s="320">
        <f t="shared" si="0"/>
        <v>174.73</v>
      </c>
    </row>
    <row r="9" spans="1:9" x14ac:dyDescent="0.25">
      <c r="A9" s="384" t="s">
        <v>379</v>
      </c>
      <c r="B9" s="661" t="s">
        <v>307</v>
      </c>
      <c r="C9" s="661"/>
      <c r="D9" s="661"/>
      <c r="E9" s="319">
        <f>E8*Encargos!C18</f>
        <v>3.6178200000000008E-2</v>
      </c>
      <c r="F9" s="320">
        <f t="shared" ref="F9:I9" si="1">ROUND(F7*$E$9,2)</f>
        <v>48.08</v>
      </c>
      <c r="G9" s="320">
        <f t="shared" si="1"/>
        <v>48.81</v>
      </c>
      <c r="H9" s="320">
        <f t="shared" si="1"/>
        <v>34.39</v>
      </c>
      <c r="I9" s="320">
        <f t="shared" si="1"/>
        <v>69.540000000000006</v>
      </c>
    </row>
    <row r="10" spans="1:9" ht="12.75" customHeight="1" x14ac:dyDescent="0.25">
      <c r="A10" s="662" t="s">
        <v>380</v>
      </c>
      <c r="B10" s="662"/>
      <c r="C10" s="662"/>
      <c r="D10" s="662"/>
      <c r="E10" s="321">
        <f>SUM(E8:E9)</f>
        <v>0.1270782</v>
      </c>
      <c r="F10" s="322">
        <f t="shared" ref="F10:I10" si="2">SUM(F8:F9)</f>
        <v>168.89</v>
      </c>
      <c r="G10" s="322">
        <f t="shared" si="2"/>
        <v>171.46</v>
      </c>
      <c r="H10" s="322">
        <f t="shared" si="2"/>
        <v>120.8</v>
      </c>
      <c r="I10" s="322">
        <f t="shared" si="2"/>
        <v>244.26999999999998</v>
      </c>
    </row>
    <row r="11" spans="1:9" ht="12.75" customHeight="1" x14ac:dyDescent="0.25">
      <c r="A11" s="662" t="s">
        <v>381</v>
      </c>
      <c r="B11" s="662"/>
      <c r="C11" s="662"/>
      <c r="D11" s="662"/>
      <c r="E11" s="662"/>
      <c r="F11" s="322">
        <f t="shared" ref="F11:I11" si="3">F10*12</f>
        <v>2026.6799999999998</v>
      </c>
      <c r="G11" s="322">
        <f t="shared" si="3"/>
        <v>2057.52</v>
      </c>
      <c r="H11" s="322">
        <f t="shared" si="3"/>
        <v>1449.6</v>
      </c>
      <c r="I11" s="322">
        <f t="shared" si="3"/>
        <v>2931.24</v>
      </c>
    </row>
    <row r="12" spans="1:9" x14ac:dyDescent="0.25">
      <c r="A12" s="348">
        <v>2</v>
      </c>
      <c r="B12" s="323" t="s">
        <v>382</v>
      </c>
      <c r="C12" s="323"/>
      <c r="D12" s="323"/>
      <c r="E12" s="323"/>
      <c r="F12" s="666"/>
      <c r="G12" s="666"/>
      <c r="H12" s="666"/>
      <c r="I12" s="666"/>
    </row>
    <row r="13" spans="1:9" x14ac:dyDescent="0.25">
      <c r="A13" s="386" t="s">
        <v>378</v>
      </c>
      <c r="B13" s="663" t="s">
        <v>383</v>
      </c>
      <c r="C13" s="663"/>
      <c r="D13" s="663"/>
      <c r="E13" s="324"/>
      <c r="F13" s="387">
        <f>'Auxiliar Administrativo'!F23</f>
        <v>0</v>
      </c>
      <c r="G13" s="387">
        <f>Zelador!F23</f>
        <v>0</v>
      </c>
      <c r="H13" s="387">
        <f>'Servente 150'!F23</f>
        <v>0</v>
      </c>
      <c r="I13" s="387">
        <f>'Serv Ins 220'!F23</f>
        <v>460.06</v>
      </c>
    </row>
    <row r="14" spans="1:9" x14ac:dyDescent="0.25">
      <c r="A14" s="386" t="s">
        <v>384</v>
      </c>
      <c r="B14" s="663" t="s">
        <v>385</v>
      </c>
      <c r="C14" s="663"/>
      <c r="D14" s="663"/>
      <c r="E14" s="324"/>
      <c r="F14" s="387">
        <f>'Auxiliar Administrativo'!F22</f>
        <v>85.26</v>
      </c>
      <c r="G14" s="387">
        <f>Zelador!F22</f>
        <v>84.04</v>
      </c>
      <c r="H14" s="387">
        <f>'Servente 150'!F22</f>
        <v>107.96</v>
      </c>
      <c r="I14" s="387">
        <f>'Serv Ins 220'!F22</f>
        <v>81.349999999999994</v>
      </c>
    </row>
    <row r="15" spans="1:9" x14ac:dyDescent="0.25">
      <c r="A15" s="386" t="s">
        <v>386</v>
      </c>
      <c r="B15" s="324" t="s">
        <v>387</v>
      </c>
      <c r="C15" s="324"/>
      <c r="D15" s="324"/>
      <c r="E15" s="324"/>
      <c r="F15" s="325">
        <v>0</v>
      </c>
      <c r="G15" s="325">
        <v>0</v>
      </c>
      <c r="H15" s="325">
        <v>0</v>
      </c>
      <c r="I15" s="325">
        <v>0</v>
      </c>
    </row>
    <row r="16" spans="1:9" x14ac:dyDescent="0.25">
      <c r="A16" s="664" t="s">
        <v>388</v>
      </c>
      <c r="B16" s="664"/>
      <c r="C16" s="664"/>
      <c r="D16" s="664"/>
      <c r="E16" s="664"/>
      <c r="F16" s="326">
        <f t="shared" ref="F16:I16" si="4">SUM(F13:F15)</f>
        <v>85.26</v>
      </c>
      <c r="G16" s="326">
        <f t="shared" si="4"/>
        <v>84.04</v>
      </c>
      <c r="H16" s="326">
        <f t="shared" si="4"/>
        <v>107.96</v>
      </c>
      <c r="I16" s="326">
        <f t="shared" si="4"/>
        <v>541.41</v>
      </c>
    </row>
    <row r="17" spans="1:9" ht="12.75" customHeight="1" x14ac:dyDescent="0.25">
      <c r="A17" s="348">
        <v>5</v>
      </c>
      <c r="B17" s="665" t="s">
        <v>389</v>
      </c>
      <c r="C17" s="665"/>
      <c r="D17" s="665"/>
      <c r="E17" s="327" t="s">
        <v>375</v>
      </c>
      <c r="F17" s="666"/>
      <c r="G17" s="666"/>
      <c r="H17" s="666"/>
      <c r="I17" s="666"/>
    </row>
    <row r="18" spans="1:9" ht="12.75" customHeight="1" x14ac:dyDescent="0.25">
      <c r="A18" s="386" t="s">
        <v>378</v>
      </c>
      <c r="B18" s="667" t="s">
        <v>390</v>
      </c>
      <c r="C18" s="667"/>
      <c r="D18" s="667"/>
      <c r="E18" s="328">
        <f>Dados!$G$43</f>
        <v>0.03</v>
      </c>
      <c r="F18" s="329">
        <f t="shared" ref="F18:I18" si="5">ROUND(($E$18*F31),2)</f>
        <v>63.36</v>
      </c>
      <c r="G18" s="329">
        <f t="shared" si="5"/>
        <v>64.25</v>
      </c>
      <c r="H18" s="329">
        <f t="shared" si="5"/>
        <v>46.73</v>
      </c>
      <c r="I18" s="329">
        <f t="shared" si="5"/>
        <v>104.18</v>
      </c>
    </row>
    <row r="19" spans="1:9" ht="12.75" customHeight="1" x14ac:dyDescent="0.25">
      <c r="A19" s="386" t="s">
        <v>581</v>
      </c>
      <c r="B19" s="667" t="s">
        <v>214</v>
      </c>
      <c r="C19" s="667"/>
      <c r="D19" s="667"/>
      <c r="E19" s="328">
        <f>Dados!$G$44</f>
        <v>6.7900000000000002E-2</v>
      </c>
      <c r="F19" s="329">
        <f t="shared" ref="F19:I19" si="6">ROUND(($E$19*(F18+F31)),2)</f>
        <v>147.69999999999999</v>
      </c>
      <c r="G19" s="329">
        <f t="shared" si="6"/>
        <v>149.77000000000001</v>
      </c>
      <c r="H19" s="329">
        <f t="shared" si="6"/>
        <v>108.93</v>
      </c>
      <c r="I19" s="329">
        <f t="shared" si="6"/>
        <v>242.87</v>
      </c>
    </row>
    <row r="20" spans="1:9" ht="12.75" customHeight="1" x14ac:dyDescent="0.25">
      <c r="A20" s="388" t="s">
        <v>386</v>
      </c>
      <c r="B20" s="668" t="s">
        <v>391</v>
      </c>
      <c r="C20" s="668"/>
      <c r="D20" s="668"/>
      <c r="E20" s="330">
        <f>SUM(E21:E24)</f>
        <v>0.13250000000000001</v>
      </c>
      <c r="F20" s="331">
        <f t="shared" ref="F20:I20" si="7">ROUND((((F31+F18+F19)/(1-$E$20))-(F31+F18+F19)),2)</f>
        <v>354.81</v>
      </c>
      <c r="G20" s="331">
        <f t="shared" si="7"/>
        <v>359.79</v>
      </c>
      <c r="H20" s="331">
        <f t="shared" si="7"/>
        <v>261.67</v>
      </c>
      <c r="I20" s="331">
        <f t="shared" si="7"/>
        <v>583.41</v>
      </c>
    </row>
    <row r="21" spans="1:9" ht="12.75" customHeight="1" x14ac:dyDescent="0.25">
      <c r="A21" s="389" t="s">
        <v>392</v>
      </c>
      <c r="B21" s="667" t="s">
        <v>393</v>
      </c>
      <c r="C21" s="667"/>
      <c r="D21" s="667"/>
      <c r="E21" s="328">
        <f>Dados!G51+Dados!G52</f>
        <v>9.2499999999999999E-2</v>
      </c>
      <c r="F21" s="329">
        <f t="shared" ref="F21:I21" si="8">ROUND($E$21*F33,2)</f>
        <v>247.7</v>
      </c>
      <c r="G21" s="329">
        <f t="shared" si="8"/>
        <v>251.17</v>
      </c>
      <c r="H21" s="329">
        <f t="shared" si="8"/>
        <v>182.68</v>
      </c>
      <c r="I21" s="329">
        <f t="shared" si="8"/>
        <v>407.29</v>
      </c>
    </row>
    <row r="22" spans="1:9" ht="12.75" customHeight="1" x14ac:dyDescent="0.25">
      <c r="A22" s="386" t="s">
        <v>394</v>
      </c>
      <c r="B22" s="667" t="s">
        <v>395</v>
      </c>
      <c r="C22" s="667"/>
      <c r="D22" s="667"/>
      <c r="E22" s="328">
        <v>0</v>
      </c>
      <c r="F22" s="329">
        <f t="shared" ref="F22:I22" si="9">ROUND($E$22*F33,2)</f>
        <v>0</v>
      </c>
      <c r="G22" s="329">
        <f t="shared" si="9"/>
        <v>0</v>
      </c>
      <c r="H22" s="329">
        <f t="shared" si="9"/>
        <v>0</v>
      </c>
      <c r="I22" s="329">
        <f t="shared" si="9"/>
        <v>0</v>
      </c>
    </row>
    <row r="23" spans="1:9" ht="12.75" customHeight="1" x14ac:dyDescent="0.25">
      <c r="A23" s="386" t="s">
        <v>396</v>
      </c>
      <c r="B23" s="667" t="s">
        <v>397</v>
      </c>
      <c r="C23" s="667"/>
      <c r="D23" s="667"/>
      <c r="E23" s="328">
        <f>Dados!G53</f>
        <v>0.04</v>
      </c>
      <c r="F23" s="329">
        <f t="shared" ref="F23:I23" si="10">ROUND($E$23*F33,2)</f>
        <v>107.11</v>
      </c>
      <c r="G23" s="329">
        <f t="shared" si="10"/>
        <v>108.61</v>
      </c>
      <c r="H23" s="329">
        <f t="shared" si="10"/>
        <v>79</v>
      </c>
      <c r="I23" s="329">
        <f t="shared" si="10"/>
        <v>176.12</v>
      </c>
    </row>
    <row r="24" spans="1:9" x14ac:dyDescent="0.25">
      <c r="A24" s="386" t="s">
        <v>398</v>
      </c>
      <c r="B24" s="667" t="str">
        <f>Dados!B54</f>
        <v>Outros (inserir somente com a justificativa legal)</v>
      </c>
      <c r="C24" s="667"/>
      <c r="D24" s="667"/>
      <c r="E24" s="328">
        <f>Dados!G54</f>
        <v>0</v>
      </c>
      <c r="F24" s="329">
        <f t="shared" ref="F24:I24" si="11">ROUND($E$24*F33,2)</f>
        <v>0</v>
      </c>
      <c r="G24" s="329">
        <f t="shared" si="11"/>
        <v>0</v>
      </c>
      <c r="H24" s="329">
        <f t="shared" si="11"/>
        <v>0</v>
      </c>
      <c r="I24" s="329">
        <f t="shared" si="11"/>
        <v>0</v>
      </c>
    </row>
    <row r="25" spans="1:9" x14ac:dyDescent="0.25">
      <c r="A25" s="390" t="s">
        <v>399</v>
      </c>
      <c r="B25" s="391"/>
      <c r="C25" s="391"/>
      <c r="D25" s="391"/>
      <c r="E25" s="391"/>
      <c r="F25" s="392">
        <f t="shared" ref="F25:I25" si="12">SUM(F18:F20)</f>
        <v>565.87</v>
      </c>
      <c r="G25" s="392">
        <f t="shared" si="12"/>
        <v>573.81000000000006</v>
      </c>
      <c r="H25" s="392">
        <f t="shared" si="12"/>
        <v>417.33000000000004</v>
      </c>
      <c r="I25" s="392">
        <f t="shared" si="12"/>
        <v>930.46</v>
      </c>
    </row>
    <row r="26" spans="1:9" ht="19.5" customHeight="1" x14ac:dyDescent="0.25">
      <c r="A26" s="670" t="s">
        <v>400</v>
      </c>
      <c r="B26" s="670"/>
      <c r="C26" s="670"/>
      <c r="D26" s="670"/>
      <c r="E26" s="670"/>
      <c r="F26" s="670"/>
      <c r="G26" s="670"/>
      <c r="H26" s="670"/>
      <c r="I26" s="670"/>
    </row>
    <row r="27" spans="1:9" ht="18" customHeight="1" x14ac:dyDescent="0.25">
      <c r="A27" s="671" t="s">
        <v>401</v>
      </c>
      <c r="B27" s="671"/>
      <c r="C27" s="671"/>
      <c r="D27" s="671"/>
      <c r="E27" s="671"/>
      <c r="F27" s="671"/>
      <c r="G27" s="671"/>
      <c r="H27" s="671"/>
      <c r="I27" s="671"/>
    </row>
    <row r="28" spans="1:9" ht="14.25" customHeight="1" x14ac:dyDescent="0.25">
      <c r="A28" s="393" t="s">
        <v>402</v>
      </c>
      <c r="B28" s="393"/>
      <c r="C28" s="393"/>
      <c r="D28" s="393"/>
      <c r="E28" s="393"/>
      <c r="F28" s="666"/>
      <c r="G28" s="666"/>
      <c r="H28" s="666"/>
      <c r="I28" s="666"/>
    </row>
    <row r="29" spans="1:9" x14ac:dyDescent="0.25">
      <c r="A29" s="384" t="s">
        <v>378</v>
      </c>
      <c r="B29" s="332" t="s">
        <v>403</v>
      </c>
      <c r="C29" s="332"/>
      <c r="D29" s="332"/>
      <c r="E29" s="332"/>
      <c r="F29" s="333">
        <f t="shared" ref="F29:I29" si="13">F11</f>
        <v>2026.6799999999998</v>
      </c>
      <c r="G29" s="333">
        <f t="shared" si="13"/>
        <v>2057.52</v>
      </c>
      <c r="H29" s="333">
        <f t="shared" si="13"/>
        <v>1449.6</v>
      </c>
      <c r="I29" s="333">
        <f t="shared" si="13"/>
        <v>2931.24</v>
      </c>
    </row>
    <row r="30" spans="1:9" x14ac:dyDescent="0.25">
      <c r="A30" s="384" t="s">
        <v>384</v>
      </c>
      <c r="B30" s="332" t="s">
        <v>382</v>
      </c>
      <c r="C30" s="332"/>
      <c r="D30" s="332"/>
      <c r="E30" s="332"/>
      <c r="F30" s="333">
        <f t="shared" ref="F30:I30" si="14">F16</f>
        <v>85.26</v>
      </c>
      <c r="G30" s="333">
        <f t="shared" si="14"/>
        <v>84.04</v>
      </c>
      <c r="H30" s="333">
        <f t="shared" si="14"/>
        <v>107.96</v>
      </c>
      <c r="I30" s="333">
        <f t="shared" si="14"/>
        <v>541.41</v>
      </c>
    </row>
    <row r="31" spans="1:9" x14ac:dyDescent="0.25">
      <c r="A31" s="669" t="s">
        <v>404</v>
      </c>
      <c r="B31" s="669"/>
      <c r="C31" s="669"/>
      <c r="D31" s="669"/>
      <c r="E31" s="334"/>
      <c r="F31" s="335">
        <f t="shared" ref="F31:I31" si="15">SUM(F29:F30)</f>
        <v>2111.94</v>
      </c>
      <c r="G31" s="335">
        <f t="shared" si="15"/>
        <v>2141.56</v>
      </c>
      <c r="H31" s="335">
        <f t="shared" si="15"/>
        <v>1557.56</v>
      </c>
      <c r="I31" s="335">
        <f t="shared" si="15"/>
        <v>3472.6499999999996</v>
      </c>
    </row>
    <row r="32" spans="1:9" x14ac:dyDescent="0.25">
      <c r="A32" s="384" t="s">
        <v>405</v>
      </c>
      <c r="B32" s="332" t="s">
        <v>406</v>
      </c>
      <c r="C32" s="332"/>
      <c r="D32" s="332"/>
      <c r="E32" s="332"/>
      <c r="F32" s="333">
        <f t="shared" ref="F32:I32" si="16">F25</f>
        <v>565.87</v>
      </c>
      <c r="G32" s="333">
        <f t="shared" si="16"/>
        <v>573.81000000000006</v>
      </c>
      <c r="H32" s="333">
        <f t="shared" si="16"/>
        <v>417.33000000000004</v>
      </c>
      <c r="I32" s="333">
        <f t="shared" si="16"/>
        <v>930.46</v>
      </c>
    </row>
    <row r="33" spans="1:9" ht="19.5" customHeight="1" x14ac:dyDescent="0.25">
      <c r="A33" s="393" t="s">
        <v>407</v>
      </c>
      <c r="B33" s="393"/>
      <c r="C33" s="393"/>
      <c r="D33" s="393"/>
      <c r="E33" s="393"/>
      <c r="F33" s="394">
        <f t="shared" ref="F33:I33" si="17">SUM(F31:F32)</f>
        <v>2677.81</v>
      </c>
      <c r="G33" s="394">
        <f t="shared" si="17"/>
        <v>2715.37</v>
      </c>
      <c r="H33" s="394">
        <f t="shared" si="17"/>
        <v>1974.8899999999999</v>
      </c>
      <c r="I33" s="394">
        <f t="shared" si="17"/>
        <v>4403.1099999999997</v>
      </c>
    </row>
  </sheetData>
  <sheetProtection password="C494" sheet="1" objects="1" scenarios="1"/>
  <mergeCells count="27">
    <mergeCell ref="A31:D31"/>
    <mergeCell ref="B23:D23"/>
    <mergeCell ref="B24:D24"/>
    <mergeCell ref="A26:I26"/>
    <mergeCell ref="A27:I27"/>
    <mergeCell ref="F28:I28"/>
    <mergeCell ref="B18:D18"/>
    <mergeCell ref="B19:D19"/>
    <mergeCell ref="B20:D20"/>
    <mergeCell ref="B21:D21"/>
    <mergeCell ref="B22:D22"/>
    <mergeCell ref="B13:D13"/>
    <mergeCell ref="B14:D14"/>
    <mergeCell ref="A16:E16"/>
    <mergeCell ref="B17:D17"/>
    <mergeCell ref="F12:I12"/>
    <mergeCell ref="F17:I17"/>
    <mergeCell ref="B7:E7"/>
    <mergeCell ref="B8:D8"/>
    <mergeCell ref="B9:D9"/>
    <mergeCell ref="A10:D10"/>
    <mergeCell ref="A11:E11"/>
    <mergeCell ref="A5:D5"/>
    <mergeCell ref="E5:E6"/>
    <mergeCell ref="B6:D6"/>
    <mergeCell ref="F6:I6"/>
    <mergeCell ref="A4:I4"/>
  </mergeCells>
  <pageMargins left="0.51180555555555496" right="0.51180555555555496" top="0.78749999999999998" bottom="0.78749999999999998" header="0.51180555555555496" footer="0.51180555555555496"/>
  <pageSetup paperSize="9" orientation="landscape"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MJ23"/>
  <sheetViews>
    <sheetView showGridLines="0" topLeftCell="C1" zoomScale="80" zoomScaleNormal="80" workbookViewId="0">
      <selection activeCell="K11" sqref="K11"/>
    </sheetView>
  </sheetViews>
  <sheetFormatPr defaultColWidth="9.140625" defaultRowHeight="15" x14ac:dyDescent="0.25"/>
  <cols>
    <col min="1" max="1" width="13.140625" style="2" customWidth="1"/>
    <col min="2" max="2" width="44.42578125" style="2" customWidth="1"/>
    <col min="3" max="3" width="7.140625" style="2" customWidth="1"/>
    <col min="4" max="4" width="6.7109375" style="2" customWidth="1"/>
    <col min="5" max="5" width="10.140625" style="2" customWidth="1"/>
    <col min="6" max="6" width="12.5703125" style="2" customWidth="1"/>
    <col min="7" max="7" width="12.28515625" style="2" customWidth="1"/>
    <col min="8" max="8" width="13.42578125" style="2" customWidth="1"/>
    <col min="9" max="9" width="11.85546875" style="2" customWidth="1"/>
    <col min="10" max="10" width="13.7109375" style="2" customWidth="1"/>
    <col min="11" max="11" width="11.28515625" style="2" customWidth="1"/>
    <col min="12" max="12" width="15.5703125" style="2" customWidth="1"/>
    <col min="13" max="13" width="12.28515625" style="2" customWidth="1"/>
    <col min="14" max="14" width="7.42578125" style="2" customWidth="1"/>
    <col min="15" max="15" width="13.28515625" style="2" customWidth="1"/>
    <col min="16" max="16" width="12" style="2" customWidth="1"/>
    <col min="17" max="17" width="9.5703125" style="2" customWidth="1"/>
    <col min="18" max="18" width="11.28515625" style="2" customWidth="1"/>
    <col min="19" max="19" width="16.140625" style="2" customWidth="1"/>
    <col min="20" max="20" width="12.140625" style="2" customWidth="1"/>
    <col min="21" max="22" width="10.140625" style="2" customWidth="1"/>
    <col min="23" max="23" width="19.7109375" style="2" customWidth="1"/>
    <col min="24" max="259" width="9.140625" style="2"/>
    <col min="260" max="260" width="13.140625" style="2" customWidth="1"/>
    <col min="261" max="261" width="38.42578125" style="2" customWidth="1"/>
    <col min="262" max="262" width="7.140625" style="2" customWidth="1"/>
    <col min="263" max="263" width="6.7109375" style="2" customWidth="1"/>
    <col min="264" max="264" width="10.140625" style="2" customWidth="1"/>
    <col min="265" max="265" width="12.5703125" style="2" customWidth="1"/>
    <col min="266" max="266" width="12.28515625" style="2" customWidth="1"/>
    <col min="267" max="267" width="13.42578125" style="2" customWidth="1"/>
    <col min="268" max="268" width="12.140625" style="2" customWidth="1"/>
    <col min="269" max="269" width="13.7109375" style="2" customWidth="1"/>
    <col min="270" max="270" width="11.28515625" style="2" customWidth="1"/>
    <col min="271" max="271" width="15.5703125" style="2" customWidth="1"/>
    <col min="272" max="272" width="12.28515625" style="2" customWidth="1"/>
    <col min="273" max="273" width="7.42578125" style="2" customWidth="1"/>
    <col min="274" max="274" width="13.28515625" style="2" customWidth="1"/>
    <col min="275" max="275" width="14" style="2" customWidth="1"/>
    <col min="276" max="276" width="12.140625" style="2" customWidth="1"/>
    <col min="277" max="278" width="10.140625" style="2" customWidth="1"/>
    <col min="279" max="279" width="16.42578125" style="2" customWidth="1"/>
    <col min="280" max="515" width="9.140625" style="2"/>
    <col min="516" max="516" width="13.140625" style="2" customWidth="1"/>
    <col min="517" max="517" width="38.42578125" style="2" customWidth="1"/>
    <col min="518" max="518" width="7.140625" style="2" customWidth="1"/>
    <col min="519" max="519" width="6.7109375" style="2" customWidth="1"/>
    <col min="520" max="520" width="10.140625" style="2" customWidth="1"/>
    <col min="521" max="521" width="12.5703125" style="2" customWidth="1"/>
    <col min="522" max="522" width="12.28515625" style="2" customWidth="1"/>
    <col min="523" max="523" width="13.42578125" style="2" customWidth="1"/>
    <col min="524" max="524" width="12.140625" style="2" customWidth="1"/>
    <col min="525" max="525" width="13.7109375" style="2" customWidth="1"/>
    <col min="526" max="526" width="11.28515625" style="2" customWidth="1"/>
    <col min="527" max="527" width="15.5703125" style="2" customWidth="1"/>
    <col min="528" max="528" width="12.28515625" style="2" customWidth="1"/>
    <col min="529" max="529" width="7.42578125" style="2" customWidth="1"/>
    <col min="530" max="530" width="13.28515625" style="2" customWidth="1"/>
    <col min="531" max="531" width="14" style="2" customWidth="1"/>
    <col min="532" max="532" width="12.140625" style="2" customWidth="1"/>
    <col min="533" max="534" width="10.140625" style="2" customWidth="1"/>
    <col min="535" max="535" width="16.42578125" style="2" customWidth="1"/>
    <col min="536" max="771" width="9.140625" style="2"/>
    <col min="772" max="772" width="13.140625" style="2" customWidth="1"/>
    <col min="773" max="773" width="38.42578125" style="2" customWidth="1"/>
    <col min="774" max="774" width="7.140625" style="2" customWidth="1"/>
    <col min="775" max="775" width="6.7109375" style="2" customWidth="1"/>
    <col min="776" max="776" width="10.140625" style="2" customWidth="1"/>
    <col min="777" max="777" width="12.5703125" style="2" customWidth="1"/>
    <col min="778" max="778" width="12.28515625" style="2" customWidth="1"/>
    <col min="779" max="779" width="13.42578125" style="2" customWidth="1"/>
    <col min="780" max="780" width="12.140625" style="2" customWidth="1"/>
    <col min="781" max="781" width="13.7109375" style="2" customWidth="1"/>
    <col min="782" max="782" width="11.28515625" style="2" customWidth="1"/>
    <col min="783" max="783" width="15.5703125" style="2" customWidth="1"/>
    <col min="784" max="784" width="12.28515625" style="2" customWidth="1"/>
    <col min="785" max="785" width="7.42578125" style="2" customWidth="1"/>
    <col min="786" max="786" width="13.28515625" style="2" customWidth="1"/>
    <col min="787" max="787" width="14" style="2" customWidth="1"/>
    <col min="788" max="788" width="12.140625" style="2" customWidth="1"/>
    <col min="789" max="790" width="10.140625" style="2" customWidth="1"/>
    <col min="791" max="791" width="16.42578125" style="2" customWidth="1"/>
    <col min="792" max="1024" width="9.140625" style="2"/>
  </cols>
  <sheetData>
    <row r="1" spans="1:25" x14ac:dyDescent="0.25">
      <c r="A1" s="5"/>
      <c r="B1" s="278" t="str">
        <f>INSTRUÇÕES!B1</f>
        <v>Tribunal Regional Federal da 6ª Região</v>
      </c>
      <c r="C1" s="279"/>
      <c r="D1" s="279"/>
      <c r="E1" s="279"/>
      <c r="F1" s="279"/>
      <c r="G1" s="279"/>
      <c r="H1" s="279"/>
      <c r="I1" s="279"/>
      <c r="J1" s="280"/>
      <c r="K1" s="280"/>
      <c r="L1" s="280"/>
      <c r="M1" s="280"/>
      <c r="N1" s="280"/>
      <c r="O1" s="280"/>
      <c r="P1" s="280"/>
      <c r="Q1" s="280"/>
      <c r="R1" s="280"/>
      <c r="S1" s="280"/>
      <c r="T1" s="280"/>
      <c r="U1" s="280"/>
      <c r="V1" s="280"/>
      <c r="W1" s="281"/>
    </row>
    <row r="2" spans="1:25" x14ac:dyDescent="0.25">
      <c r="A2" s="282"/>
      <c r="B2" s="96" t="str">
        <f>INSTRUÇÕES!B2</f>
        <v>Seção Judiciária de Minas Gerais</v>
      </c>
      <c r="C2" s="65"/>
      <c r="D2" s="65"/>
      <c r="E2" s="65"/>
      <c r="F2" s="65"/>
      <c r="G2" s="65"/>
      <c r="H2" s="65"/>
      <c r="I2" s="65"/>
      <c r="W2" s="283"/>
    </row>
    <row r="3" spans="1:25" x14ac:dyDescent="0.25">
      <c r="A3" s="282"/>
      <c r="B3" s="96" t="str">
        <f>INSTRUÇÕES!B3</f>
        <v>Subseção Judiciária de Janaúba</v>
      </c>
      <c r="C3" s="65"/>
      <c r="D3" s="65"/>
      <c r="E3" s="65"/>
      <c r="F3" s="65"/>
      <c r="G3" s="65"/>
      <c r="H3" s="65"/>
      <c r="I3" s="65"/>
      <c r="W3" s="283"/>
    </row>
    <row r="4" spans="1:25" s="284" customFormat="1" ht="18.75" customHeight="1" x14ac:dyDescent="0.25">
      <c r="A4" s="672" t="s">
        <v>408</v>
      </c>
      <c r="B4" s="672"/>
      <c r="C4" s="672"/>
      <c r="D4" s="672"/>
      <c r="E4" s="672"/>
      <c r="F4" s="672"/>
      <c r="G4" s="672"/>
      <c r="H4" s="672"/>
      <c r="I4" s="672"/>
      <c r="J4" s="672"/>
      <c r="K4" s="672"/>
      <c r="L4" s="672"/>
      <c r="M4" s="672"/>
      <c r="N4" s="672"/>
      <c r="O4" s="672"/>
      <c r="P4" s="672"/>
      <c r="Q4" s="672"/>
      <c r="R4" s="672"/>
      <c r="S4" s="672"/>
      <c r="T4" s="672"/>
      <c r="U4" s="672"/>
      <c r="V4" s="672"/>
      <c r="W4" s="672"/>
    </row>
    <row r="5" spans="1:25" s="101" customFormat="1" ht="21" customHeight="1" x14ac:dyDescent="0.25">
      <c r="A5" s="673" t="str">
        <f>"PREÇO MENSAL GLOBAL - "&amp;B3</f>
        <v>PREÇO MENSAL GLOBAL - Subseção Judiciária de Janaúba</v>
      </c>
      <c r="B5" s="673"/>
      <c r="C5" s="673"/>
      <c r="D5" s="673"/>
      <c r="E5" s="673"/>
      <c r="F5" s="673"/>
      <c r="G5" s="673"/>
      <c r="H5" s="673"/>
      <c r="I5" s="673"/>
      <c r="J5" s="673"/>
      <c r="K5" s="673"/>
      <c r="L5" s="673"/>
      <c r="M5" s="673"/>
      <c r="N5" s="673"/>
      <c r="O5" s="673"/>
      <c r="P5" s="673"/>
      <c r="Q5" s="673"/>
      <c r="R5" s="673"/>
      <c r="S5" s="673"/>
      <c r="T5" s="673"/>
      <c r="U5" s="673"/>
      <c r="V5" s="673"/>
      <c r="W5" s="673"/>
    </row>
    <row r="6" spans="1:25" s="4" customFormat="1" ht="23.25" customHeight="1" x14ac:dyDescent="0.25">
      <c r="A6" s="674" t="str">
        <f>Dados!A4</f>
        <v>Sindicato utilizado - SETHAC. Vigência: 01/01/2023 à 31/12/2023. Sendo a data base da categoria 01º Janeiro. Com número de registro no MTE MG003959/2023.</v>
      </c>
      <c r="B6" s="674"/>
      <c r="C6" s="674"/>
      <c r="D6" s="674"/>
      <c r="E6" s="674"/>
      <c r="F6" s="674"/>
      <c r="G6" s="674"/>
      <c r="H6" s="674"/>
      <c r="I6" s="674"/>
      <c r="J6" s="674"/>
      <c r="K6" s="674"/>
      <c r="L6" s="674"/>
      <c r="M6" s="674"/>
      <c r="N6" s="674"/>
      <c r="O6" s="674"/>
      <c r="P6" s="674"/>
      <c r="Q6" s="674"/>
      <c r="R6" s="674"/>
      <c r="S6" s="674"/>
      <c r="T6" s="674"/>
      <c r="U6" s="674"/>
      <c r="V6" s="674"/>
      <c r="W6" s="674"/>
    </row>
    <row r="7" spans="1:25" s="17" customFormat="1" ht="18.75" customHeight="1" x14ac:dyDescent="0.25">
      <c r="A7" s="285"/>
      <c r="B7" s="286"/>
      <c r="C7" s="286"/>
      <c r="D7" s="286"/>
      <c r="E7" s="287"/>
      <c r="F7" s="287"/>
      <c r="G7" s="287"/>
      <c r="H7" s="288" t="s">
        <v>409</v>
      </c>
      <c r="I7" s="289"/>
      <c r="J7" s="289"/>
      <c r="K7" s="287"/>
      <c r="L7" s="287"/>
      <c r="M7" s="287"/>
      <c r="N7" s="287"/>
      <c r="O7" s="287"/>
      <c r="P7" s="287"/>
      <c r="Q7" s="287"/>
      <c r="R7" s="287"/>
      <c r="S7" s="675" t="s">
        <v>410</v>
      </c>
      <c r="T7" s="675"/>
      <c r="U7" s="675"/>
      <c r="V7" s="675"/>
      <c r="W7" s="675"/>
    </row>
    <row r="8" spans="1:25" s="17" customFormat="1" ht="22.5" customHeight="1" x14ac:dyDescent="0.25">
      <c r="A8" s="676" t="s">
        <v>411</v>
      </c>
      <c r="B8" s="677" t="s">
        <v>412</v>
      </c>
      <c r="C8" s="677"/>
      <c r="D8" s="678" t="s">
        <v>44</v>
      </c>
      <c r="E8" s="678"/>
      <c r="F8" s="678"/>
      <c r="G8" s="678"/>
      <c r="H8" s="678"/>
      <c r="I8" s="678"/>
      <c r="J8" s="678"/>
      <c r="K8" s="678"/>
      <c r="L8" s="678"/>
      <c r="M8" s="678"/>
      <c r="N8" s="678"/>
      <c r="O8" s="678"/>
      <c r="P8" s="678"/>
      <c r="Q8" s="678"/>
      <c r="R8" s="678"/>
      <c r="S8" s="678"/>
      <c r="T8" s="678"/>
      <c r="U8" s="678"/>
      <c r="V8" s="678"/>
      <c r="W8" s="679" t="s">
        <v>413</v>
      </c>
    </row>
    <row r="9" spans="1:25" s="17" customFormat="1" ht="20.25" customHeight="1" x14ac:dyDescent="0.25">
      <c r="A9" s="676"/>
      <c r="B9" s="677"/>
      <c r="C9" s="677"/>
      <c r="D9" s="680" t="s">
        <v>414</v>
      </c>
      <c r="E9" s="680"/>
      <c r="F9" s="680"/>
      <c r="G9" s="680" t="s">
        <v>415</v>
      </c>
      <c r="H9" s="680"/>
      <c r="I9" s="680"/>
      <c r="J9" s="681" t="s">
        <v>416</v>
      </c>
      <c r="K9" s="681"/>
      <c r="L9" s="681"/>
      <c r="M9" s="681"/>
      <c r="N9" s="681"/>
      <c r="O9" s="681"/>
      <c r="P9" s="682" t="s">
        <v>417</v>
      </c>
      <c r="Q9" s="682"/>
      <c r="R9" s="682"/>
      <c r="S9" s="290" t="s">
        <v>418</v>
      </c>
      <c r="T9" s="683" t="s">
        <v>419</v>
      </c>
      <c r="U9" s="683"/>
      <c r="V9" s="683"/>
      <c r="W9" s="679"/>
    </row>
    <row r="10" spans="1:25" s="17" customFormat="1" ht="27.75" customHeight="1" thickBot="1" x14ac:dyDescent="0.3">
      <c r="A10" s="676"/>
      <c r="B10" s="677"/>
      <c r="C10" s="677"/>
      <c r="D10" s="684" t="s">
        <v>420</v>
      </c>
      <c r="E10" s="684"/>
      <c r="F10" s="684"/>
      <c r="G10" s="685" t="s">
        <v>421</v>
      </c>
      <c r="H10" s="686" t="s">
        <v>422</v>
      </c>
      <c r="I10" s="686"/>
      <c r="J10" s="687" t="s">
        <v>423</v>
      </c>
      <c r="K10" s="687"/>
      <c r="L10" s="687"/>
      <c r="M10" s="688" t="s">
        <v>424</v>
      </c>
      <c r="N10" s="688"/>
      <c r="O10" s="688"/>
      <c r="P10" s="689" t="s">
        <v>425</v>
      </c>
      <c r="Q10" s="689"/>
      <c r="R10" s="689"/>
      <c r="S10" s="690" t="s">
        <v>426</v>
      </c>
      <c r="T10" s="689" t="s">
        <v>427</v>
      </c>
      <c r="U10" s="689"/>
      <c r="V10" s="689"/>
      <c r="W10" s="679"/>
    </row>
    <row r="11" spans="1:25" s="17" customFormat="1" ht="64.5" thickBot="1" x14ac:dyDescent="0.3">
      <c r="A11" s="676"/>
      <c r="B11" s="291" t="s">
        <v>25</v>
      </c>
      <c r="C11" s="292" t="s">
        <v>26</v>
      </c>
      <c r="D11" s="293" t="s">
        <v>24</v>
      </c>
      <c r="E11" s="294" t="s">
        <v>428</v>
      </c>
      <c r="F11" s="295" t="s">
        <v>429</v>
      </c>
      <c r="G11" s="685"/>
      <c r="H11" s="294" t="s">
        <v>430</v>
      </c>
      <c r="I11" s="297" t="s">
        <v>431</v>
      </c>
      <c r="J11" s="402" t="s">
        <v>432</v>
      </c>
      <c r="K11" s="294" t="s">
        <v>33</v>
      </c>
      <c r="L11" s="297" t="s">
        <v>433</v>
      </c>
      <c r="M11" s="291" t="s">
        <v>434</v>
      </c>
      <c r="N11" s="294" t="s">
        <v>34</v>
      </c>
      <c r="O11" s="296" t="s">
        <v>435</v>
      </c>
      <c r="P11" s="291" t="s">
        <v>436</v>
      </c>
      <c r="Q11" s="294" t="s">
        <v>437</v>
      </c>
      <c r="R11" s="292" t="s">
        <v>438</v>
      </c>
      <c r="S11" s="690"/>
      <c r="T11" s="291" t="s">
        <v>439</v>
      </c>
      <c r="U11" s="294" t="s">
        <v>440</v>
      </c>
      <c r="V11" s="297" t="s">
        <v>441</v>
      </c>
      <c r="W11" s="679"/>
    </row>
    <row r="12" spans="1:25" s="17" customFormat="1" ht="15.75" x14ac:dyDescent="0.25">
      <c r="A12" s="691"/>
      <c r="B12" s="359" t="str">
        <f>Dados!C7</f>
        <v>Auxiliar Administrativo</v>
      </c>
      <c r="C12" s="298">
        <f>Dados!D7</f>
        <v>150</v>
      </c>
      <c r="D12" s="299">
        <f>Dados!B7</f>
        <v>1</v>
      </c>
      <c r="E12" s="358">
        <f>'Auxiliar Administrativo'!F45</f>
        <v>3230.55</v>
      </c>
      <c r="F12" s="400">
        <f t="shared" ref="F12:F15" si="0">ROUND((D12*E12),2)</f>
        <v>3230.55</v>
      </c>
      <c r="G12" s="401">
        <f>'Auxiliar Administrativo'!I45</f>
        <v>108.1</v>
      </c>
      <c r="H12" s="304">
        <f>'Ocorrências Mensais - FAT'!F11+'Ocorrências Mensais - FAT'!H11</f>
        <v>0</v>
      </c>
      <c r="I12" s="305">
        <f>(ROUND((G12/Dados!$G$34*H12)-(G12/'Ocorrências Mensais - FAT'!$E$5*'Ocorrências Mensais - FAT'!G11),2))</f>
        <v>0</v>
      </c>
      <c r="J12" s="306">
        <f>'Auxiliar Administrativo'!G45</f>
        <v>3230.55</v>
      </c>
      <c r="K12" s="304">
        <f>'Ocorrências Mensais - FAT'!K11</f>
        <v>0</v>
      </c>
      <c r="L12" s="305">
        <f>J12/'Ocorrências Mensais - FAT'!$E$5*K12</f>
        <v>0</v>
      </c>
      <c r="M12" s="306">
        <f>'Custo Substituto'!F33</f>
        <v>2677.81</v>
      </c>
      <c r="N12" s="300">
        <f>'Ocorrências Mensais - FAT'!L11</f>
        <v>0</v>
      </c>
      <c r="O12" s="399">
        <f>M12/'Ocorrências Mensais - FAT'!$E$5*N12</f>
        <v>0</v>
      </c>
      <c r="P12" s="360">
        <f>'Auxiliar Administrativo'!H45</f>
        <v>0</v>
      </c>
      <c r="Q12" s="302">
        <f>'Ocorrências Mensais - FAT'!M11</f>
        <v>0</v>
      </c>
      <c r="R12" s="301">
        <f>ROUND((P12/Dados!$G$37*Q12),2)</f>
        <v>0</v>
      </c>
      <c r="S12" s="398">
        <f t="shared" ref="S12:S15" si="1">I12+L12+O12+R12</f>
        <v>0</v>
      </c>
      <c r="T12" s="361"/>
      <c r="U12" s="307"/>
      <c r="V12" s="308"/>
      <c r="W12" s="303">
        <f t="shared" ref="W12:W15" si="2">ROUND((F12-S12+V12),2)</f>
        <v>3230.55</v>
      </c>
    </row>
    <row r="13" spans="1:25" s="17" customFormat="1" ht="15.75" x14ac:dyDescent="0.25">
      <c r="A13" s="691"/>
      <c r="B13" s="359" t="str">
        <f>Dados!C8</f>
        <v>Zelador</v>
      </c>
      <c r="C13" s="298">
        <f>Dados!D8</f>
        <v>150</v>
      </c>
      <c r="D13" s="299">
        <f>Dados!B8</f>
        <v>1</v>
      </c>
      <c r="E13" s="358">
        <f>Zelador!F45</f>
        <v>3282.5</v>
      </c>
      <c r="F13" s="400">
        <f t="shared" si="0"/>
        <v>3282.5</v>
      </c>
      <c r="G13" s="401">
        <f>Zelador!I45</f>
        <v>106.56</v>
      </c>
      <c r="H13" s="304">
        <f>'Ocorrências Mensais - FAT'!F12+'Ocorrências Mensais - FAT'!H12</f>
        <v>0</v>
      </c>
      <c r="I13" s="305">
        <f>(ROUND((G13/Dados!$G$34*H13)-(G13/'Ocorrências Mensais - FAT'!$E$5*'Ocorrências Mensais - FAT'!G12),2))</f>
        <v>0</v>
      </c>
      <c r="J13" s="306">
        <f>Zelador!G45</f>
        <v>3282.5</v>
      </c>
      <c r="K13" s="304">
        <f>'Ocorrências Mensais - FAT'!K12</f>
        <v>0</v>
      </c>
      <c r="L13" s="305">
        <f>J13/'Ocorrências Mensais - FAT'!$E$5*K13</f>
        <v>0</v>
      </c>
      <c r="M13" s="306">
        <f>'Custo Substituto'!G33</f>
        <v>2715.37</v>
      </c>
      <c r="N13" s="300">
        <f>'Ocorrências Mensais - FAT'!L12</f>
        <v>0</v>
      </c>
      <c r="O13" s="399">
        <f>M13/'Ocorrências Mensais - FAT'!$E$5*N13</f>
        <v>0</v>
      </c>
      <c r="P13" s="360">
        <f>Zelador!H45</f>
        <v>0</v>
      </c>
      <c r="Q13" s="302">
        <f>'Ocorrências Mensais - FAT'!M12</f>
        <v>0</v>
      </c>
      <c r="R13" s="301">
        <f>ROUND((P13/Dados!$G$37*Q13),2)</f>
        <v>0</v>
      </c>
      <c r="S13" s="398">
        <f t="shared" si="1"/>
        <v>0</v>
      </c>
      <c r="T13" s="361"/>
      <c r="U13" s="307"/>
      <c r="V13" s="308"/>
      <c r="W13" s="303">
        <f t="shared" si="2"/>
        <v>3282.5</v>
      </c>
    </row>
    <row r="14" spans="1:25" s="17" customFormat="1" ht="15.75" x14ac:dyDescent="0.25">
      <c r="A14" s="691"/>
      <c r="B14" s="359" t="str">
        <f>Dados!C9</f>
        <v>Servente de Limpeza</v>
      </c>
      <c r="C14" s="298">
        <f>Dados!D9</f>
        <v>150</v>
      </c>
      <c r="D14" s="299">
        <f>Dados!B9</f>
        <v>1</v>
      </c>
      <c r="E14" s="358">
        <f>'Servente 150'!$F$45</f>
        <v>3379.63</v>
      </c>
      <c r="F14" s="400">
        <f t="shared" si="0"/>
        <v>3379.63</v>
      </c>
      <c r="G14" s="401">
        <f>'Servente 150'!$I$45</f>
        <v>136.88999999999999</v>
      </c>
      <c r="H14" s="304">
        <f>'Ocorrências Mensais - FAT'!F13+'Ocorrências Mensais - FAT'!H13</f>
        <v>0</v>
      </c>
      <c r="I14" s="305">
        <f>(ROUND((G14/Dados!$G$34*H14)-(G14/'Ocorrências Mensais - FAT'!$E$5*'Ocorrências Mensais - FAT'!G13),2))</f>
        <v>0</v>
      </c>
      <c r="J14" s="306">
        <f>'Servente 150'!$G$45</f>
        <v>2394.54</v>
      </c>
      <c r="K14" s="304">
        <f>'Ocorrências Mensais - FAT'!K13</f>
        <v>0</v>
      </c>
      <c r="L14" s="305">
        <f>J14/'Ocorrências Mensais - FAT'!$E$5*K14</f>
        <v>0</v>
      </c>
      <c r="M14" s="306">
        <f>'Custo Substituto'!H33</f>
        <v>1974.8899999999999</v>
      </c>
      <c r="N14" s="300">
        <f>'Ocorrências Mensais - FAT'!L13</f>
        <v>0</v>
      </c>
      <c r="O14" s="399">
        <f>M14/'Ocorrências Mensais - FAT'!$E$5*N14</f>
        <v>0</v>
      </c>
      <c r="P14" s="360">
        <f>'Servente 150'!$H$45</f>
        <v>0</v>
      </c>
      <c r="Q14" s="302">
        <f>'Ocorrências Mensais - FAT'!M13</f>
        <v>0</v>
      </c>
      <c r="R14" s="301">
        <f>ROUND((P14/Dados!$G$37*Q14),2)</f>
        <v>0</v>
      </c>
      <c r="S14" s="398">
        <f t="shared" si="1"/>
        <v>0</v>
      </c>
      <c r="T14" s="395">
        <f>'Serv Ins 220'!$J$46</f>
        <v>39.96</v>
      </c>
      <c r="U14" s="396">
        <f>'Ocorrências Mensais - FAT'!N14</f>
        <v>0</v>
      </c>
      <c r="V14" s="397">
        <f>T14*U14</f>
        <v>0</v>
      </c>
      <c r="W14" s="303">
        <f t="shared" si="2"/>
        <v>3379.63</v>
      </c>
    </row>
    <row r="15" spans="1:25" s="17" customFormat="1" ht="16.5" thickBot="1" x14ac:dyDescent="0.3">
      <c r="A15" s="691"/>
      <c r="B15" s="359" t="str">
        <f>Dados!C10</f>
        <v>Servente de Limpeza (40%)</v>
      </c>
      <c r="C15" s="298">
        <f>Dados!D10</f>
        <v>220</v>
      </c>
      <c r="D15" s="299">
        <f>Dados!B10</f>
        <v>1</v>
      </c>
      <c r="E15" s="358">
        <f>'Serv Ins 220'!$F$45</f>
        <v>6135.04</v>
      </c>
      <c r="F15" s="400">
        <f t="shared" si="0"/>
        <v>6135.04</v>
      </c>
      <c r="G15" s="401">
        <f>'Serv Ins 220'!$I$45</f>
        <v>103.15</v>
      </c>
      <c r="H15" s="304">
        <f>'Ocorrências Mensais - FAT'!F14+'Ocorrências Mensais - FAT'!H14</f>
        <v>0</v>
      </c>
      <c r="I15" s="305">
        <f>(ROUND((G15/Dados!$G$34*H15)-(G15/'Ocorrências Mensais - FAT'!$E$5*'Ocorrências Mensais - FAT'!G14),2))</f>
        <v>0</v>
      </c>
      <c r="J15" s="306">
        <f>'Serv Ins 220'!$G$45</f>
        <v>5149.93</v>
      </c>
      <c r="K15" s="304">
        <f>'Ocorrências Mensais - FAT'!K14</f>
        <v>0</v>
      </c>
      <c r="L15" s="305">
        <f>J15/'Ocorrências Mensais - FAT'!$E$5*K15</f>
        <v>0</v>
      </c>
      <c r="M15" s="306">
        <f>'Custo Substituto'!I33</f>
        <v>4403.1099999999997</v>
      </c>
      <c r="N15" s="300">
        <f>'Ocorrências Mensais - FAT'!L14</f>
        <v>0</v>
      </c>
      <c r="O15" s="399">
        <f>M15/'Ocorrências Mensais - FAT'!$E$5*N15</f>
        <v>0</v>
      </c>
      <c r="P15" s="360">
        <f>'Serv Ins 220'!$H$45</f>
        <v>506.04</v>
      </c>
      <c r="Q15" s="302">
        <f>'Ocorrências Mensais - FAT'!M14</f>
        <v>0</v>
      </c>
      <c r="R15" s="301">
        <f>ROUND((P15/Dados!$G$37*Q15),2)</f>
        <v>0</v>
      </c>
      <c r="S15" s="398">
        <f t="shared" si="1"/>
        <v>0</v>
      </c>
      <c r="T15" s="361"/>
      <c r="U15" s="307"/>
      <c r="V15" s="308"/>
      <c r="W15" s="303">
        <f t="shared" si="2"/>
        <v>6135.04</v>
      </c>
    </row>
    <row r="16" spans="1:25" s="55" customFormat="1" ht="21.75" customHeight="1" thickBot="1" x14ac:dyDescent="0.3">
      <c r="A16" s="695" t="s">
        <v>442</v>
      </c>
      <c r="B16" s="679"/>
      <c r="C16" s="679"/>
      <c r="D16" s="350">
        <f>SUM(D12:D15)</f>
        <v>4</v>
      </c>
      <c r="E16" s="351"/>
      <c r="F16" s="352">
        <f>SUM(F12:F15)</f>
        <v>16027.720000000001</v>
      </c>
      <c r="G16" s="353"/>
      <c r="H16" s="351">
        <f t="shared" ref="H16:O16" si="3">SUM(H12:H15)</f>
        <v>0</v>
      </c>
      <c r="I16" s="354">
        <f t="shared" si="3"/>
        <v>0</v>
      </c>
      <c r="J16" s="355">
        <f t="shared" si="3"/>
        <v>14057.52</v>
      </c>
      <c r="K16" s="351">
        <f t="shared" si="3"/>
        <v>0</v>
      </c>
      <c r="L16" s="354">
        <f t="shared" si="3"/>
        <v>0</v>
      </c>
      <c r="M16" s="356">
        <f t="shared" si="3"/>
        <v>11771.18</v>
      </c>
      <c r="N16" s="351">
        <f t="shared" si="3"/>
        <v>0</v>
      </c>
      <c r="O16" s="352">
        <f t="shared" si="3"/>
        <v>0</v>
      </c>
      <c r="P16" s="353"/>
      <c r="Q16" s="351">
        <f>SUM(Q12:Q15)</f>
        <v>0</v>
      </c>
      <c r="R16" s="352">
        <f>SUM(R12:R15)</f>
        <v>0</v>
      </c>
      <c r="S16" s="362">
        <f>SUM(S12:S15)</f>
        <v>0</v>
      </c>
      <c r="T16" s="355"/>
      <c r="U16" s="351">
        <f>SUM(U12:U15)</f>
        <v>0</v>
      </c>
      <c r="V16" s="354">
        <f>SUM(V12:V15)</f>
        <v>0</v>
      </c>
      <c r="W16" s="357">
        <f>SUM(W12:W15)</f>
        <v>16027.720000000001</v>
      </c>
      <c r="X16" s="309" t="s">
        <v>443</v>
      </c>
      <c r="Y16" s="310"/>
    </row>
    <row r="17" spans="1:23" s="49" customFormat="1" ht="18" customHeight="1" thickBot="1" x14ac:dyDescent="0.3">
      <c r="A17" s="696" t="s">
        <v>444</v>
      </c>
      <c r="B17" s="696"/>
      <c r="C17" s="696"/>
      <c r="D17" s="696"/>
      <c r="E17" s="696"/>
      <c r="F17" s="696"/>
      <c r="G17" s="696"/>
      <c r="H17" s="696"/>
      <c r="I17" s="696"/>
      <c r="J17" s="696"/>
      <c r="K17" s="696"/>
      <c r="L17" s="696"/>
      <c r="M17" s="696"/>
      <c r="N17" s="696"/>
      <c r="O17" s="696"/>
      <c r="P17" s="696"/>
      <c r="Q17" s="696"/>
      <c r="R17" s="696"/>
      <c r="S17" s="696"/>
      <c r="T17" s="696"/>
      <c r="U17" s="696"/>
      <c r="V17" s="696"/>
      <c r="W17" s="311" t="e">
        <f>Materiais!G37+Materiais!#REF!+Materiais!#REF!+Materiais!#REF!+Materiais!#REF!</f>
        <v>#REF!</v>
      </c>
    </row>
    <row r="18" spans="1:23" s="49" customFormat="1" ht="20.25" customHeight="1" x14ac:dyDescent="0.25">
      <c r="A18" s="696" t="s">
        <v>445</v>
      </c>
      <c r="B18" s="696"/>
      <c r="C18" s="696"/>
      <c r="D18" s="696"/>
      <c r="E18" s="696"/>
      <c r="F18" s="696"/>
      <c r="G18" s="696"/>
      <c r="H18" s="696"/>
      <c r="I18" s="696"/>
      <c r="J18" s="696"/>
      <c r="K18" s="696"/>
      <c r="L18" s="696"/>
      <c r="M18" s="696"/>
      <c r="N18" s="696"/>
      <c r="O18" s="696"/>
      <c r="P18" s="696"/>
      <c r="Q18" s="696"/>
      <c r="R18" s="696"/>
      <c r="S18" s="696"/>
      <c r="T18" s="696"/>
      <c r="U18" s="696"/>
      <c r="V18" s="696"/>
      <c r="W18" s="312">
        <f>ROUND((W16*12),)</f>
        <v>192333</v>
      </c>
    </row>
    <row r="19" spans="1:23" s="313" customFormat="1" ht="24" customHeight="1" x14ac:dyDescent="0.25">
      <c r="A19" s="697" t="s">
        <v>49</v>
      </c>
      <c r="B19" s="697"/>
      <c r="C19" s="697"/>
      <c r="D19" s="697"/>
      <c r="E19" s="697"/>
      <c r="F19" s="697"/>
      <c r="G19" s="697"/>
      <c r="H19" s="697"/>
      <c r="I19" s="697"/>
      <c r="J19" s="697"/>
      <c r="K19" s="697"/>
      <c r="L19" s="697"/>
      <c r="M19" s="697"/>
      <c r="N19" s="697"/>
      <c r="O19" s="697"/>
      <c r="P19" s="697"/>
      <c r="Q19" s="697"/>
      <c r="R19" s="697"/>
      <c r="S19" s="697"/>
      <c r="T19" s="697"/>
      <c r="U19" s="697"/>
      <c r="V19" s="697"/>
      <c r="W19" s="697"/>
    </row>
    <row r="20" spans="1:23" s="49" customFormat="1" ht="26.25" customHeight="1" x14ac:dyDescent="0.25">
      <c r="A20" s="692" t="str">
        <f>CONCATENATE("1. Nas FÉRIAS SEM SUBSTITUIÇÃO DA SERVENTE INSALUBRE, quando o trabalho de limpeza de banheiros públicos ou de grande circulação for efetuado por outra servente do quadro, deverá ser acrescentado o valor de R$",T14," por dia em que este fato ocorrer.")</f>
        <v>1. Nas FÉRIAS SEM SUBSTITUIÇÃO DA SERVENTE INSALUBRE, quando o trabalho de limpeza de banheiros públicos ou de grande circulação for efetuado por outra servente do quadro, deverá ser acrescentado o valor de R$39,96 por dia em que este fato ocorrer.</v>
      </c>
      <c r="B20" s="692"/>
      <c r="C20" s="692"/>
      <c r="D20" s="692"/>
      <c r="E20" s="692"/>
      <c r="F20" s="692"/>
      <c r="G20" s="692"/>
      <c r="H20" s="692"/>
      <c r="I20" s="692"/>
      <c r="J20" s="692"/>
      <c r="K20" s="692"/>
      <c r="L20" s="692"/>
      <c r="M20" s="692"/>
      <c r="N20" s="692"/>
      <c r="O20" s="692"/>
      <c r="P20" s="692"/>
      <c r="Q20" s="692"/>
      <c r="R20" s="692"/>
      <c r="S20" s="692"/>
      <c r="T20" s="692"/>
      <c r="U20" s="692"/>
      <c r="V20" s="692"/>
      <c r="W20" s="692"/>
    </row>
    <row r="21" spans="1:23" s="314" customFormat="1" ht="18.75" customHeight="1" x14ac:dyDescent="0.25">
      <c r="A21" s="693"/>
      <c r="B21" s="693"/>
      <c r="C21" s="693"/>
      <c r="D21" s="693"/>
      <c r="E21" s="693"/>
      <c r="F21" s="693"/>
      <c r="G21" s="693"/>
      <c r="H21" s="693"/>
      <c r="I21" s="693"/>
      <c r="J21" s="693"/>
      <c r="K21" s="693"/>
      <c r="L21" s="693"/>
      <c r="M21" s="693"/>
      <c r="N21" s="693"/>
      <c r="O21" s="693"/>
      <c r="P21" s="693"/>
      <c r="Q21" s="693"/>
      <c r="R21" s="693"/>
      <c r="S21" s="693"/>
      <c r="T21" s="693"/>
      <c r="U21" s="693"/>
      <c r="V21" s="693"/>
      <c r="W21" s="693"/>
    </row>
    <row r="22" spans="1:23" x14ac:dyDescent="0.25">
      <c r="A22" s="694"/>
      <c r="B22" s="694"/>
      <c r="C22" s="694"/>
      <c r="D22" s="694"/>
      <c r="E22" s="694"/>
      <c r="F22" s="694"/>
      <c r="G22" s="694"/>
      <c r="H22" s="694"/>
      <c r="I22" s="694"/>
      <c r="J22" s="694"/>
      <c r="K22" s="694"/>
      <c r="L22" s="694"/>
      <c r="M22" s="694"/>
      <c r="N22" s="694"/>
      <c r="O22" s="694"/>
      <c r="P22" s="694"/>
      <c r="Q22" s="694"/>
      <c r="R22" s="694"/>
      <c r="S22" s="694"/>
      <c r="T22" s="694"/>
      <c r="U22" s="694"/>
      <c r="V22" s="694"/>
      <c r="W22" s="694"/>
    </row>
    <row r="23" spans="1:23" x14ac:dyDescent="0.25">
      <c r="A23" s="694"/>
      <c r="B23" s="694"/>
      <c r="C23" s="694"/>
      <c r="D23" s="694"/>
      <c r="E23" s="694"/>
      <c r="F23" s="694"/>
      <c r="G23" s="694"/>
      <c r="H23" s="694"/>
      <c r="I23" s="694"/>
      <c r="J23" s="694"/>
      <c r="K23" s="694"/>
      <c r="L23" s="694"/>
      <c r="M23" s="694"/>
      <c r="N23" s="694"/>
      <c r="O23" s="694"/>
      <c r="P23" s="694"/>
      <c r="Q23" s="694"/>
      <c r="R23" s="694"/>
      <c r="S23" s="694"/>
      <c r="T23" s="694"/>
      <c r="U23" s="694"/>
      <c r="V23" s="694"/>
      <c r="W23" s="694"/>
    </row>
  </sheetData>
  <sheetProtection password="C494" sheet="1" objects="1" scenarios="1"/>
  <mergeCells count="30">
    <mergeCell ref="A12:A15"/>
    <mergeCell ref="A20:W20"/>
    <mergeCell ref="A21:W21"/>
    <mergeCell ref="A22:W22"/>
    <mergeCell ref="A23:W23"/>
    <mergeCell ref="A16:C16"/>
    <mergeCell ref="A17:V17"/>
    <mergeCell ref="A18:V18"/>
    <mergeCell ref="A19:W19"/>
    <mergeCell ref="J10:L10"/>
    <mergeCell ref="M10:O10"/>
    <mergeCell ref="P10:R10"/>
    <mergeCell ref="S10:S11"/>
    <mergeCell ref="T10:V10"/>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H10:I10"/>
  </mergeCells>
  <pageMargins left="0.51180555555555496" right="0.51180555555555496" top="0.78749999999999998" bottom="0.78749999999999998" header="0.51180555555555496" footer="0.51180555555555496"/>
  <pageSetup paperSize="9" scale="43" orientation="landscape" horizontalDpi="300" verticalDpi="300"/>
  <colBreaks count="1" manualBreakCount="1">
    <brk id="23" max="1048575" man="1"/>
  </col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9</vt:i4>
      </vt:variant>
    </vt:vector>
  </HeadingPairs>
  <TitlesOfParts>
    <vt:vector size="23" baseType="lpstr">
      <vt:lpstr>Ocorrências Mensais - FAT</vt:lpstr>
      <vt:lpstr>INSTRUÇÕES</vt:lpstr>
      <vt:lpstr>Dados</vt:lpstr>
      <vt:lpstr>Encargos</vt:lpstr>
      <vt:lpstr>Materiais</vt:lpstr>
      <vt:lpstr>Equipamentos</vt:lpstr>
      <vt:lpstr>Uniformes</vt:lpstr>
      <vt:lpstr>Custo Substituto</vt:lpstr>
      <vt:lpstr>Resumo</vt:lpstr>
      <vt:lpstr>Auxiliar Administrativo</vt:lpstr>
      <vt:lpstr>Zelador</vt:lpstr>
      <vt:lpstr>Serv Ins 220</vt:lpstr>
      <vt:lpstr>Servente 150</vt:lpstr>
      <vt:lpstr>IPCA</vt:lpstr>
      <vt:lpstr>'Auxiliar Administrativo'!Area_de_impressao</vt:lpstr>
      <vt:lpstr>Dados!Area_de_impressao</vt:lpstr>
      <vt:lpstr>Encargos!Area_de_impressao</vt:lpstr>
      <vt:lpstr>Materiais!Area_de_impressao</vt:lpstr>
      <vt:lpstr>Resumo!Area_de_impressao</vt:lpstr>
      <vt:lpstr>'Serv Ins 220'!Area_de_impressao</vt:lpstr>
      <vt:lpstr>'Servente 150'!Area_de_impressao</vt:lpstr>
      <vt:lpstr>Uniformes!Area_de_impressao</vt:lpstr>
      <vt:lpstr>Zelador!Area_de_impressao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Fábio Lucas Gouveia dos Santos</dc:creator>
  <cp:lastModifiedBy>Bethania Pains Nogueira</cp:lastModifiedBy>
  <cp:revision>1</cp:revision>
  <dcterms:created xsi:type="dcterms:W3CDTF">2015-06-05T18:17:20Z</dcterms:created>
  <dcterms:modified xsi:type="dcterms:W3CDTF">2023-10-11T17:46:46Z</dcterms:modified>
</cp:coreProperties>
</file>