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e\Downloads\"/>
    </mc:Choice>
  </mc:AlternateContent>
  <xr:revisionPtr revIDLastSave="0" documentId="11_86ACE02FDA2330E391BE1B02219DDC8D0DD81BB7" xr6:coauthVersionLast="47" xr6:coauthVersionMax="47" xr10:uidLastSave="{00000000-0000-0000-0000-000000000000}"/>
  <bookViews>
    <workbookView xWindow="0" yWindow="0" windowWidth="13350" windowHeight="11265" tabRatio="500" firstSheet="8" activeTab="8" xr2:uid="{00000000-000D-0000-FFFF-FFFF00000000}"/>
  </bookViews>
  <sheets>
    <sheet name="Ocorrências Mensais - FAT" sheetId="1" state="hidden" r:id="rId1"/>
    <sheet name="INSTRUÇÕES" sheetId="2" r:id="rId2"/>
    <sheet name="Dados" sheetId="3" r:id="rId3"/>
    <sheet name="Encargos" sheetId="4" r:id="rId4"/>
    <sheet name="Mat" sheetId="5" r:id="rId5"/>
    <sheet name="Equip" sheetId="6" r:id="rId6"/>
    <sheet name="Unif" sheetId="7" r:id="rId7"/>
    <sheet name="Custo Substituto" sheetId="8" r:id="rId8"/>
    <sheet name="Resumo" sheetId="9" r:id="rId9"/>
    <sheet name="Copeira 150" sheetId="10" r:id="rId10"/>
    <sheet name="Aux. Manut. Predial" sheetId="11" r:id="rId11"/>
    <sheet name="Ass. Administrativo 150" sheetId="12" r:id="rId12"/>
    <sheet name="Serv Insalubre 40%" sheetId="14" r:id="rId13"/>
    <sheet name="Servente 220" sheetId="15" r:id="rId14"/>
    <sheet name="IPCA" sheetId="16" state="hidden" r:id="rId15"/>
  </sheets>
  <definedNames>
    <definedName name="_xlnm.Print_Area" localSheetId="11">'Ass. Administrativo 150'!$A$1:$J$46</definedName>
    <definedName name="_xlnm.Print_Area" localSheetId="10">'Aux. Manut. Predial'!$A$1:$J$46</definedName>
    <definedName name="_xlnm.Print_Area" localSheetId="9">'Copeira 150'!$A$1:$J$46</definedName>
    <definedName name="_xlnm.Print_Area" localSheetId="2">Dados!$A$1:$R$57</definedName>
    <definedName name="_xlnm.Print_Area" localSheetId="3">Encargos!$A$1:$C$59</definedName>
    <definedName name="_xlnm.Print_Area" localSheetId="4">Mat!$A$1:$L$52</definedName>
    <definedName name="_xlnm.Print_Area" localSheetId="8">Resumo!$A$1:$W$22</definedName>
    <definedName name="_xlnm.Print_Area" localSheetId="12">'Serv Insalubre 40%'!$A$1:$J$46</definedName>
    <definedName name="_xlnm.Print_Area" localSheetId="13">'Servente 220'!$A$1:$J$46</definedName>
    <definedName name="_xlnm.Print_Area" localSheetId="6">Unif!$A$1:$H$33</definedName>
    <definedName name="BS">NA()</definedName>
    <definedName name="BT">NA()</definedName>
    <definedName name="CIDADE">NA()</definedName>
    <definedName name="CIDADES">NA()</definedName>
    <definedName name="CPMF">NA()</definedName>
    <definedName name="d">NA()</definedName>
    <definedName name="ENCARGOS">NA()</definedName>
    <definedName name="Excel_BuiltIn_Print_Area_1_1">"$#REF!.$A$2:$C$99"</definedName>
    <definedName name="Excel_BuiltIn_Print_Area_6_1">NA()</definedName>
    <definedName name="Excel_BuiltIn_Print_Area_7_1">NA()</definedName>
    <definedName name="Excel_BuiltIn_Print_Area_8_1">NA()</definedName>
    <definedName name="Excel_BuiltIn_Print_Area_9_1">NA()</definedName>
    <definedName name="ISS">NA()</definedName>
    <definedName name="Jornada">NA()</definedName>
    <definedName name="Print_Area_0" localSheetId="11">'Ass. Administrativo 150'!$A$1:$J$46</definedName>
    <definedName name="Print_Area_0" localSheetId="10">'Aux. Manut. Predial'!$A$1:$J$46</definedName>
    <definedName name="Print_Area_0" localSheetId="9">'Copeira 150'!$A$1:$J$46</definedName>
    <definedName name="Print_Area_0" localSheetId="2">Dados!$A$1:$R$57</definedName>
    <definedName name="Print_Area_0" localSheetId="3">Encargos!$A$1:$C$59</definedName>
    <definedName name="Print_Area_0" localSheetId="4">Mat!$A$1:$L$52</definedName>
    <definedName name="Print_Area_0" localSheetId="8">Resumo!$A$1:$W$22</definedName>
    <definedName name="Print_Area_0" localSheetId="12">'Serv Insalubre 40%'!$A$1:$J$46</definedName>
    <definedName name="Print_Area_0" localSheetId="13">'Servente 220'!$A$1:$J$46</definedName>
    <definedName name="Print_Area_0" localSheetId="6">Unif!$A$1:$H$33</definedName>
    <definedName name="Print_Area_0_0" localSheetId="11">'Ass. Administrativo 150'!$A$1:$J$46</definedName>
    <definedName name="Print_Area_0_0" localSheetId="10">'Aux. Manut. Predial'!$A$1:$J$46</definedName>
    <definedName name="Print_Area_0_0" localSheetId="9">'Copeira 150'!$A$1:$J$46</definedName>
    <definedName name="Print_Area_0_0" localSheetId="2">Dados!$A$1:$R$57</definedName>
    <definedName name="Print_Area_0_0" localSheetId="3">Encargos!$A$1:$C$59</definedName>
    <definedName name="Print_Area_0_0" localSheetId="4">Mat!$A$1:$L$52</definedName>
    <definedName name="Print_Area_0_0" localSheetId="8">Resumo!$A$1:$W$22</definedName>
    <definedName name="Print_Area_0_0" localSheetId="12">'Serv Insalubre 40%'!$A$1:$J$46</definedName>
    <definedName name="Print_Area_0_0" localSheetId="13">'Servente 220'!$A$1:$J$46</definedName>
    <definedName name="Print_Area_0_0" localSheetId="6">Unif!$A$1:$H$33</definedName>
    <definedName name="Print_Area_0_0_0" localSheetId="11">'Ass. Administrativo 150'!$A$1:$J$46</definedName>
    <definedName name="Print_Area_0_0_0" localSheetId="10">'Aux. Manut. Predial'!$A$1:$J$46</definedName>
    <definedName name="Print_Area_0_0_0" localSheetId="9">'Copeira 150'!$A$1:$J$46</definedName>
    <definedName name="Print_Area_0_0_0" localSheetId="2">Dados!$A$1:$R$57</definedName>
    <definedName name="Print_Area_0_0_0" localSheetId="3">Encargos!$A$1:$C$59</definedName>
    <definedName name="Print_Area_0_0_0" localSheetId="4">Mat!$A$1:$L$52</definedName>
    <definedName name="Print_Area_0_0_0" localSheetId="8">Resumo!$A$1:$W$22</definedName>
    <definedName name="Print_Area_0_0_0" localSheetId="12">'Serv Insalubre 40%'!$A$1:$J$46</definedName>
    <definedName name="Print_Area_0_0_0" localSheetId="13">'Servente 220'!$A$1:$J$46</definedName>
    <definedName name="Print_Area_0_0_0" localSheetId="6">Unif!$A$1:$H$33</definedName>
    <definedName name="Print_Area_0_0_0_0" localSheetId="11">'Ass. Administrativo 150'!$A$1:$J$46</definedName>
    <definedName name="Print_Area_0_0_0_0" localSheetId="10">'Aux. Manut. Predial'!$A$1:$J$46</definedName>
    <definedName name="Print_Area_0_0_0_0" localSheetId="9">'Copeira 150'!$A$1:$J$46</definedName>
    <definedName name="Print_Area_0_0_0_0" localSheetId="2">Dados!$A$1:$R$57</definedName>
    <definedName name="Print_Area_0_0_0_0" localSheetId="3">Encargos!$A$1:$C$59</definedName>
    <definedName name="Print_Area_0_0_0_0" localSheetId="4">Mat!$A$1:$L$52</definedName>
    <definedName name="Print_Area_0_0_0_0" localSheetId="8">Resumo!$A$1:$W$22</definedName>
    <definedName name="Print_Area_0_0_0_0" localSheetId="12">'Serv Insalubre 40%'!$A$1:$J$46</definedName>
    <definedName name="Print_Area_0_0_0_0" localSheetId="13">'Servente 220'!$A$1:$J$46</definedName>
    <definedName name="Print_Area_0_0_0_0" localSheetId="6">Unif!$A$1:$H$33</definedName>
    <definedName name="Print_Area_0_0_0_0_0" localSheetId="11">'Ass. Administrativo 150'!$A$1:$J$46</definedName>
    <definedName name="Print_Area_0_0_0_0_0" localSheetId="10">'Aux. Manut. Predial'!$A$1:$J$46</definedName>
    <definedName name="Print_Area_0_0_0_0_0" localSheetId="9">'Copeira 150'!$A$1:$J$46</definedName>
    <definedName name="Print_Area_0_0_0_0_0" localSheetId="2">Dados!$A$1:$R$57</definedName>
    <definedName name="Print_Area_0_0_0_0_0" localSheetId="3">Encargos!$A$1:$C$59</definedName>
    <definedName name="Print_Area_0_0_0_0_0" localSheetId="4">Mat!$A$1:$L$52</definedName>
    <definedName name="Print_Area_0_0_0_0_0" localSheetId="8">Resumo!$A$1:$W$22</definedName>
    <definedName name="Print_Area_0_0_0_0_0" localSheetId="12">'Serv Insalubre 40%'!$A$1:$J$46</definedName>
    <definedName name="Print_Area_0_0_0_0_0" localSheetId="13">'Servente 220'!$A$1:$J$46</definedName>
    <definedName name="Print_Area_0_0_0_0_0" localSheetId="6">Unif!$A$1:$H$33</definedName>
    <definedName name="Print_Area_0_0_0_0_0_0" localSheetId="11">'Ass. Administrativo 150'!$A$1:$J$46</definedName>
    <definedName name="Print_Area_0_0_0_0_0_0" localSheetId="10">'Aux. Manut. Predial'!$A$1:$J$46</definedName>
    <definedName name="Print_Area_0_0_0_0_0_0" localSheetId="9">'Copeira 150'!$A$1:$J$46</definedName>
    <definedName name="Print_Area_0_0_0_0_0_0" localSheetId="2">Dados!$A$1:$R$57</definedName>
    <definedName name="Print_Area_0_0_0_0_0_0" localSheetId="3">Encargos!$A$1:$C$59</definedName>
    <definedName name="Print_Area_0_0_0_0_0_0" localSheetId="4">Mat!$A$1:$L$52</definedName>
    <definedName name="Print_Area_0_0_0_0_0_0" localSheetId="8">Resumo!$A$1:$W$22</definedName>
    <definedName name="Print_Area_0_0_0_0_0_0" localSheetId="12">'Serv Insalubre 40%'!$A$1:$J$46</definedName>
    <definedName name="Print_Area_0_0_0_0_0_0" localSheetId="13">'Servente 220'!$A$1:$J$46</definedName>
    <definedName name="Print_Area_0_0_0_0_0_0" localSheetId="6">Unif!$A$1:$H$33</definedName>
    <definedName name="Print_Area_0_0_0_0_0_0_0" localSheetId="11">'Ass. Administrativo 150'!$A$1:$J$46</definedName>
    <definedName name="Print_Area_0_0_0_0_0_0_0" localSheetId="10">'Aux. Manut. Predial'!$A$1:$J$46</definedName>
    <definedName name="Print_Area_0_0_0_0_0_0_0" localSheetId="9">'Copeira 150'!$A$1:$J$46</definedName>
    <definedName name="Print_Area_0_0_0_0_0_0_0" localSheetId="2">Dados!$A$1:$R$57</definedName>
    <definedName name="Print_Area_0_0_0_0_0_0_0" localSheetId="3">Encargos!$A$1:$C$59</definedName>
    <definedName name="Print_Area_0_0_0_0_0_0_0" localSheetId="4">Mat!$A$1:$L$52</definedName>
    <definedName name="Print_Area_0_0_0_0_0_0_0" localSheetId="8">Resumo!$A$1:$W$22</definedName>
    <definedName name="Print_Area_0_0_0_0_0_0_0" localSheetId="12">'Serv Insalubre 40%'!$A$1:$J$46</definedName>
    <definedName name="Print_Area_0_0_0_0_0_0_0" localSheetId="13">'Servente 220'!$A$1:$J$46</definedName>
    <definedName name="Print_Area_0_0_0_0_0_0_0" localSheetId="6">Unif!$A$1:$H$33</definedName>
    <definedName name="Print_Area_0_0_0_0_0_0_0_0" localSheetId="11">'Ass. Administrativo 150'!$A$1:$J$46</definedName>
    <definedName name="Print_Area_0_0_0_0_0_0_0_0" localSheetId="10">'Aux. Manut. Predial'!$A$1:$J$46</definedName>
    <definedName name="Print_Area_0_0_0_0_0_0_0_0" localSheetId="9">'Copeira 150'!$A$1:$J$46</definedName>
    <definedName name="Print_Area_0_0_0_0_0_0_0_0" localSheetId="2">Dados!$A$1:$R$57</definedName>
    <definedName name="Print_Area_0_0_0_0_0_0_0_0" localSheetId="3">Encargos!$A$1:$C$59</definedName>
    <definedName name="Print_Area_0_0_0_0_0_0_0_0" localSheetId="4">Mat!$A$1:$L$52</definedName>
    <definedName name="Print_Area_0_0_0_0_0_0_0_0" localSheetId="8">Resumo!$A$1:$W$22</definedName>
    <definedName name="Print_Area_0_0_0_0_0_0_0_0" localSheetId="12">'Serv Insalubre 40%'!$A$1:$J$46</definedName>
    <definedName name="Print_Area_0_0_0_0_0_0_0_0" localSheetId="13">'Servente 220'!$A$1:$J$46</definedName>
    <definedName name="Print_Area_0_0_0_0_0_0_0_0" localSheetId="6">Unif!$A$1:$H$33</definedName>
    <definedName name="TERRIT">NA()</definedName>
    <definedName name="Tipo_de_Joranda_de_Trabalho">NA()</definedName>
    <definedName name="TP_SERV">NA()</definedName>
    <definedName name="TP_SERVPERC">NA()</definedName>
    <definedName name="VRSELEC">NA()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2" i="7" l="1"/>
  <c r="AG22" i="16" l="1"/>
  <c r="AH22" i="16" s="1"/>
  <c r="AE22" i="16"/>
  <c r="Z22" i="16"/>
  <c r="AA22" i="16" s="1"/>
  <c r="X22" i="16"/>
  <c r="S22" i="16"/>
  <c r="T22" i="16" s="1"/>
  <c r="Q22" i="16"/>
  <c r="L22" i="16"/>
  <c r="M22" i="16" s="1"/>
  <c r="J22" i="16"/>
  <c r="I22" i="16"/>
  <c r="P22" i="16" s="1"/>
  <c r="W22" i="16" s="1"/>
  <c r="AD22" i="16" s="1"/>
  <c r="F22" i="16"/>
  <c r="AH21" i="16"/>
  <c r="AE21" i="16"/>
  <c r="AA21" i="16"/>
  <c r="X21" i="16"/>
  <c r="T21" i="16"/>
  <c r="Q21" i="16"/>
  <c r="M21" i="16"/>
  <c r="J21" i="16"/>
  <c r="I21" i="16"/>
  <c r="P21" i="16" s="1"/>
  <c r="W21" i="16" s="1"/>
  <c r="AD21" i="16" s="1"/>
  <c r="F21" i="16"/>
  <c r="AH20" i="16"/>
  <c r="AE20" i="16"/>
  <c r="AA20" i="16"/>
  <c r="X20" i="16"/>
  <c r="T20" i="16"/>
  <c r="Q20" i="16"/>
  <c r="M20" i="16"/>
  <c r="J20" i="16"/>
  <c r="I20" i="16"/>
  <c r="P20" i="16" s="1"/>
  <c r="W20" i="16" s="1"/>
  <c r="AD20" i="16" s="1"/>
  <c r="F20" i="16"/>
  <c r="AH19" i="16"/>
  <c r="AE19" i="16"/>
  <c r="AA19" i="16"/>
  <c r="X19" i="16"/>
  <c r="T19" i="16"/>
  <c r="Q19" i="16"/>
  <c r="M19" i="16"/>
  <c r="J19" i="16"/>
  <c r="I19" i="16"/>
  <c r="P19" i="16" s="1"/>
  <c r="W19" i="16" s="1"/>
  <c r="AD19" i="16" s="1"/>
  <c r="F19" i="16"/>
  <c r="AH18" i="16"/>
  <c r="AE18" i="16"/>
  <c r="AA18" i="16"/>
  <c r="X18" i="16"/>
  <c r="T18" i="16"/>
  <c r="Q18" i="16"/>
  <c r="M18" i="16"/>
  <c r="J18" i="16"/>
  <c r="I18" i="16"/>
  <c r="P18" i="16" s="1"/>
  <c r="W18" i="16" s="1"/>
  <c r="AD18" i="16" s="1"/>
  <c r="F18" i="16"/>
  <c r="AH17" i="16"/>
  <c r="AE17" i="16"/>
  <c r="AA17" i="16"/>
  <c r="X17" i="16"/>
  <c r="T17" i="16"/>
  <c r="Q17" i="16"/>
  <c r="M17" i="16"/>
  <c r="J17" i="16"/>
  <c r="I17" i="16"/>
  <c r="P17" i="16" s="1"/>
  <c r="W17" i="16" s="1"/>
  <c r="AD17" i="16" s="1"/>
  <c r="F17" i="16"/>
  <c r="AH16" i="16"/>
  <c r="AE16" i="16"/>
  <c r="AA16" i="16"/>
  <c r="X16" i="16"/>
  <c r="T16" i="16"/>
  <c r="Q16" i="16"/>
  <c r="M16" i="16"/>
  <c r="J16" i="16"/>
  <c r="I16" i="16"/>
  <c r="P16" i="16" s="1"/>
  <c r="W16" i="16" s="1"/>
  <c r="AD16" i="16" s="1"/>
  <c r="F16" i="16"/>
  <c r="AH15" i="16"/>
  <c r="AE15" i="16"/>
  <c r="AA15" i="16"/>
  <c r="X15" i="16"/>
  <c r="T15" i="16"/>
  <c r="Q15" i="16"/>
  <c r="M15" i="16"/>
  <c r="J15" i="16"/>
  <c r="I15" i="16"/>
  <c r="P15" i="16" s="1"/>
  <c r="W15" i="16" s="1"/>
  <c r="AD15" i="16" s="1"/>
  <c r="F15" i="16"/>
  <c r="AH14" i="16"/>
  <c r="AE14" i="16"/>
  <c r="AA14" i="16"/>
  <c r="X14" i="16"/>
  <c r="T14" i="16"/>
  <c r="Q14" i="16"/>
  <c r="M14" i="16"/>
  <c r="J14" i="16"/>
  <c r="I14" i="16"/>
  <c r="P14" i="16" s="1"/>
  <c r="W14" i="16" s="1"/>
  <c r="AD14" i="16" s="1"/>
  <c r="F14" i="16"/>
  <c r="AH13" i="16"/>
  <c r="AE13" i="16"/>
  <c r="AA13" i="16"/>
  <c r="X13" i="16"/>
  <c r="T13" i="16"/>
  <c r="Q13" i="16"/>
  <c r="M13" i="16"/>
  <c r="J13" i="16"/>
  <c r="I13" i="16"/>
  <c r="P13" i="16" s="1"/>
  <c r="W13" i="16" s="1"/>
  <c r="AD13" i="16" s="1"/>
  <c r="F13" i="16"/>
  <c r="AH12" i="16"/>
  <c r="AE12" i="16"/>
  <c r="AA12" i="16"/>
  <c r="X12" i="16"/>
  <c r="T12" i="16"/>
  <c r="Q12" i="16"/>
  <c r="M12" i="16"/>
  <c r="J12" i="16"/>
  <c r="I12" i="16"/>
  <c r="P12" i="16" s="1"/>
  <c r="W12" i="16" s="1"/>
  <c r="AD12" i="16" s="1"/>
  <c r="F12" i="16"/>
  <c r="AH11" i="16"/>
  <c r="AE11" i="16"/>
  <c r="AA11" i="16"/>
  <c r="X11" i="16"/>
  <c r="T11" i="16"/>
  <c r="Q11" i="16"/>
  <c r="M11" i="16"/>
  <c r="J11" i="16"/>
  <c r="I11" i="16"/>
  <c r="P11" i="16" s="1"/>
  <c r="W11" i="16" s="1"/>
  <c r="AD11" i="16" s="1"/>
  <c r="F11" i="16"/>
  <c r="AG10" i="16"/>
  <c r="AH10" i="16" s="1"/>
  <c r="AI10" i="16" s="1"/>
  <c r="AE10" i="16"/>
  <c r="Z10" i="16"/>
  <c r="AA10" i="16" s="1"/>
  <c r="AB10" i="16" s="1"/>
  <c r="AB11" i="16" s="1"/>
  <c r="AB12" i="16" s="1"/>
  <c r="AB13" i="16" s="1"/>
  <c r="AB14" i="16" s="1"/>
  <c r="AB15" i="16" s="1"/>
  <c r="AB16" i="16" s="1"/>
  <c r="AB17" i="16" s="1"/>
  <c r="AB18" i="16" s="1"/>
  <c r="AB19" i="16" s="1"/>
  <c r="AB20" i="16" s="1"/>
  <c r="AB21" i="16" s="1"/>
  <c r="AB22" i="16" s="1"/>
  <c r="AB23" i="16" s="1"/>
  <c r="D65" i="3" s="1"/>
  <c r="M65" i="3" s="1"/>
  <c r="X10" i="16"/>
  <c r="S10" i="16"/>
  <c r="T10" i="16" s="1"/>
  <c r="U10" i="16" s="1"/>
  <c r="Q10" i="16"/>
  <c r="L10" i="16"/>
  <c r="M10" i="16" s="1"/>
  <c r="N10" i="16" s="1"/>
  <c r="N11" i="16" s="1"/>
  <c r="N12" i="16" s="1"/>
  <c r="N13" i="16" s="1"/>
  <c r="N14" i="16" s="1"/>
  <c r="N15" i="16" s="1"/>
  <c r="N16" i="16" s="1"/>
  <c r="N17" i="16" s="1"/>
  <c r="N18" i="16" s="1"/>
  <c r="N19" i="16" s="1"/>
  <c r="N20" i="16" s="1"/>
  <c r="N21" i="16" s="1"/>
  <c r="N22" i="16" s="1"/>
  <c r="N23" i="16" s="1"/>
  <c r="D63" i="3" s="1"/>
  <c r="M63" i="3" s="1"/>
  <c r="J10" i="16"/>
  <c r="I10" i="16"/>
  <c r="P10" i="16" s="1"/>
  <c r="W10" i="16" s="1"/>
  <c r="AD10" i="16" s="1"/>
  <c r="F10" i="16"/>
  <c r="G10" i="16" s="1"/>
  <c r="B3" i="16"/>
  <c r="D42" i="15"/>
  <c r="D41" i="15"/>
  <c r="D40" i="15"/>
  <c r="D39" i="15"/>
  <c r="D35" i="15"/>
  <c r="D33" i="15"/>
  <c r="J29" i="15"/>
  <c r="F25" i="15"/>
  <c r="F24" i="15"/>
  <c r="E23" i="15"/>
  <c r="D23" i="15"/>
  <c r="E22" i="15"/>
  <c r="D22" i="15"/>
  <c r="C22" i="15"/>
  <c r="F21" i="15"/>
  <c r="G21" i="15" s="1"/>
  <c r="F20" i="15"/>
  <c r="G20" i="15" s="1"/>
  <c r="I14" i="15"/>
  <c r="I16" i="15" s="1"/>
  <c r="H14" i="15"/>
  <c r="H16" i="15" s="1"/>
  <c r="E13" i="15"/>
  <c r="D13" i="15"/>
  <c r="C13" i="15"/>
  <c r="E12" i="15"/>
  <c r="D12" i="15"/>
  <c r="E11" i="15"/>
  <c r="D11" i="15"/>
  <c r="A7" i="15"/>
  <c r="A44" i="15" s="1"/>
  <c r="B3" i="15"/>
  <c r="B2" i="15"/>
  <c r="B1" i="15"/>
  <c r="D42" i="14"/>
  <c r="D41" i="14"/>
  <c r="D40" i="14"/>
  <c r="D39" i="14"/>
  <c r="D35" i="14"/>
  <c r="D33" i="14"/>
  <c r="J29" i="14"/>
  <c r="F25" i="14"/>
  <c r="F24" i="14"/>
  <c r="E23" i="14"/>
  <c r="D23" i="14"/>
  <c r="E22" i="14"/>
  <c r="D22" i="14"/>
  <c r="C22" i="14"/>
  <c r="F21" i="14"/>
  <c r="G21" i="14" s="1"/>
  <c r="F20" i="14"/>
  <c r="G20" i="14" s="1"/>
  <c r="I14" i="14"/>
  <c r="I16" i="14" s="1"/>
  <c r="H14" i="14"/>
  <c r="H16" i="14" s="1"/>
  <c r="E13" i="14"/>
  <c r="D13" i="14"/>
  <c r="C13" i="14"/>
  <c r="E12" i="14"/>
  <c r="D12" i="14"/>
  <c r="E11" i="14"/>
  <c r="D11" i="14"/>
  <c r="A7" i="14"/>
  <c r="B3" i="14"/>
  <c r="B2" i="14"/>
  <c r="B1" i="14"/>
  <c r="D42" i="12"/>
  <c r="D41" i="12"/>
  <c r="D40" i="12"/>
  <c r="D39" i="12"/>
  <c r="D35" i="12"/>
  <c r="D33" i="12"/>
  <c r="J29" i="12"/>
  <c r="F28" i="12"/>
  <c r="G28" i="12" s="1"/>
  <c r="F25" i="12"/>
  <c r="F24" i="12"/>
  <c r="E23" i="12"/>
  <c r="D23" i="12"/>
  <c r="E22" i="12"/>
  <c r="D22" i="12"/>
  <c r="C22" i="12"/>
  <c r="F21" i="12"/>
  <c r="G21" i="12" s="1"/>
  <c r="F20" i="12"/>
  <c r="G20" i="12" s="1"/>
  <c r="I14" i="12"/>
  <c r="I16" i="12" s="1"/>
  <c r="H14" i="12"/>
  <c r="H16" i="12" s="1"/>
  <c r="E13" i="12"/>
  <c r="D13" i="12"/>
  <c r="C13" i="12"/>
  <c r="E12" i="12"/>
  <c r="D12" i="12"/>
  <c r="F12" i="12" s="1"/>
  <c r="E11" i="12"/>
  <c r="D11" i="12"/>
  <c r="A7" i="12"/>
  <c r="B3" i="12"/>
  <c r="B2" i="12"/>
  <c r="B1" i="12"/>
  <c r="D42" i="11"/>
  <c r="D41" i="11"/>
  <c r="D40" i="11"/>
  <c r="D39" i="11"/>
  <c r="D35" i="11"/>
  <c r="D33" i="11"/>
  <c r="J29" i="11"/>
  <c r="F25" i="11"/>
  <c r="F24" i="11"/>
  <c r="E23" i="11"/>
  <c r="D23" i="11"/>
  <c r="E22" i="11"/>
  <c r="D22" i="11"/>
  <c r="C22" i="11"/>
  <c r="F21" i="11"/>
  <c r="G21" i="11" s="1"/>
  <c r="F20" i="11"/>
  <c r="G20" i="11" s="1"/>
  <c r="I14" i="11"/>
  <c r="I16" i="11" s="1"/>
  <c r="H14" i="11"/>
  <c r="H16" i="11" s="1"/>
  <c r="E13" i="11"/>
  <c r="D13" i="11"/>
  <c r="C13" i="11"/>
  <c r="E12" i="11"/>
  <c r="D12" i="11"/>
  <c r="E11" i="11"/>
  <c r="D11" i="11"/>
  <c r="A7" i="11"/>
  <c r="B3" i="11"/>
  <c r="B2" i="11"/>
  <c r="B1" i="11"/>
  <c r="D42" i="10"/>
  <c r="D41" i="10"/>
  <c r="D40" i="10"/>
  <c r="D39" i="10"/>
  <c r="D35" i="10"/>
  <c r="D33" i="10"/>
  <c r="J29" i="10"/>
  <c r="F28" i="10"/>
  <c r="G28" i="10" s="1"/>
  <c r="F25" i="10"/>
  <c r="F24" i="10"/>
  <c r="E23" i="10"/>
  <c r="D23" i="10"/>
  <c r="E22" i="10"/>
  <c r="D22" i="10"/>
  <c r="C22" i="10"/>
  <c r="F21" i="10"/>
  <c r="G21" i="10" s="1"/>
  <c r="F20" i="10"/>
  <c r="G20" i="10" s="1"/>
  <c r="I14" i="10"/>
  <c r="I16" i="10" s="1"/>
  <c r="H14" i="10"/>
  <c r="H16" i="10" s="1"/>
  <c r="E13" i="10"/>
  <c r="D13" i="10"/>
  <c r="C13" i="10"/>
  <c r="E12" i="10"/>
  <c r="D12" i="10"/>
  <c r="E11" i="10"/>
  <c r="D11" i="10"/>
  <c r="A7" i="10"/>
  <c r="A45" i="10" s="1"/>
  <c r="B3" i="10"/>
  <c r="B2" i="10"/>
  <c r="B1" i="10"/>
  <c r="Q16" i="9"/>
  <c r="N16" i="9"/>
  <c r="D16" i="9"/>
  <c r="C16" i="9"/>
  <c r="B16" i="9"/>
  <c r="Q15" i="9"/>
  <c r="N15" i="9"/>
  <c r="D15" i="9"/>
  <c r="C15" i="9"/>
  <c r="B15" i="9"/>
  <c r="Q14" i="9"/>
  <c r="N14" i="9"/>
  <c r="D14" i="9"/>
  <c r="C14" i="9"/>
  <c r="B14" i="9"/>
  <c r="U13" i="9"/>
  <c r="U17" i="9" s="1"/>
  <c r="Q13" i="9"/>
  <c r="N13" i="9"/>
  <c r="D13" i="9"/>
  <c r="C13" i="9"/>
  <c r="B13" i="9"/>
  <c r="Q12" i="9"/>
  <c r="N12" i="9"/>
  <c r="D12" i="9"/>
  <c r="C12" i="9"/>
  <c r="B12" i="9"/>
  <c r="B3" i="9"/>
  <c r="A5" i="9" s="1"/>
  <c r="B2" i="9"/>
  <c r="B1" i="9"/>
  <c r="E24" i="8"/>
  <c r="B24" i="8"/>
  <c r="E23" i="8"/>
  <c r="E21" i="8"/>
  <c r="E19" i="8"/>
  <c r="E18" i="8"/>
  <c r="J5" i="8"/>
  <c r="I5" i="8"/>
  <c r="H5" i="8"/>
  <c r="G5" i="8"/>
  <c r="F5" i="8"/>
  <c r="B3" i="8"/>
  <c r="B2" i="8"/>
  <c r="B1" i="8"/>
  <c r="A40" i="7"/>
  <c r="F40" i="7" s="1"/>
  <c r="H40" i="7" s="1"/>
  <c r="R31" i="7"/>
  <c r="M31" i="7"/>
  <c r="N31" i="7" s="1"/>
  <c r="O31" i="7" s="1"/>
  <c r="P31" i="7" s="1"/>
  <c r="Q31" i="7" s="1"/>
  <c r="A31" i="7"/>
  <c r="F31" i="7" s="1"/>
  <c r="H31" i="7" s="1"/>
  <c r="R28" i="7"/>
  <c r="M28" i="7"/>
  <c r="N28" i="7" s="1"/>
  <c r="O28" i="7" s="1"/>
  <c r="P28" i="7" s="1"/>
  <c r="Q28" i="7" s="1"/>
  <c r="R27" i="7"/>
  <c r="M27" i="7"/>
  <c r="N27" i="7" s="1"/>
  <c r="O27" i="7" s="1"/>
  <c r="P27" i="7" s="1"/>
  <c r="Q27" i="7" s="1"/>
  <c r="R22" i="7"/>
  <c r="M22" i="7"/>
  <c r="N22" i="7" s="1"/>
  <c r="O22" i="7" s="1"/>
  <c r="P22" i="7" s="1"/>
  <c r="Q22" i="7" s="1"/>
  <c r="F22" i="7"/>
  <c r="H22" i="7" s="1"/>
  <c r="R21" i="7"/>
  <c r="M21" i="7"/>
  <c r="N21" i="7" s="1"/>
  <c r="O21" i="7" s="1"/>
  <c r="P21" i="7" s="1"/>
  <c r="Q21" i="7" s="1"/>
  <c r="R14" i="7"/>
  <c r="M14" i="7"/>
  <c r="N14" i="7" s="1"/>
  <c r="O14" i="7" s="1"/>
  <c r="P14" i="7" s="1"/>
  <c r="Q14" i="7" s="1"/>
  <c r="A14" i="7"/>
  <c r="F14" i="7" s="1"/>
  <c r="H14" i="7" s="1"/>
  <c r="R13" i="7"/>
  <c r="M13" i="7"/>
  <c r="N13" i="7" s="1"/>
  <c r="O13" i="7" s="1"/>
  <c r="P13" i="7" s="1"/>
  <c r="Q13" i="7" s="1"/>
  <c r="F13" i="7"/>
  <c r="H13" i="7" s="1"/>
  <c r="R10" i="7"/>
  <c r="M10" i="7"/>
  <c r="N10" i="7" s="1"/>
  <c r="O10" i="7" s="1"/>
  <c r="P10" i="7" s="1"/>
  <c r="Q10" i="7" s="1"/>
  <c r="F10" i="7"/>
  <c r="H10" i="7" s="1"/>
  <c r="R9" i="7"/>
  <c r="M9" i="7"/>
  <c r="N9" i="7" s="1"/>
  <c r="O9" i="7" s="1"/>
  <c r="P9" i="7" s="1"/>
  <c r="Q9" i="7" s="1"/>
  <c r="B3" i="7"/>
  <c r="B2" i="7"/>
  <c r="B1" i="7"/>
  <c r="E21" i="6"/>
  <c r="F21" i="6" s="1"/>
  <c r="G21" i="6" s="1"/>
  <c r="E20" i="6"/>
  <c r="F20" i="6" s="1"/>
  <c r="G20" i="6" s="1"/>
  <c r="E16" i="6"/>
  <c r="F16" i="6" s="1"/>
  <c r="G16" i="6" s="1"/>
  <c r="E15" i="6"/>
  <c r="F15" i="6" s="1"/>
  <c r="G15" i="6" s="1"/>
  <c r="E14" i="6"/>
  <c r="F14" i="6" s="1"/>
  <c r="G14" i="6" s="1"/>
  <c r="E13" i="6"/>
  <c r="F13" i="6" s="1"/>
  <c r="G13" i="6" s="1"/>
  <c r="E12" i="6"/>
  <c r="F12" i="6" s="1"/>
  <c r="G12" i="6" s="1"/>
  <c r="E11" i="6"/>
  <c r="F11" i="6" s="1"/>
  <c r="G11" i="6" s="1"/>
  <c r="E10" i="6"/>
  <c r="F10" i="6" s="1"/>
  <c r="G10" i="6" s="1"/>
  <c r="E9" i="6"/>
  <c r="F9" i="6" s="1"/>
  <c r="G9" i="6" s="1"/>
  <c r="B3" i="6"/>
  <c r="B2" i="6"/>
  <c r="B1" i="6"/>
  <c r="O62" i="5"/>
  <c r="P62" i="5" s="1"/>
  <c r="Q62" i="5" s="1"/>
  <c r="R62" i="5" s="1"/>
  <c r="S62" i="5" s="1"/>
  <c r="L62" i="5"/>
  <c r="O61" i="5"/>
  <c r="P61" i="5" s="1"/>
  <c r="Q61" i="5" s="1"/>
  <c r="R61" i="5" s="1"/>
  <c r="S61" i="5" s="1"/>
  <c r="L61" i="5"/>
  <c r="O60" i="5"/>
  <c r="P60" i="5" s="1"/>
  <c r="Q60" i="5" s="1"/>
  <c r="R60" i="5" s="1"/>
  <c r="S60" i="5" s="1"/>
  <c r="L60" i="5"/>
  <c r="O59" i="5"/>
  <c r="P59" i="5" s="1"/>
  <c r="Q59" i="5" s="1"/>
  <c r="R59" i="5" s="1"/>
  <c r="S59" i="5" s="1"/>
  <c r="L59" i="5"/>
  <c r="O58" i="5"/>
  <c r="P58" i="5" s="1"/>
  <c r="Q58" i="5" s="1"/>
  <c r="R58" i="5" s="1"/>
  <c r="S58" i="5" s="1"/>
  <c r="L58" i="5"/>
  <c r="O57" i="5"/>
  <c r="P57" i="5" s="1"/>
  <c r="Q57" i="5" s="1"/>
  <c r="R57" i="5" s="1"/>
  <c r="S57" i="5" s="1"/>
  <c r="L57" i="5"/>
  <c r="O50" i="5"/>
  <c r="P50" i="5" s="1"/>
  <c r="Q50" i="5" s="1"/>
  <c r="R50" i="5" s="1"/>
  <c r="S50" i="5" s="1"/>
  <c r="L50" i="5"/>
  <c r="O49" i="5"/>
  <c r="P49" i="5" s="1"/>
  <c r="Q49" i="5" s="1"/>
  <c r="R49" i="5" s="1"/>
  <c r="S49" i="5" s="1"/>
  <c r="L49" i="5"/>
  <c r="O48" i="5"/>
  <c r="P48" i="5" s="1"/>
  <c r="Q48" i="5" s="1"/>
  <c r="R48" i="5" s="1"/>
  <c r="S48" i="5" s="1"/>
  <c r="L48" i="5"/>
  <c r="O47" i="5"/>
  <c r="P47" i="5" s="1"/>
  <c r="Q47" i="5" s="1"/>
  <c r="R47" i="5" s="1"/>
  <c r="S47" i="5" s="1"/>
  <c r="L47" i="5"/>
  <c r="O46" i="5"/>
  <c r="P46" i="5" s="1"/>
  <c r="Q46" i="5" s="1"/>
  <c r="R46" i="5" s="1"/>
  <c r="S46" i="5" s="1"/>
  <c r="L46" i="5"/>
  <c r="O45" i="5"/>
  <c r="P45" i="5" s="1"/>
  <c r="Q45" i="5" s="1"/>
  <c r="R45" i="5" s="1"/>
  <c r="S45" i="5" s="1"/>
  <c r="L45" i="5"/>
  <c r="O44" i="5"/>
  <c r="P44" i="5" s="1"/>
  <c r="Q44" i="5" s="1"/>
  <c r="R44" i="5" s="1"/>
  <c r="S44" i="5" s="1"/>
  <c r="L44" i="5"/>
  <c r="O43" i="5"/>
  <c r="P43" i="5" s="1"/>
  <c r="Q43" i="5" s="1"/>
  <c r="R43" i="5" s="1"/>
  <c r="S43" i="5" s="1"/>
  <c r="L43" i="5"/>
  <c r="O42" i="5"/>
  <c r="P42" i="5" s="1"/>
  <c r="Q42" i="5" s="1"/>
  <c r="R42" i="5" s="1"/>
  <c r="S42" i="5" s="1"/>
  <c r="L42" i="5"/>
  <c r="O41" i="5"/>
  <c r="P41" i="5" s="1"/>
  <c r="Q41" i="5" s="1"/>
  <c r="R41" i="5" s="1"/>
  <c r="S41" i="5" s="1"/>
  <c r="L41" i="5"/>
  <c r="O40" i="5"/>
  <c r="P40" i="5" s="1"/>
  <c r="Q40" i="5" s="1"/>
  <c r="R40" i="5" s="1"/>
  <c r="S40" i="5" s="1"/>
  <c r="L40" i="5"/>
  <c r="O39" i="5"/>
  <c r="P39" i="5" s="1"/>
  <c r="Q39" i="5" s="1"/>
  <c r="R39" i="5" s="1"/>
  <c r="S39" i="5" s="1"/>
  <c r="L39" i="5"/>
  <c r="O38" i="5"/>
  <c r="P38" i="5" s="1"/>
  <c r="Q38" i="5" s="1"/>
  <c r="R38" i="5" s="1"/>
  <c r="S38" i="5" s="1"/>
  <c r="L38" i="5"/>
  <c r="O37" i="5"/>
  <c r="P37" i="5" s="1"/>
  <c r="Q37" i="5" s="1"/>
  <c r="R37" i="5" s="1"/>
  <c r="S37" i="5" s="1"/>
  <c r="L37" i="5"/>
  <c r="O36" i="5"/>
  <c r="P36" i="5" s="1"/>
  <c r="Q36" i="5" s="1"/>
  <c r="R36" i="5" s="1"/>
  <c r="S36" i="5" s="1"/>
  <c r="L36" i="5"/>
  <c r="O35" i="5"/>
  <c r="P35" i="5" s="1"/>
  <c r="Q35" i="5" s="1"/>
  <c r="R35" i="5" s="1"/>
  <c r="S35" i="5" s="1"/>
  <c r="L35" i="5"/>
  <c r="O34" i="5"/>
  <c r="P34" i="5" s="1"/>
  <c r="Q34" i="5" s="1"/>
  <c r="R34" i="5" s="1"/>
  <c r="S34" i="5" s="1"/>
  <c r="L34" i="5"/>
  <c r="O33" i="5"/>
  <c r="P33" i="5" s="1"/>
  <c r="Q33" i="5" s="1"/>
  <c r="R33" i="5" s="1"/>
  <c r="S33" i="5" s="1"/>
  <c r="L33" i="5"/>
  <c r="O32" i="5"/>
  <c r="P32" i="5" s="1"/>
  <c r="Q32" i="5" s="1"/>
  <c r="R32" i="5" s="1"/>
  <c r="S32" i="5" s="1"/>
  <c r="L32" i="5"/>
  <c r="O31" i="5"/>
  <c r="P31" i="5" s="1"/>
  <c r="Q31" i="5" s="1"/>
  <c r="R31" i="5" s="1"/>
  <c r="S31" i="5" s="1"/>
  <c r="L31" i="5"/>
  <c r="O30" i="5"/>
  <c r="P30" i="5" s="1"/>
  <c r="Q30" i="5" s="1"/>
  <c r="R30" i="5" s="1"/>
  <c r="S30" i="5" s="1"/>
  <c r="L30" i="5"/>
  <c r="O29" i="5"/>
  <c r="P29" i="5" s="1"/>
  <c r="Q29" i="5" s="1"/>
  <c r="R29" i="5" s="1"/>
  <c r="S29" i="5" s="1"/>
  <c r="L29" i="5"/>
  <c r="O28" i="5"/>
  <c r="P28" i="5" s="1"/>
  <c r="Q28" i="5" s="1"/>
  <c r="R28" i="5" s="1"/>
  <c r="S28" i="5" s="1"/>
  <c r="L28" i="5"/>
  <c r="O27" i="5"/>
  <c r="P27" i="5" s="1"/>
  <c r="Q27" i="5" s="1"/>
  <c r="R27" i="5" s="1"/>
  <c r="S27" i="5" s="1"/>
  <c r="L27" i="5"/>
  <c r="O26" i="5"/>
  <c r="P26" i="5" s="1"/>
  <c r="Q26" i="5" s="1"/>
  <c r="R26" i="5" s="1"/>
  <c r="S26" i="5" s="1"/>
  <c r="L26" i="5"/>
  <c r="O25" i="5"/>
  <c r="P25" i="5" s="1"/>
  <c r="Q25" i="5" s="1"/>
  <c r="R25" i="5" s="1"/>
  <c r="S25" i="5" s="1"/>
  <c r="L25" i="5"/>
  <c r="O24" i="5"/>
  <c r="P24" i="5" s="1"/>
  <c r="Q24" i="5" s="1"/>
  <c r="R24" i="5" s="1"/>
  <c r="S24" i="5" s="1"/>
  <c r="L24" i="5"/>
  <c r="O23" i="5"/>
  <c r="P23" i="5" s="1"/>
  <c r="Q23" i="5" s="1"/>
  <c r="R23" i="5" s="1"/>
  <c r="S23" i="5" s="1"/>
  <c r="L23" i="5"/>
  <c r="O22" i="5"/>
  <c r="P22" i="5" s="1"/>
  <c r="Q22" i="5" s="1"/>
  <c r="R22" i="5" s="1"/>
  <c r="S22" i="5" s="1"/>
  <c r="L22" i="5"/>
  <c r="O21" i="5"/>
  <c r="P21" i="5" s="1"/>
  <c r="Q21" i="5" s="1"/>
  <c r="R21" i="5" s="1"/>
  <c r="S21" i="5" s="1"/>
  <c r="L21" i="5"/>
  <c r="O20" i="5"/>
  <c r="P20" i="5" s="1"/>
  <c r="Q20" i="5" s="1"/>
  <c r="R20" i="5" s="1"/>
  <c r="S20" i="5" s="1"/>
  <c r="L20" i="5"/>
  <c r="O19" i="5"/>
  <c r="P19" i="5" s="1"/>
  <c r="Q19" i="5" s="1"/>
  <c r="R19" i="5" s="1"/>
  <c r="S19" i="5" s="1"/>
  <c r="L19" i="5"/>
  <c r="O18" i="5"/>
  <c r="P18" i="5" s="1"/>
  <c r="Q18" i="5" s="1"/>
  <c r="R18" i="5" s="1"/>
  <c r="S18" i="5" s="1"/>
  <c r="L18" i="5"/>
  <c r="O17" i="5"/>
  <c r="P17" i="5" s="1"/>
  <c r="Q17" i="5" s="1"/>
  <c r="R17" i="5" s="1"/>
  <c r="S17" i="5" s="1"/>
  <c r="L17" i="5"/>
  <c r="O16" i="5"/>
  <c r="P16" i="5" s="1"/>
  <c r="Q16" i="5" s="1"/>
  <c r="R16" i="5" s="1"/>
  <c r="S16" i="5" s="1"/>
  <c r="L16" i="5"/>
  <c r="O15" i="5"/>
  <c r="P15" i="5" s="1"/>
  <c r="Q15" i="5" s="1"/>
  <c r="R15" i="5" s="1"/>
  <c r="S15" i="5" s="1"/>
  <c r="L15" i="5"/>
  <c r="O14" i="5"/>
  <c r="P14" i="5" s="1"/>
  <c r="Q14" i="5" s="1"/>
  <c r="R14" i="5" s="1"/>
  <c r="S14" i="5" s="1"/>
  <c r="L14" i="5"/>
  <c r="O13" i="5"/>
  <c r="P13" i="5" s="1"/>
  <c r="Q13" i="5" s="1"/>
  <c r="R13" i="5" s="1"/>
  <c r="S13" i="5" s="1"/>
  <c r="L13" i="5"/>
  <c r="O12" i="5"/>
  <c r="P12" i="5" s="1"/>
  <c r="Q12" i="5" s="1"/>
  <c r="R12" i="5" s="1"/>
  <c r="S12" i="5" s="1"/>
  <c r="L12" i="5"/>
  <c r="O11" i="5"/>
  <c r="P11" i="5" s="1"/>
  <c r="Q11" i="5" s="1"/>
  <c r="R11" i="5" s="1"/>
  <c r="S11" i="5" s="1"/>
  <c r="L11" i="5"/>
  <c r="O10" i="5"/>
  <c r="P10" i="5" s="1"/>
  <c r="Q10" i="5" s="1"/>
  <c r="R10" i="5" s="1"/>
  <c r="S10" i="5" s="1"/>
  <c r="L10" i="5"/>
  <c r="O9" i="5"/>
  <c r="P9" i="5" s="1"/>
  <c r="Q9" i="5" s="1"/>
  <c r="R9" i="5" s="1"/>
  <c r="S9" i="5" s="1"/>
  <c r="L9" i="5"/>
  <c r="B3" i="5"/>
  <c r="B2" i="5"/>
  <c r="B1" i="5"/>
  <c r="C48" i="4"/>
  <c r="C49" i="4" s="1"/>
  <c r="C56" i="4" s="1"/>
  <c r="C43" i="4"/>
  <c r="C42" i="4"/>
  <c r="C41" i="4"/>
  <c r="C40" i="4"/>
  <c r="C39" i="4"/>
  <c r="E8" i="8" s="1"/>
  <c r="C36" i="4"/>
  <c r="C34" i="4"/>
  <c r="C33" i="4"/>
  <c r="C31" i="4"/>
  <c r="C32" i="4" s="1"/>
  <c r="C27" i="4"/>
  <c r="C21" i="4"/>
  <c r="F51" i="4" s="1"/>
  <c r="B3" i="4"/>
  <c r="B2" i="4"/>
  <c r="B1" i="4"/>
  <c r="E75" i="3"/>
  <c r="K75" i="3" s="1"/>
  <c r="G57" i="3"/>
  <c r="G72" i="1" s="1"/>
  <c r="B49" i="3"/>
  <c r="G39" i="3"/>
  <c r="G23" i="3"/>
  <c r="C16" i="4" s="1"/>
  <c r="F11" i="3"/>
  <c r="M11" i="3" s="1"/>
  <c r="L10" i="3"/>
  <c r="F10" i="3"/>
  <c r="H9" i="3"/>
  <c r="F9" i="3"/>
  <c r="F8" i="3"/>
  <c r="M8" i="3" s="1"/>
  <c r="F7" i="3"/>
  <c r="M7" i="3" s="1"/>
  <c r="Q6" i="3"/>
  <c r="P6" i="3"/>
  <c r="O6" i="3"/>
  <c r="A4" i="3"/>
  <c r="B3" i="3"/>
  <c r="B2" i="3"/>
  <c r="B1" i="3"/>
  <c r="G85" i="1"/>
  <c r="G84" i="1"/>
  <c r="N82" i="1"/>
  <c r="O82" i="1" s="1"/>
  <c r="M82" i="1"/>
  <c r="N81" i="1"/>
  <c r="O81" i="1" s="1"/>
  <c r="M81" i="1"/>
  <c r="N80" i="1"/>
  <c r="O80" i="1" s="1"/>
  <c r="M80" i="1"/>
  <c r="N79" i="1"/>
  <c r="O79" i="1" s="1"/>
  <c r="M79" i="1"/>
  <c r="N78" i="1"/>
  <c r="O78" i="1" s="1"/>
  <c r="M78" i="1"/>
  <c r="N77" i="1"/>
  <c r="O77" i="1" s="1"/>
  <c r="M77" i="1"/>
  <c r="G71" i="1"/>
  <c r="G70" i="1"/>
  <c r="N68" i="1"/>
  <c r="O68" i="1" s="1"/>
  <c r="M68" i="1"/>
  <c r="N67" i="1"/>
  <c r="O67" i="1" s="1"/>
  <c r="M67" i="1"/>
  <c r="N66" i="1"/>
  <c r="O66" i="1" s="1"/>
  <c r="M66" i="1"/>
  <c r="N65" i="1"/>
  <c r="O65" i="1" s="1"/>
  <c r="M65" i="1"/>
  <c r="N64" i="1"/>
  <c r="O64" i="1" s="1"/>
  <c r="M64" i="1"/>
  <c r="N63" i="1"/>
  <c r="O63" i="1" s="1"/>
  <c r="M63" i="1"/>
  <c r="N62" i="1"/>
  <c r="O62" i="1" s="1"/>
  <c r="M62" i="1"/>
  <c r="N61" i="1"/>
  <c r="O61" i="1" s="1"/>
  <c r="M61" i="1"/>
  <c r="N60" i="1"/>
  <c r="O60" i="1" s="1"/>
  <c r="M60" i="1"/>
  <c r="N59" i="1"/>
  <c r="O59" i="1" s="1"/>
  <c r="M59" i="1"/>
  <c r="N58" i="1"/>
  <c r="O58" i="1" s="1"/>
  <c r="M58" i="1"/>
  <c r="N57" i="1"/>
  <c r="O57" i="1" s="1"/>
  <c r="M57" i="1"/>
  <c r="N56" i="1"/>
  <c r="O56" i="1" s="1"/>
  <c r="M56" i="1"/>
  <c r="N55" i="1"/>
  <c r="O55" i="1" s="1"/>
  <c r="M55" i="1"/>
  <c r="N54" i="1"/>
  <c r="O54" i="1" s="1"/>
  <c r="M54" i="1"/>
  <c r="N53" i="1"/>
  <c r="O53" i="1" s="1"/>
  <c r="M53" i="1"/>
  <c r="N52" i="1"/>
  <c r="O52" i="1" s="1"/>
  <c r="M52" i="1"/>
  <c r="N51" i="1"/>
  <c r="O51" i="1" s="1"/>
  <c r="M51" i="1"/>
  <c r="N50" i="1"/>
  <c r="O50" i="1" s="1"/>
  <c r="M50" i="1"/>
  <c r="N49" i="1"/>
  <c r="O49" i="1" s="1"/>
  <c r="M49" i="1"/>
  <c r="N48" i="1"/>
  <c r="O48" i="1" s="1"/>
  <c r="M48" i="1"/>
  <c r="N47" i="1"/>
  <c r="O47" i="1" s="1"/>
  <c r="M47" i="1"/>
  <c r="N46" i="1"/>
  <c r="O46" i="1" s="1"/>
  <c r="M46" i="1"/>
  <c r="L46" i="1" s="1"/>
  <c r="G46" i="1" s="1"/>
  <c r="H46" i="1" s="1"/>
  <c r="N45" i="1"/>
  <c r="O45" i="1" s="1"/>
  <c r="M45" i="1"/>
  <c r="N44" i="1"/>
  <c r="O44" i="1" s="1"/>
  <c r="M44" i="1"/>
  <c r="N43" i="1"/>
  <c r="O43" i="1" s="1"/>
  <c r="M43" i="1"/>
  <c r="N42" i="1"/>
  <c r="O42" i="1" s="1"/>
  <c r="M42" i="1"/>
  <c r="L42" i="1" s="1"/>
  <c r="G42" i="1" s="1"/>
  <c r="H42" i="1" s="1"/>
  <c r="N41" i="1"/>
  <c r="O41" i="1" s="1"/>
  <c r="M41" i="1"/>
  <c r="N40" i="1"/>
  <c r="O40" i="1" s="1"/>
  <c r="M40" i="1"/>
  <c r="N39" i="1"/>
  <c r="O39" i="1" s="1"/>
  <c r="M39" i="1"/>
  <c r="N38" i="1"/>
  <c r="O38" i="1" s="1"/>
  <c r="M38" i="1"/>
  <c r="N37" i="1"/>
  <c r="O37" i="1" s="1"/>
  <c r="M37" i="1"/>
  <c r="N36" i="1"/>
  <c r="O36" i="1" s="1"/>
  <c r="M36" i="1"/>
  <c r="N35" i="1"/>
  <c r="O35" i="1" s="1"/>
  <c r="M35" i="1"/>
  <c r="N34" i="1"/>
  <c r="O34" i="1" s="1"/>
  <c r="M34" i="1"/>
  <c r="N33" i="1"/>
  <c r="O33" i="1" s="1"/>
  <c r="M33" i="1"/>
  <c r="N32" i="1"/>
  <c r="O32" i="1" s="1"/>
  <c r="M32" i="1"/>
  <c r="N31" i="1"/>
  <c r="O31" i="1" s="1"/>
  <c r="M31" i="1"/>
  <c r="N30" i="1"/>
  <c r="O30" i="1" s="1"/>
  <c r="M30" i="1"/>
  <c r="N29" i="1"/>
  <c r="O29" i="1" s="1"/>
  <c r="M29" i="1"/>
  <c r="N28" i="1"/>
  <c r="O28" i="1" s="1"/>
  <c r="M28" i="1"/>
  <c r="N27" i="1"/>
  <c r="O27" i="1" s="1"/>
  <c r="M27" i="1"/>
  <c r="F20" i="1"/>
  <c r="K15" i="1"/>
  <c r="K16" i="9" s="1"/>
  <c r="F15" i="1"/>
  <c r="H16" i="9" s="1"/>
  <c r="C15" i="1"/>
  <c r="B15" i="1"/>
  <c r="A15" i="1"/>
  <c r="R14" i="1"/>
  <c r="K14" i="1"/>
  <c r="K15" i="9" s="1"/>
  <c r="F14" i="1"/>
  <c r="H15" i="9" s="1"/>
  <c r="C14" i="1"/>
  <c r="B14" i="1"/>
  <c r="A14" i="1"/>
  <c r="K13" i="1"/>
  <c r="K14" i="9" s="1"/>
  <c r="F13" i="1"/>
  <c r="H14" i="9" s="1"/>
  <c r="C13" i="1"/>
  <c r="B13" i="1"/>
  <c r="A13" i="1"/>
  <c r="K12" i="1"/>
  <c r="K13" i="9" s="1"/>
  <c r="F12" i="1"/>
  <c r="H13" i="9" s="1"/>
  <c r="C12" i="1"/>
  <c r="B12" i="1"/>
  <c r="A12" i="1"/>
  <c r="R11" i="1"/>
  <c r="P11" i="1"/>
  <c r="K11" i="1"/>
  <c r="K12" i="9" s="1"/>
  <c r="F11" i="1"/>
  <c r="H12" i="9" s="1"/>
  <c r="C11" i="1"/>
  <c r="B11" i="1"/>
  <c r="A11" i="1"/>
  <c r="F5" i="1"/>
  <c r="E5" i="1"/>
  <c r="B3" i="1"/>
  <c r="B2" i="1"/>
  <c r="B1" i="1"/>
  <c r="F7" i="8" l="1"/>
  <c r="F8" i="8" s="1"/>
  <c r="G86" i="1"/>
  <c r="L80" i="1"/>
  <c r="G80" i="1" s="1"/>
  <c r="F27" i="7"/>
  <c r="H27" i="7" s="1"/>
  <c r="F12" i="11"/>
  <c r="F36" i="7"/>
  <c r="H36" i="7" s="1"/>
  <c r="G11" i="16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D62" i="3" s="1"/>
  <c r="M62" i="3" s="1"/>
  <c r="L44" i="1"/>
  <c r="G44" i="1" s="1"/>
  <c r="H44" i="1" s="1"/>
  <c r="F37" i="7"/>
  <c r="H37" i="7" s="1"/>
  <c r="D36" i="15"/>
  <c r="F28" i="7"/>
  <c r="H28" i="7" s="1"/>
  <c r="F38" i="7"/>
  <c r="H38" i="7" s="1"/>
  <c r="L48" i="1"/>
  <c r="G48" i="1" s="1"/>
  <c r="H48" i="1" s="1"/>
  <c r="L78" i="1"/>
  <c r="G78" i="1" s="1"/>
  <c r="L82" i="1"/>
  <c r="G82" i="1" s="1"/>
  <c r="E62" i="5" s="1"/>
  <c r="G62" i="5" s="1"/>
  <c r="F11" i="7"/>
  <c r="H11" i="7" s="1"/>
  <c r="F39" i="7"/>
  <c r="H39" i="7" s="1"/>
  <c r="Q17" i="9"/>
  <c r="AI11" i="16"/>
  <c r="AI12" i="16" s="1"/>
  <c r="AI13" i="16" s="1"/>
  <c r="AI14" i="16" s="1"/>
  <c r="AI15" i="16" s="1"/>
  <c r="AI16" i="16" s="1"/>
  <c r="AI17" i="16" s="1"/>
  <c r="AI18" i="16" s="1"/>
  <c r="AI19" i="16" s="1"/>
  <c r="AI20" i="16" s="1"/>
  <c r="AI21" i="16" s="1"/>
  <c r="AI22" i="16" s="1"/>
  <c r="AI23" i="16" s="1"/>
  <c r="D66" i="3" s="1"/>
  <c r="M66" i="3" s="1"/>
  <c r="G7" i="8"/>
  <c r="L40" i="1"/>
  <c r="G40" i="1" s="1"/>
  <c r="I40" i="1" s="1"/>
  <c r="L63" i="1"/>
  <c r="G63" i="1" s="1"/>
  <c r="E45" i="5" s="1"/>
  <c r="G45" i="5" s="1"/>
  <c r="L39" i="1"/>
  <c r="G39" i="1" s="1"/>
  <c r="E21" i="5" s="1"/>
  <c r="G21" i="5" s="1"/>
  <c r="L62" i="1"/>
  <c r="G62" i="1" s="1"/>
  <c r="H62" i="1" s="1"/>
  <c r="L52" i="1"/>
  <c r="G52" i="1" s="1"/>
  <c r="E34" i="5" s="1"/>
  <c r="G34" i="5" s="1"/>
  <c r="L37" i="1"/>
  <c r="G37" i="1" s="1"/>
  <c r="I37" i="1" s="1"/>
  <c r="L60" i="1"/>
  <c r="G60" i="1" s="1"/>
  <c r="L29" i="1"/>
  <c r="G29" i="1" s="1"/>
  <c r="H29" i="1" s="1"/>
  <c r="L31" i="1"/>
  <c r="G31" i="1" s="1"/>
  <c r="E13" i="5" s="1"/>
  <c r="G13" i="5" s="1"/>
  <c r="L54" i="1"/>
  <c r="G54" i="1" s="1"/>
  <c r="E36" i="5" s="1"/>
  <c r="G36" i="5" s="1"/>
  <c r="L68" i="1"/>
  <c r="G68" i="1" s="1"/>
  <c r="E50" i="5" s="1"/>
  <c r="G50" i="5" s="1"/>
  <c r="F12" i="14"/>
  <c r="G12" i="14" s="1"/>
  <c r="M9" i="3"/>
  <c r="F13" i="14"/>
  <c r="G13" i="14" s="1"/>
  <c r="D36" i="14"/>
  <c r="F30" i="7"/>
  <c r="H30" i="7" s="1"/>
  <c r="D36" i="12"/>
  <c r="A44" i="10"/>
  <c r="D36" i="11"/>
  <c r="F12" i="15"/>
  <c r="G12" i="15" s="1"/>
  <c r="F75" i="3"/>
  <c r="G75" i="3" s="1"/>
  <c r="D43" i="11"/>
  <c r="D43" i="15"/>
  <c r="F21" i="7"/>
  <c r="H21" i="7" s="1"/>
  <c r="F20" i="7"/>
  <c r="H20" i="7" s="1"/>
  <c r="J7" i="8"/>
  <c r="G17" i="6"/>
  <c r="Q8" i="3" s="1"/>
  <c r="F28" i="15" s="1"/>
  <c r="G28" i="15" s="1"/>
  <c r="L53" i="1"/>
  <c r="G53" i="1" s="1"/>
  <c r="E35" i="5" s="1"/>
  <c r="G35" i="5" s="1"/>
  <c r="L38" i="1"/>
  <c r="G38" i="1" s="1"/>
  <c r="E20" i="5" s="1"/>
  <c r="G20" i="5" s="1"/>
  <c r="L61" i="1"/>
  <c r="G61" i="1" s="1"/>
  <c r="L79" i="1"/>
  <c r="G79" i="1" s="1"/>
  <c r="I79" i="1" s="1"/>
  <c r="L32" i="1"/>
  <c r="G32" i="1" s="1"/>
  <c r="H32" i="1" s="1"/>
  <c r="L55" i="1"/>
  <c r="G55" i="1" s="1"/>
  <c r="E37" i="5" s="1"/>
  <c r="G37" i="5" s="1"/>
  <c r="L64" i="1"/>
  <c r="G64" i="1" s="1"/>
  <c r="H64" i="1" s="1"/>
  <c r="F11" i="10"/>
  <c r="F22" i="10" s="1"/>
  <c r="D43" i="10"/>
  <c r="U11" i="16"/>
  <c r="U12" i="16" s="1"/>
  <c r="U13" i="16" s="1"/>
  <c r="U14" i="16" s="1"/>
  <c r="U15" i="16" s="1"/>
  <c r="U16" i="16" s="1"/>
  <c r="U17" i="16" s="1"/>
  <c r="U18" i="16" s="1"/>
  <c r="U19" i="16" s="1"/>
  <c r="U20" i="16" s="1"/>
  <c r="U21" i="16" s="1"/>
  <c r="U22" i="16" s="1"/>
  <c r="U23" i="16" s="1"/>
  <c r="D64" i="3" s="1"/>
  <c r="M64" i="3" s="1"/>
  <c r="L35" i="1"/>
  <c r="G35" i="1" s="1"/>
  <c r="E17" i="5" s="1"/>
  <c r="G17" i="5" s="1"/>
  <c r="L41" i="1"/>
  <c r="G41" i="1" s="1"/>
  <c r="I41" i="1" s="1"/>
  <c r="L43" i="1"/>
  <c r="G43" i="1" s="1"/>
  <c r="I43" i="1" s="1"/>
  <c r="L45" i="1"/>
  <c r="G45" i="1" s="1"/>
  <c r="I45" i="1" s="1"/>
  <c r="L47" i="1"/>
  <c r="G47" i="1" s="1"/>
  <c r="I47" i="1" s="1"/>
  <c r="L49" i="1"/>
  <c r="G49" i="1" s="1"/>
  <c r="I49" i="1" s="1"/>
  <c r="L58" i="1"/>
  <c r="G58" i="1" s="1"/>
  <c r="H58" i="1" s="1"/>
  <c r="L65" i="1"/>
  <c r="G65" i="1" s="1"/>
  <c r="H65" i="1" s="1"/>
  <c r="L81" i="1"/>
  <c r="G81" i="1" s="1"/>
  <c r="H81" i="1" s="1"/>
  <c r="F29" i="7"/>
  <c r="H29" i="7" s="1"/>
  <c r="H32" i="7" s="1"/>
  <c r="H33" i="7" s="1"/>
  <c r="N10" i="3" s="1"/>
  <c r="F19" i="11" s="1"/>
  <c r="G19" i="11" s="1"/>
  <c r="D17" i="9"/>
  <c r="F12" i="10"/>
  <c r="J12" i="10" s="1"/>
  <c r="J14" i="10" s="1"/>
  <c r="L36" i="1"/>
  <c r="G36" i="1" s="1"/>
  <c r="I36" i="1" s="1"/>
  <c r="L59" i="1"/>
  <c r="G59" i="1" s="1"/>
  <c r="E41" i="5" s="1"/>
  <c r="G41" i="5" s="1"/>
  <c r="F9" i="7"/>
  <c r="H9" i="7" s="1"/>
  <c r="F19" i="7"/>
  <c r="H19" i="7" s="1"/>
  <c r="N17" i="9"/>
  <c r="F13" i="15"/>
  <c r="G13" i="15" s="1"/>
  <c r="L30" i="1"/>
  <c r="G30" i="1" s="1"/>
  <c r="E12" i="5" s="1"/>
  <c r="G12" i="5" s="1"/>
  <c r="F13" i="12"/>
  <c r="G13" i="12" s="1"/>
  <c r="L27" i="1"/>
  <c r="G27" i="1" s="1"/>
  <c r="H27" i="1" s="1"/>
  <c r="L34" i="1"/>
  <c r="G34" i="1" s="1"/>
  <c r="E16" i="5" s="1"/>
  <c r="G16" i="5" s="1"/>
  <c r="L50" i="1"/>
  <c r="G50" i="1" s="1"/>
  <c r="I50" i="1" s="1"/>
  <c r="L57" i="1"/>
  <c r="G57" i="1" s="1"/>
  <c r="H57" i="1" s="1"/>
  <c r="L66" i="1"/>
  <c r="G66" i="1" s="1"/>
  <c r="E48" i="5" s="1"/>
  <c r="G48" i="5" s="1"/>
  <c r="M10" i="3"/>
  <c r="C22" i="4"/>
  <c r="F53" i="4" s="1"/>
  <c r="G53" i="4" s="1"/>
  <c r="D43" i="14"/>
  <c r="L33" i="1"/>
  <c r="G33" i="1" s="1"/>
  <c r="I33" i="1" s="1"/>
  <c r="L56" i="1"/>
  <c r="G56" i="1" s="1"/>
  <c r="H17" i="9"/>
  <c r="L28" i="1"/>
  <c r="G28" i="1" s="1"/>
  <c r="E10" i="5" s="1"/>
  <c r="G10" i="5" s="1"/>
  <c r="L51" i="1"/>
  <c r="G51" i="1" s="1"/>
  <c r="E33" i="5" s="1"/>
  <c r="G33" i="5" s="1"/>
  <c r="L67" i="1"/>
  <c r="G67" i="1" s="1"/>
  <c r="L77" i="1"/>
  <c r="G77" i="1" s="1"/>
  <c r="E57" i="5" s="1"/>
  <c r="G57" i="5" s="1"/>
  <c r="F12" i="7"/>
  <c r="H12" i="7" s="1"/>
  <c r="B11" i="10"/>
  <c r="D36" i="10"/>
  <c r="F13" i="11"/>
  <c r="G13" i="11" s="1"/>
  <c r="D43" i="12"/>
  <c r="I34" i="1"/>
  <c r="H34" i="1"/>
  <c r="I35" i="1"/>
  <c r="E11" i="5"/>
  <c r="G11" i="5" s="1"/>
  <c r="I29" i="1"/>
  <c r="E14" i="5"/>
  <c r="G14" i="5" s="1"/>
  <c r="I32" i="1"/>
  <c r="E18" i="5"/>
  <c r="G18" i="5" s="1"/>
  <c r="E19" i="5"/>
  <c r="G19" i="5" s="1"/>
  <c r="H37" i="1"/>
  <c r="E24" i="5"/>
  <c r="G24" i="5" s="1"/>
  <c r="I42" i="1"/>
  <c r="E27" i="5"/>
  <c r="G27" i="5" s="1"/>
  <c r="H45" i="1"/>
  <c r="E28" i="5"/>
  <c r="G28" i="5" s="1"/>
  <c r="I46" i="1"/>
  <c r="E32" i="5"/>
  <c r="G32" i="5" s="1"/>
  <c r="H50" i="1"/>
  <c r="I54" i="1"/>
  <c r="E39" i="5"/>
  <c r="G39" i="5" s="1"/>
  <c r="E43" i="5"/>
  <c r="G43" i="5" s="1"/>
  <c r="I61" i="1"/>
  <c r="H61" i="1"/>
  <c r="I62" i="1"/>
  <c r="E47" i="5"/>
  <c r="G47" i="5" s="1"/>
  <c r="I65" i="1"/>
  <c r="I66" i="1"/>
  <c r="H79" i="1"/>
  <c r="E60" i="5"/>
  <c r="G60" i="5" s="1"/>
  <c r="H80" i="1"/>
  <c r="I80" i="1"/>
  <c r="I81" i="1"/>
  <c r="E61" i="5"/>
  <c r="G61" i="5" s="1"/>
  <c r="I82" i="1"/>
  <c r="J8" i="8"/>
  <c r="G12" i="11"/>
  <c r="J12" i="11"/>
  <c r="J14" i="11" s="1"/>
  <c r="K17" i="9"/>
  <c r="E25" i="5"/>
  <c r="G25" i="5" s="1"/>
  <c r="E30" i="5"/>
  <c r="G30" i="5" s="1"/>
  <c r="I48" i="1"/>
  <c r="I51" i="1"/>
  <c r="E38" i="5"/>
  <c r="G38" i="5" s="1"/>
  <c r="H56" i="1"/>
  <c r="I56" i="1"/>
  <c r="E42" i="5"/>
  <c r="G42" i="5" s="1"/>
  <c r="H60" i="1"/>
  <c r="I60" i="1"/>
  <c r="E49" i="5"/>
  <c r="G49" i="5" s="1"/>
  <c r="I67" i="1"/>
  <c r="H67" i="1"/>
  <c r="H77" i="1"/>
  <c r="E58" i="5"/>
  <c r="G58" i="5" s="1"/>
  <c r="H78" i="1"/>
  <c r="I78" i="1"/>
  <c r="G8" i="8"/>
  <c r="C18" i="4"/>
  <c r="H50" i="4"/>
  <c r="G51" i="4"/>
  <c r="H51" i="4"/>
  <c r="C35" i="4"/>
  <c r="C37" i="4" s="1"/>
  <c r="C54" i="4" s="1"/>
  <c r="A6" i="15"/>
  <c r="A6" i="14"/>
  <c r="A6" i="12"/>
  <c r="A6" i="11"/>
  <c r="C44" i="4"/>
  <c r="F52" i="4"/>
  <c r="G22" i="6"/>
  <c r="Q10" i="3" s="1"/>
  <c r="F28" i="11" s="1"/>
  <c r="G28" i="11" s="1"/>
  <c r="A6" i="9"/>
  <c r="A6" i="10"/>
  <c r="A45" i="11"/>
  <c r="B11" i="11"/>
  <c r="A44" i="11"/>
  <c r="B11" i="12"/>
  <c r="A44" i="12"/>
  <c r="A45" i="12"/>
  <c r="C23" i="14"/>
  <c r="C23" i="15"/>
  <c r="F23" i="15" s="1"/>
  <c r="C23" i="12"/>
  <c r="C23" i="10"/>
  <c r="F23" i="10" s="1"/>
  <c r="C23" i="11"/>
  <c r="F23" i="11" s="1"/>
  <c r="E20" i="8"/>
  <c r="F13" i="10"/>
  <c r="G13" i="10" s="1"/>
  <c r="G12" i="12"/>
  <c r="J12" i="12"/>
  <c r="J14" i="12" s="1"/>
  <c r="A45" i="14"/>
  <c r="A44" i="14"/>
  <c r="B11" i="14"/>
  <c r="F11" i="11"/>
  <c r="F22" i="11" s="1"/>
  <c r="F23" i="12"/>
  <c r="F11" i="12"/>
  <c r="F22" i="12" s="1"/>
  <c r="F23" i="14"/>
  <c r="F11" i="14"/>
  <c r="F22" i="14" s="1"/>
  <c r="F11" i="15"/>
  <c r="A45" i="15"/>
  <c r="B11" i="15"/>
  <c r="H41" i="7" l="1"/>
  <c r="H42" i="7" s="1"/>
  <c r="N11" i="3" s="1"/>
  <c r="F19" i="10" s="1"/>
  <c r="H7" i="8"/>
  <c r="H8" i="8" s="1"/>
  <c r="I64" i="1"/>
  <c r="H47" i="1"/>
  <c r="E44" i="5"/>
  <c r="G44" i="5" s="1"/>
  <c r="I53" i="1"/>
  <c r="I77" i="1"/>
  <c r="Q9" i="3"/>
  <c r="F28" i="14" s="1"/>
  <c r="G28" i="14" s="1"/>
  <c r="I59" i="1"/>
  <c r="I30" i="1"/>
  <c r="E29" i="5"/>
  <c r="G29" i="5" s="1"/>
  <c r="H82" i="1"/>
  <c r="E9" i="5"/>
  <c r="G9" i="5" s="1"/>
  <c r="I68" i="1"/>
  <c r="E46" i="5"/>
  <c r="G46" i="5" s="1"/>
  <c r="H55" i="1"/>
  <c r="I44" i="1"/>
  <c r="H53" i="4"/>
  <c r="H66" i="1"/>
  <c r="I39" i="1"/>
  <c r="C23" i="4"/>
  <c r="M12" i="3"/>
  <c r="H68" i="1"/>
  <c r="I52" i="1"/>
  <c r="E26" i="5"/>
  <c r="G26" i="5" s="1"/>
  <c r="H49" i="1"/>
  <c r="H39" i="1"/>
  <c r="H53" i="1"/>
  <c r="H52" i="1"/>
  <c r="I58" i="1"/>
  <c r="H36" i="1"/>
  <c r="G11" i="10"/>
  <c r="I55" i="1"/>
  <c r="H54" i="1"/>
  <c r="H41" i="1"/>
  <c r="H38" i="1"/>
  <c r="I31" i="1"/>
  <c r="H59" i="1"/>
  <c r="E31" i="5"/>
  <c r="G31" i="5" s="1"/>
  <c r="E23" i="5"/>
  <c r="G23" i="5" s="1"/>
  <c r="I38" i="1"/>
  <c r="H31" i="1"/>
  <c r="H40" i="1"/>
  <c r="I63" i="1"/>
  <c r="E40" i="5"/>
  <c r="G40" i="5" s="1"/>
  <c r="E22" i="5"/>
  <c r="G22" i="5" s="1"/>
  <c r="E15" i="5"/>
  <c r="G15" i="5" s="1"/>
  <c r="I28" i="1"/>
  <c r="H35" i="1"/>
  <c r="I27" i="1"/>
  <c r="H63" i="1"/>
  <c r="H33" i="1"/>
  <c r="H28" i="1"/>
  <c r="E59" i="5"/>
  <c r="G59" i="5" s="1"/>
  <c r="G63" i="5" s="1"/>
  <c r="P11" i="3" s="1"/>
  <c r="H51" i="1"/>
  <c r="H43" i="1"/>
  <c r="I57" i="1"/>
  <c r="J12" i="15"/>
  <c r="J14" i="15" s="1"/>
  <c r="J12" i="14"/>
  <c r="J14" i="14" s="1"/>
  <c r="G12" i="10"/>
  <c r="H23" i="7"/>
  <c r="H24" i="7" s="1"/>
  <c r="N7" i="3" s="1"/>
  <c r="F19" i="12" s="1"/>
  <c r="G19" i="12" s="1"/>
  <c r="I22" i="10"/>
  <c r="I29" i="10" s="1"/>
  <c r="I30" i="10" s="1"/>
  <c r="I33" i="10" s="1"/>
  <c r="G22" i="10"/>
  <c r="J14" i="8"/>
  <c r="H15" i="7"/>
  <c r="H16" i="7" s="1"/>
  <c r="H75" i="3"/>
  <c r="I75" i="3" s="1"/>
  <c r="J75" i="3" s="1"/>
  <c r="I7" i="8"/>
  <c r="I8" i="8" s="1"/>
  <c r="H30" i="1"/>
  <c r="H23" i="11"/>
  <c r="H29" i="11" s="1"/>
  <c r="H30" i="11" s="1"/>
  <c r="I13" i="8"/>
  <c r="G23" i="11"/>
  <c r="H23" i="15"/>
  <c r="H29" i="15" s="1"/>
  <c r="H30" i="15" s="1"/>
  <c r="G23" i="15"/>
  <c r="G13" i="8"/>
  <c r="G11" i="15"/>
  <c r="G14" i="15" s="1"/>
  <c r="F14" i="15"/>
  <c r="H23" i="14"/>
  <c r="H29" i="14" s="1"/>
  <c r="H30" i="14" s="1"/>
  <c r="G23" i="14"/>
  <c r="H13" i="8"/>
  <c r="I22" i="12"/>
  <c r="I29" i="12" s="1"/>
  <c r="I30" i="12" s="1"/>
  <c r="G22" i="12"/>
  <c r="F14" i="8"/>
  <c r="G11" i="12"/>
  <c r="G14" i="12" s="1"/>
  <c r="F14" i="12"/>
  <c r="I22" i="11"/>
  <c r="I29" i="11" s="1"/>
  <c r="I30" i="11" s="1"/>
  <c r="I14" i="8"/>
  <c r="G22" i="11"/>
  <c r="G11" i="11"/>
  <c r="G14" i="11" s="1"/>
  <c r="F14" i="11"/>
  <c r="G23" i="10"/>
  <c r="H23" i="10"/>
  <c r="H29" i="10" s="1"/>
  <c r="H30" i="10" s="1"/>
  <c r="J13" i="8"/>
  <c r="F14" i="10"/>
  <c r="G19" i="10"/>
  <c r="G52" i="4"/>
  <c r="G54" i="4" s="1"/>
  <c r="H52" i="4"/>
  <c r="H54" i="4" s="1"/>
  <c r="C51" i="4"/>
  <c r="H49" i="4"/>
  <c r="C45" i="4"/>
  <c r="C46" i="4" s="1"/>
  <c r="C55" i="4" s="1"/>
  <c r="C24" i="4"/>
  <c r="C25" i="4" s="1"/>
  <c r="C52" i="4" s="1"/>
  <c r="C28" i="4"/>
  <c r="C29" i="4" s="1"/>
  <c r="C53" i="4" s="1"/>
  <c r="F29" i="11"/>
  <c r="I22" i="14"/>
  <c r="I29" i="14" s="1"/>
  <c r="I30" i="14" s="1"/>
  <c r="G22" i="14"/>
  <c r="H14" i="8"/>
  <c r="F22" i="15"/>
  <c r="G11" i="14"/>
  <c r="G14" i="14" s="1"/>
  <c r="F14" i="14"/>
  <c r="H23" i="12"/>
  <c r="H29" i="12" s="1"/>
  <c r="H30" i="12" s="1"/>
  <c r="F13" i="8"/>
  <c r="G23" i="12"/>
  <c r="E9" i="8"/>
  <c r="F54" i="4"/>
  <c r="F55" i="4" s="1"/>
  <c r="H83" i="1"/>
  <c r="G14" i="10" l="1"/>
  <c r="G51" i="5"/>
  <c r="H69" i="1"/>
  <c r="F29" i="12"/>
  <c r="N9" i="3"/>
  <c r="F19" i="14" s="1"/>
  <c r="G19" i="14" s="1"/>
  <c r="G29" i="14" s="1"/>
  <c r="N8" i="3"/>
  <c r="F19" i="15" s="1"/>
  <c r="G19" i="15" s="1"/>
  <c r="J16" i="8"/>
  <c r="J30" i="8" s="1"/>
  <c r="G29" i="10"/>
  <c r="G29" i="11"/>
  <c r="H70" i="1"/>
  <c r="H71" i="1" s="1"/>
  <c r="H84" i="1"/>
  <c r="H85" i="1" s="1"/>
  <c r="H33" i="12"/>
  <c r="I33" i="14"/>
  <c r="F27" i="10"/>
  <c r="F29" i="10" s="1"/>
  <c r="R15" i="1"/>
  <c r="C57" i="4"/>
  <c r="H55" i="4"/>
  <c r="H57" i="4" s="1"/>
  <c r="H59" i="4" s="1"/>
  <c r="G29" i="12"/>
  <c r="H33" i="10"/>
  <c r="H34" i="10" s="1"/>
  <c r="H35" i="10" s="1"/>
  <c r="I33" i="12"/>
  <c r="H33" i="11"/>
  <c r="H34" i="11" s="1"/>
  <c r="H35" i="11" s="1"/>
  <c r="H9" i="8"/>
  <c r="H10" i="8" s="1"/>
  <c r="H11" i="8" s="1"/>
  <c r="H29" i="8" s="1"/>
  <c r="G9" i="8"/>
  <c r="G10" i="8" s="1"/>
  <c r="G11" i="8" s="1"/>
  <c r="G29" i="8" s="1"/>
  <c r="F9" i="8"/>
  <c r="F10" i="8" s="1"/>
  <c r="F11" i="8" s="1"/>
  <c r="F29" i="8" s="1"/>
  <c r="I9" i="8"/>
  <c r="I10" i="8" s="1"/>
  <c r="I11" i="8" s="1"/>
  <c r="I29" i="8" s="1"/>
  <c r="E10" i="8"/>
  <c r="J9" i="8"/>
  <c r="J10" i="8" s="1"/>
  <c r="J11" i="8" s="1"/>
  <c r="J29" i="8" s="1"/>
  <c r="J31" i="8" s="1"/>
  <c r="F16" i="8"/>
  <c r="F30" i="8" s="1"/>
  <c r="I22" i="15"/>
  <c r="I29" i="15" s="1"/>
  <c r="I30" i="15" s="1"/>
  <c r="G22" i="15"/>
  <c r="G14" i="8"/>
  <c r="G16" i="8" s="1"/>
  <c r="G30" i="8" s="1"/>
  <c r="W18" i="9"/>
  <c r="O9" i="3"/>
  <c r="O8" i="3"/>
  <c r="G55" i="4"/>
  <c r="G57" i="4" s="1"/>
  <c r="I33" i="11"/>
  <c r="H16" i="8"/>
  <c r="H30" i="8" s="1"/>
  <c r="H33" i="14"/>
  <c r="H34" i="14" s="1"/>
  <c r="H35" i="14" s="1"/>
  <c r="H33" i="15"/>
  <c r="I16" i="8"/>
  <c r="I30" i="8" s="1"/>
  <c r="I34" i="10"/>
  <c r="I35" i="10" s="1"/>
  <c r="I36" i="10" s="1"/>
  <c r="I37" i="10" s="1"/>
  <c r="I44" i="10" s="1"/>
  <c r="I45" i="10" s="1"/>
  <c r="T12" i="1" l="1"/>
  <c r="T15" i="1"/>
  <c r="W15" i="1" s="1"/>
  <c r="T11" i="1"/>
  <c r="T14" i="1"/>
  <c r="W14" i="1" s="1"/>
  <c r="T13" i="1"/>
  <c r="W12" i="1" s="1"/>
  <c r="H31" i="8"/>
  <c r="H18" i="8" s="1"/>
  <c r="G29" i="15"/>
  <c r="H87" i="1"/>
  <c r="H86" i="1" s="1"/>
  <c r="I41" i="10"/>
  <c r="I39" i="10"/>
  <c r="I42" i="10"/>
  <c r="I40" i="10"/>
  <c r="G16" i="9"/>
  <c r="I16" i="9" s="1"/>
  <c r="I34" i="11"/>
  <c r="I35" i="11" s="1"/>
  <c r="I36" i="11" s="1"/>
  <c r="I37" i="11" s="1"/>
  <c r="I44" i="11" s="1"/>
  <c r="I45" i="11" s="1"/>
  <c r="F26" i="14"/>
  <c r="F29" i="14" s="1"/>
  <c r="R13" i="1"/>
  <c r="I33" i="15"/>
  <c r="J18" i="8"/>
  <c r="F31" i="8"/>
  <c r="I34" i="12"/>
  <c r="I35" i="12" s="1"/>
  <c r="I36" i="12" s="1"/>
  <c r="I37" i="12" s="1"/>
  <c r="I44" i="12" s="1"/>
  <c r="I45" i="12" s="1"/>
  <c r="H34" i="15"/>
  <c r="H35" i="15" s="1"/>
  <c r="H36" i="15" s="1"/>
  <c r="H37" i="15" s="1"/>
  <c r="H44" i="15" s="1"/>
  <c r="H45" i="15" s="1"/>
  <c r="H36" i="14"/>
  <c r="H37" i="14" s="1"/>
  <c r="H44" i="14" s="1"/>
  <c r="H45" i="14" s="1"/>
  <c r="F26" i="15"/>
  <c r="F29" i="15" s="1"/>
  <c r="R12" i="1"/>
  <c r="I31" i="8"/>
  <c r="G31" i="8"/>
  <c r="H36" i="11"/>
  <c r="H37" i="11" s="1"/>
  <c r="H44" i="11" s="1"/>
  <c r="H45" i="11" s="1"/>
  <c r="H36" i="10"/>
  <c r="H37" i="10" s="1"/>
  <c r="H44" i="10" s="1"/>
  <c r="H45" i="10" s="1"/>
  <c r="E15" i="15"/>
  <c r="E15" i="14"/>
  <c r="E15" i="12"/>
  <c r="E15" i="11"/>
  <c r="G21" i="3"/>
  <c r="E15" i="10"/>
  <c r="I34" i="14"/>
  <c r="I35" i="14" s="1"/>
  <c r="I36" i="14" s="1"/>
  <c r="I37" i="14" s="1"/>
  <c r="I44" i="14" s="1"/>
  <c r="I45" i="14" s="1"/>
  <c r="H34" i="12"/>
  <c r="H35" i="12" s="1"/>
  <c r="H36" i="12" s="1"/>
  <c r="H37" i="12" s="1"/>
  <c r="H44" i="12" s="1"/>
  <c r="H45" i="12" s="1"/>
  <c r="H73" i="1"/>
  <c r="H72" i="1" s="1"/>
  <c r="W11" i="1" l="1"/>
  <c r="W16" i="1" s="1"/>
  <c r="T16" i="1"/>
  <c r="H42" i="12"/>
  <c r="H41" i="12"/>
  <c r="H40" i="12"/>
  <c r="H39" i="12"/>
  <c r="P12" i="9"/>
  <c r="R12" i="9" s="1"/>
  <c r="I42" i="11"/>
  <c r="I40" i="11"/>
  <c r="G15" i="9"/>
  <c r="I15" i="9" s="1"/>
  <c r="I41" i="11"/>
  <c r="I39" i="11"/>
  <c r="I42" i="14"/>
  <c r="I41" i="14"/>
  <c r="I40" i="14"/>
  <c r="I39" i="14"/>
  <c r="G14" i="9"/>
  <c r="I14" i="9" s="1"/>
  <c r="H42" i="15"/>
  <c r="H41" i="15"/>
  <c r="H40" i="15"/>
  <c r="H39" i="15"/>
  <c r="P13" i="9"/>
  <c r="R13" i="9" s="1"/>
  <c r="J15" i="12"/>
  <c r="J16" i="12" s="1"/>
  <c r="J30" i="12" s="1"/>
  <c r="F15" i="12"/>
  <c r="J15" i="14"/>
  <c r="J16" i="14" s="1"/>
  <c r="J30" i="14" s="1"/>
  <c r="F15" i="14"/>
  <c r="H42" i="10"/>
  <c r="H41" i="10"/>
  <c r="H40" i="10"/>
  <c r="H39" i="10"/>
  <c r="P16" i="9"/>
  <c r="R16" i="9" s="1"/>
  <c r="G18" i="8"/>
  <c r="I42" i="12"/>
  <c r="I40" i="12"/>
  <c r="I41" i="12"/>
  <c r="I39" i="12"/>
  <c r="G12" i="9"/>
  <c r="I12" i="9" s="1"/>
  <c r="F18" i="8"/>
  <c r="J19" i="8"/>
  <c r="J20" i="8" s="1"/>
  <c r="J25" i="8" s="1"/>
  <c r="J32" i="8" s="1"/>
  <c r="J33" i="8" s="1"/>
  <c r="I43" i="10"/>
  <c r="J15" i="10"/>
  <c r="J16" i="10" s="1"/>
  <c r="J30" i="10" s="1"/>
  <c r="F15" i="10"/>
  <c r="J15" i="11"/>
  <c r="J16" i="11" s="1"/>
  <c r="J30" i="11" s="1"/>
  <c r="F15" i="11"/>
  <c r="F15" i="15"/>
  <c r="J15" i="15"/>
  <c r="J16" i="15" s="1"/>
  <c r="J30" i="15" s="1"/>
  <c r="H42" i="11"/>
  <c r="H41" i="11"/>
  <c r="H40" i="11"/>
  <c r="H39" i="11"/>
  <c r="P15" i="9"/>
  <c r="R15" i="9" s="1"/>
  <c r="I18" i="8"/>
  <c r="R16" i="1"/>
  <c r="H42" i="14"/>
  <c r="H41" i="14"/>
  <c r="H40" i="14"/>
  <c r="H39" i="14"/>
  <c r="P14" i="9"/>
  <c r="R14" i="9" s="1"/>
  <c r="H19" i="8"/>
  <c r="H20" i="8" s="1"/>
  <c r="I34" i="15"/>
  <c r="I35" i="15" s="1"/>
  <c r="I36" i="15" s="1"/>
  <c r="I37" i="15" s="1"/>
  <c r="I44" i="15" s="1"/>
  <c r="I45" i="15" s="1"/>
  <c r="H43" i="11" l="1"/>
  <c r="H43" i="15"/>
  <c r="H43" i="12"/>
  <c r="I43" i="14"/>
  <c r="I43" i="11"/>
  <c r="I41" i="15"/>
  <c r="I39" i="15"/>
  <c r="I42" i="15"/>
  <c r="I40" i="15"/>
  <c r="G13" i="9"/>
  <c r="I13" i="9" s="1"/>
  <c r="J22" i="8"/>
  <c r="M16" i="9"/>
  <c r="O16" i="9" s="1"/>
  <c r="J21" i="8"/>
  <c r="J23" i="8"/>
  <c r="J24" i="8"/>
  <c r="I19" i="8"/>
  <c r="I20" i="8" s="1"/>
  <c r="J33" i="15"/>
  <c r="J34" i="15" s="1"/>
  <c r="J35" i="15" s="1"/>
  <c r="G15" i="11"/>
  <c r="G16" i="11" s="1"/>
  <c r="G30" i="11" s="1"/>
  <c r="F16" i="11"/>
  <c r="F30" i="11" s="1"/>
  <c r="G15" i="10"/>
  <c r="G16" i="10" s="1"/>
  <c r="G30" i="10" s="1"/>
  <c r="F16" i="10"/>
  <c r="F30" i="10" s="1"/>
  <c r="J33" i="14"/>
  <c r="J33" i="12"/>
  <c r="H25" i="8"/>
  <c r="H32" i="8" s="1"/>
  <c r="H33" i="8" s="1"/>
  <c r="H43" i="14"/>
  <c r="G15" i="15"/>
  <c r="G16" i="15" s="1"/>
  <c r="G30" i="15" s="1"/>
  <c r="F16" i="15"/>
  <c r="F30" i="15" s="1"/>
  <c r="J33" i="11"/>
  <c r="J33" i="10"/>
  <c r="J34" i="10"/>
  <c r="J35" i="10" s="1"/>
  <c r="F19" i="8"/>
  <c r="F20" i="8" s="1"/>
  <c r="I43" i="12"/>
  <c r="G19" i="8"/>
  <c r="G20" i="8" s="1"/>
  <c r="H43" i="10"/>
  <c r="G15" i="14"/>
  <c r="G16" i="14" s="1"/>
  <c r="G30" i="14" s="1"/>
  <c r="F16" i="14"/>
  <c r="F30" i="14" s="1"/>
  <c r="G15" i="12"/>
  <c r="G16" i="12" s="1"/>
  <c r="G30" i="12" s="1"/>
  <c r="F16" i="12"/>
  <c r="F30" i="12" s="1"/>
  <c r="R17" i="9"/>
  <c r="M16" i="1" s="1"/>
  <c r="I17" i="9" l="1"/>
  <c r="H16" i="1" s="1"/>
  <c r="G25" i="8"/>
  <c r="G32" i="8" s="1"/>
  <c r="G33" i="8" s="1"/>
  <c r="M13" i="9" s="1"/>
  <c r="O13" i="9" s="1"/>
  <c r="I25" i="8"/>
  <c r="I32" i="8" s="1"/>
  <c r="I33" i="8" s="1"/>
  <c r="I23" i="8" s="1"/>
  <c r="F33" i="12"/>
  <c r="F33" i="14"/>
  <c r="F33" i="15"/>
  <c r="F34" i="15" s="1"/>
  <c r="F35" i="15" s="1"/>
  <c r="J34" i="14"/>
  <c r="J35" i="14" s="1"/>
  <c r="J36" i="14" s="1"/>
  <c r="J37" i="14" s="1"/>
  <c r="J44" i="14" s="1"/>
  <c r="J45" i="14" s="1"/>
  <c r="G33" i="10"/>
  <c r="G33" i="11"/>
  <c r="G34" i="11" s="1"/>
  <c r="G35" i="11" s="1"/>
  <c r="I43" i="15"/>
  <c r="G33" i="12"/>
  <c r="G33" i="14"/>
  <c r="G34" i="14" s="1"/>
  <c r="G35" i="14" s="1"/>
  <c r="F25" i="8"/>
  <c r="F32" i="8" s="1"/>
  <c r="F33" i="8" s="1"/>
  <c r="J36" i="10"/>
  <c r="J37" i="10" s="1"/>
  <c r="J44" i="10" s="1"/>
  <c r="J45" i="10" s="1"/>
  <c r="J34" i="11"/>
  <c r="J35" i="11" s="1"/>
  <c r="J36" i="11" s="1"/>
  <c r="J37" i="11" s="1"/>
  <c r="J44" i="11" s="1"/>
  <c r="J45" i="11" s="1"/>
  <c r="G33" i="15"/>
  <c r="M14" i="9"/>
  <c r="O14" i="9" s="1"/>
  <c r="H22" i="8"/>
  <c r="H21" i="8"/>
  <c r="H23" i="8"/>
  <c r="H24" i="8"/>
  <c r="J34" i="12"/>
  <c r="J35" i="12" s="1"/>
  <c r="J36" i="12" s="1"/>
  <c r="J37" i="12" s="1"/>
  <c r="J44" i="12" s="1"/>
  <c r="J45" i="12" s="1"/>
  <c r="F33" i="10"/>
  <c r="F33" i="11"/>
  <c r="F34" i="11" s="1"/>
  <c r="F35" i="11" s="1"/>
  <c r="J36" i="15"/>
  <c r="J37" i="15" s="1"/>
  <c r="J44" i="15" s="1"/>
  <c r="J45" i="15" s="1"/>
  <c r="G23" i="8" l="1"/>
  <c r="G21" i="8"/>
  <c r="G22" i="8"/>
  <c r="I24" i="8"/>
  <c r="I22" i="8"/>
  <c r="G24" i="8"/>
  <c r="M15" i="9"/>
  <c r="O15" i="9" s="1"/>
  <c r="I21" i="8"/>
  <c r="J42" i="12"/>
  <c r="J41" i="12"/>
  <c r="J40" i="12"/>
  <c r="J39" i="12"/>
  <c r="J42" i="15"/>
  <c r="J41" i="15"/>
  <c r="J40" i="15"/>
  <c r="J39" i="15"/>
  <c r="J42" i="10"/>
  <c r="J41" i="10"/>
  <c r="J40" i="10"/>
  <c r="J39" i="10"/>
  <c r="J46" i="14"/>
  <c r="T13" i="9" s="1"/>
  <c r="J42" i="14"/>
  <c r="J41" i="14"/>
  <c r="J40" i="14"/>
  <c r="J39" i="14"/>
  <c r="J42" i="11"/>
  <c r="J41" i="11"/>
  <c r="J40" i="11"/>
  <c r="J39" i="11"/>
  <c r="F34" i="14"/>
  <c r="F35" i="14" s="1"/>
  <c r="F36" i="14" s="1"/>
  <c r="F37" i="14" s="1"/>
  <c r="F44" i="14" s="1"/>
  <c r="F45" i="14" s="1"/>
  <c r="F36" i="11"/>
  <c r="F37" i="11" s="1"/>
  <c r="F44" i="11" s="1"/>
  <c r="F45" i="11" s="1"/>
  <c r="F34" i="10"/>
  <c r="F35" i="10" s="1"/>
  <c r="F36" i="10" s="1"/>
  <c r="F37" i="10" s="1"/>
  <c r="F44" i="10" s="1"/>
  <c r="F45" i="10" s="1"/>
  <c r="G34" i="15"/>
  <c r="G35" i="15" s="1"/>
  <c r="G36" i="15" s="1"/>
  <c r="G37" i="15" s="1"/>
  <c r="G44" i="15" s="1"/>
  <c r="G45" i="15" s="1"/>
  <c r="F22" i="8"/>
  <c r="F23" i="8"/>
  <c r="M12" i="9"/>
  <c r="F24" i="8"/>
  <c r="F21" i="8"/>
  <c r="G36" i="14"/>
  <c r="G37" i="14" s="1"/>
  <c r="G44" i="14" s="1"/>
  <c r="G45" i="14" s="1"/>
  <c r="G34" i="12"/>
  <c r="G35" i="12" s="1"/>
  <c r="G36" i="12" s="1"/>
  <c r="G37" i="12" s="1"/>
  <c r="G44" i="12" s="1"/>
  <c r="G45" i="12" s="1"/>
  <c r="G36" i="11"/>
  <c r="G37" i="11" s="1"/>
  <c r="G44" i="11" s="1"/>
  <c r="G45" i="11" s="1"/>
  <c r="G34" i="10"/>
  <c r="G35" i="10" s="1"/>
  <c r="G36" i="10" s="1"/>
  <c r="G37" i="10" s="1"/>
  <c r="G44" i="10" s="1"/>
  <c r="G45" i="10" s="1"/>
  <c r="F36" i="15"/>
  <c r="F37" i="15" s="1"/>
  <c r="F44" i="15" s="1"/>
  <c r="F45" i="15" s="1"/>
  <c r="F34" i="12"/>
  <c r="F35" i="12" s="1"/>
  <c r="F36" i="12" s="1"/>
  <c r="F37" i="12" s="1"/>
  <c r="F44" i="12" s="1"/>
  <c r="F45" i="12" s="1"/>
  <c r="J43" i="12" l="1"/>
  <c r="J43" i="14"/>
  <c r="J43" i="15"/>
  <c r="F42" i="10"/>
  <c r="F41" i="10"/>
  <c r="F40" i="10"/>
  <c r="F39" i="10"/>
  <c r="F46" i="10"/>
  <c r="E16" i="9"/>
  <c r="F16" i="9" s="1"/>
  <c r="G46" i="10"/>
  <c r="G42" i="10"/>
  <c r="G40" i="10"/>
  <c r="J16" i="9"/>
  <c r="L16" i="9" s="1"/>
  <c r="S16" i="9" s="1"/>
  <c r="O15" i="1" s="1"/>
  <c r="G41" i="10"/>
  <c r="G39" i="10"/>
  <c r="G46" i="11"/>
  <c r="G41" i="11"/>
  <c r="G39" i="11"/>
  <c r="G42" i="11"/>
  <c r="G40" i="11"/>
  <c r="J15" i="9"/>
  <c r="L15" i="9" s="1"/>
  <c r="S15" i="9" s="1"/>
  <c r="O14" i="1" s="1"/>
  <c r="G46" i="12"/>
  <c r="G41" i="12"/>
  <c r="G39" i="12"/>
  <c r="G42" i="12"/>
  <c r="G40" i="12"/>
  <c r="J12" i="9"/>
  <c r="M17" i="9"/>
  <c r="O12" i="9"/>
  <c r="O17" i="9" s="1"/>
  <c r="L16" i="1" s="1"/>
  <c r="G46" i="15"/>
  <c r="G42" i="15"/>
  <c r="G40" i="15"/>
  <c r="G41" i="15"/>
  <c r="G39" i="15"/>
  <c r="J13" i="9"/>
  <c r="L13" i="9" s="1"/>
  <c r="S13" i="9" s="1"/>
  <c r="O12" i="1" s="1"/>
  <c r="F42" i="12"/>
  <c r="F41" i="12"/>
  <c r="F40" i="12"/>
  <c r="F39" i="12"/>
  <c r="F46" i="12"/>
  <c r="E12" i="9"/>
  <c r="F12" i="9" s="1"/>
  <c r="F46" i="14"/>
  <c r="F42" i="14"/>
  <c r="F41" i="14"/>
  <c r="F40" i="14"/>
  <c r="F39" i="14"/>
  <c r="E14" i="9"/>
  <c r="F14" i="9" s="1"/>
  <c r="V13" i="9"/>
  <c r="A21" i="9"/>
  <c r="F42" i="15"/>
  <c r="F41" i="15"/>
  <c r="F40" i="15"/>
  <c r="F39" i="15"/>
  <c r="F46" i="15"/>
  <c r="E13" i="9"/>
  <c r="F13" i="9" s="1"/>
  <c r="G42" i="14"/>
  <c r="G41" i="14"/>
  <c r="G40" i="14"/>
  <c r="G39" i="14"/>
  <c r="G46" i="14"/>
  <c r="J14" i="9"/>
  <c r="L14" i="9" s="1"/>
  <c r="S14" i="9" s="1"/>
  <c r="O13" i="1" s="1"/>
  <c r="F42" i="11"/>
  <c r="F41" i="11"/>
  <c r="F40" i="11"/>
  <c r="F39" i="11"/>
  <c r="E15" i="9"/>
  <c r="F15" i="9" s="1"/>
  <c r="F46" i="11"/>
  <c r="J43" i="11"/>
  <c r="J43" i="10"/>
  <c r="F43" i="10" l="1"/>
  <c r="W13" i="9"/>
  <c r="Q12" i="1" s="1"/>
  <c r="G43" i="14"/>
  <c r="W15" i="9"/>
  <c r="Q14" i="1" s="1"/>
  <c r="V14" i="1" s="1"/>
  <c r="F43" i="12"/>
  <c r="G43" i="10"/>
  <c r="F43" i="11"/>
  <c r="F43" i="15"/>
  <c r="W14" i="9"/>
  <c r="Q13" i="1" s="1"/>
  <c r="F17" i="9"/>
  <c r="L12" i="9"/>
  <c r="J17" i="9"/>
  <c r="W16" i="9"/>
  <c r="Q15" i="1" s="1"/>
  <c r="V15" i="1" s="1"/>
  <c r="V17" i="9"/>
  <c r="P13" i="1"/>
  <c r="F43" i="14"/>
  <c r="G43" i="15"/>
  <c r="G43" i="12"/>
  <c r="G43" i="11"/>
  <c r="V12" i="1" l="1"/>
  <c r="L17" i="9"/>
  <c r="K16" i="1" s="1"/>
  <c r="O16" i="1" s="1"/>
  <c r="S12" i="9"/>
  <c r="P16" i="1"/>
  <c r="N16" i="1"/>
  <c r="S17" i="9" l="1"/>
  <c r="O11" i="1"/>
  <c r="W12" i="9"/>
  <c r="W17" i="9" l="1"/>
  <c r="W19" i="9" s="1"/>
  <c r="Q11" i="1"/>
  <c r="V11" i="1" l="1"/>
  <c r="V16" i="1" s="1"/>
  <c r="Q16" i="1"/>
</calcChain>
</file>

<file path=xl/sharedStrings.xml><?xml version="1.0" encoding="utf-8"?>
<sst xmlns="http://schemas.openxmlformats.org/spreadsheetml/2006/main" count="1342" uniqueCount="649">
  <si>
    <t xml:space="preserve">OCORRÊNCIAS MENSAIS DO FATURAMENTO </t>
  </si>
  <si>
    <t>UTILIZAÇÃO DO GESTOR CONTRATUAL PARA REALIZAÇÃO DO FATURAMENTO MENSAL</t>
  </si>
  <si>
    <t>DEFINIR VERSÃO DE APRESENTAÇÃO:</t>
  </si>
  <si>
    <t>PLANILHA PARA LICITAÇÃO (PRECIFICAÇÃO)</t>
  </si>
  <si>
    <t>DEFINIR BASE DE DESCONTOS/GLOSAS:</t>
  </si>
  <si>
    <t>MÊS CONTÁBIL</t>
  </si>
  <si>
    <r>
      <rPr>
        <b/>
        <sz val="10"/>
        <rFont val="Calibri"/>
        <family val="2"/>
        <charset val="1"/>
      </rPr>
      <t xml:space="preserve">INSTRUÇÕES DE PREENCHIMENTO
UTILIZAÇÃO EXCLUSIVA FISCAL/GESTOR
PARA AUXILIAR NO VALOR DE FATURAMENTO
Preencher as células destacadas na cor </t>
    </r>
    <r>
      <rPr>
        <b/>
        <sz val="10"/>
        <color rgb="FFFF0000"/>
        <rFont val="Calibri"/>
        <family val="2"/>
        <charset val="1"/>
      </rPr>
      <t>vermelha</t>
    </r>
    <r>
      <rPr>
        <b/>
        <sz val="10"/>
        <rFont val="Calibri"/>
        <family val="2"/>
        <charset val="1"/>
      </rPr>
      <t xml:space="preserve"> para realização dos cálculos das demais abas.
Não é necessário preenchimento de outras abas.</t>
    </r>
  </si>
  <si>
    <t>Informar número de Postos que não utilizam V.T.
(Coluna "D")</t>
  </si>
  <si>
    <t>Informar se titular do posto é optante pelo recebimento de V.T.
(Coluna "E")</t>
  </si>
  <si>
    <t>Desconto automático de V.T.
(Coluna "F")</t>
  </si>
  <si>
    <t>Preencher o número de dias (corridos) que o terceirizado que não recebe vt ficou afastado por férias ou faltas
(Coluna "G")</t>
  </si>
  <si>
    <t>Preencher nº de dias úteis em que o optante de V.T realizou trabalho em Home Office OU dias de Recesso Forense / Ponto facultativo
(Coluna "H")</t>
  </si>
  <si>
    <t>Conversão das horas de ausência em dias de ausência
(Coluna "I")</t>
  </si>
  <si>
    <t>Conversão das horas de ausência em dias de ausência
(Coluna "J")</t>
  </si>
  <si>
    <t>Nº dias de faltas comuns sem substituição.
(Coluna "K")</t>
  </si>
  <si>
    <t>Informar número de dias por férias no mês (dias)
(Coluna "L")</t>
  </si>
  <si>
    <t>Desconto de V.A. por dias de recesso forense e/ou ponto facultativo.
(Coluna "M")</t>
  </si>
  <si>
    <t>Nº de dias corridos de férias sem substituição quando o adicional de insalubridade é passado para outra servente do quadro.
(Coluna "N")</t>
  </si>
  <si>
    <t>Somatório de glosas.
(Coluna "O")</t>
  </si>
  <si>
    <t>Somatório de acrésimo por substituição do posto insalubre por outro profissional do quadro.
(Coluna "P")</t>
  </si>
  <si>
    <t>Informativo sobre valor faturado por tipo de função.
(Coluna "Q")</t>
  </si>
  <si>
    <t>Valores correspondentes ao fornecimento de materiais e epis.
(incluindo impostos)
(Coluna "R")</t>
  </si>
  <si>
    <t>Informar código de elemento de despesa
(Coluna "S")</t>
  </si>
  <si>
    <t>INFORMATIVO PARA GESTÃO CONTRATUAL</t>
  </si>
  <si>
    <t>Quant</t>
  </si>
  <si>
    <t>Descrição das Categorias</t>
  </si>
  <si>
    <t>Carga Horária (horas)</t>
  </si>
  <si>
    <t>Nº Postos não optantes pelo recebimento de V.T.</t>
  </si>
  <si>
    <t>Realizar glosa por não fornecimento de V.T.?</t>
  </si>
  <si>
    <t>Dias de
Glosa V.T.
Para Não Optantes</t>
  </si>
  <si>
    <t>Ajuste de V.T para fornecimento para
postos Não Optantes</t>
  </si>
  <si>
    <t>Dias de Home Office OU Recesso para os postos Optantes de V.T.</t>
  </si>
  <si>
    <t>Dias de faltas após conversão das horas
(planilha auxiliar)</t>
  </si>
  <si>
    <t>Quant. Atrasos e Faltas</t>
  </si>
  <si>
    <t>Dias de Férias</t>
  </si>
  <si>
    <t>Dias de Glosas de V.A no Mês</t>
  </si>
  <si>
    <t>*1 Dias de Deslocamento de Insalubridade</t>
  </si>
  <si>
    <t>VALOR TOTAL GLOSADO</t>
  </si>
  <si>
    <t>VALOR TOTAL ACRESCIDO</t>
  </si>
  <si>
    <t>Valor Mensal 
Faturado com aplicação de descontos</t>
  </si>
  <si>
    <t>VALOR TOTAL INSUMOS FORNECIDOS NO MÊS.</t>
  </si>
  <si>
    <t xml:space="preserve">Elemento de Despesa </t>
  </si>
  <si>
    <t>VALOR DE RETENÇÃO CONTA VINCULADA</t>
  </si>
  <si>
    <t>CÓDIGOS ELEMENTO DE DESPESA</t>
  </si>
  <si>
    <t>FATURAMENTO MENSAL</t>
  </si>
  <si>
    <t>RETENÇÃO 
GLOSA CONTA VINCULADA
(VERIFICAR NECESSIDADE)</t>
  </si>
  <si>
    <t>SIM</t>
  </si>
  <si>
    <t>ELEMENTO 1</t>
  </si>
  <si>
    <t>ELEMENTO 2</t>
  </si>
  <si>
    <t>ELEMENTO 4</t>
  </si>
  <si>
    <t>ELEMENTO 5</t>
  </si>
  <si>
    <t>VALOR TOTAL GLOSADOS</t>
  </si>
  <si>
    <t>OBSERVAÇÕES:</t>
  </si>
  <si>
    <t>1. Para apoio ao lançamento de ausências de horas, sugere-se a utilização da planilha complementar abaixo. O preenchimento das horas convertidas deve ocorrer na Coluna "I".</t>
  </si>
  <si>
    <t>Planilha auxiliar para conversão de horas de ausências em dias de faltas. (preenchimento coluna "I")</t>
  </si>
  <si>
    <t>Jornada</t>
  </si>
  <si>
    <t>Total de Horas</t>
  </si>
  <si>
    <t>Total de Minutos</t>
  </si>
  <si>
    <t>Conversão em Dias</t>
  </si>
  <si>
    <t>Obs: Informar a jornada de trabalho do posto analisado. Em sequência, informar as horas completas faltantes e posteriormente os minutos. Ex: 10:25h faltantes - Lançar 10 na célula "D20" e lançar 25 na célula "E20".
Lançar o resultado convertido na coluna "H".</t>
  </si>
  <si>
    <t>2. Na célula “N18” deverá ser informado a quantidade de dias em que o trabalho insalubre foi realizado por outra servente do quadro, durante as férias da Servente de Limpeza 40% insalubre - titular.</t>
  </si>
  <si>
    <t>ITEM</t>
  </si>
  <si>
    <t>DESCRIÇÃO DO MATERIAL DE IMPEZA
SERVENTES DE LIMPEZA</t>
  </si>
  <si>
    <t>GASTO MENSAL</t>
  </si>
  <si>
    <r>
      <rPr>
        <b/>
        <u/>
        <sz val="10"/>
        <rFont val="Calibri"/>
        <family val="2"/>
        <charset val="1"/>
      </rPr>
      <t xml:space="preserve">ANÁLISE CRÍTICA </t>
    </r>
    <r>
      <rPr>
        <b/>
        <sz val="10"/>
        <rFont val="Calibri"/>
        <family val="2"/>
        <charset val="1"/>
      </rPr>
      <t>SOBRE O FORNECIMENTO DOS MATERIAIS
ESTIMATIVA MENSAL x FORNECIMENTO EFETIVO
(INFORMAÇÃO COMO PARÂMETRO DE INDICATIVO)</t>
    </r>
  </si>
  <si>
    <t>REFERÊNCIA MENSAL PARA FORNECIMENTO</t>
  </si>
  <si>
    <t>Material</t>
  </si>
  <si>
    <t>Unid.</t>
  </si>
  <si>
    <t>Marcas de Referência</t>
  </si>
  <si>
    <t>QNTDE "REAL" FORNECIDA
NO MÊS</t>
  </si>
  <si>
    <t>Custo Mensal</t>
  </si>
  <si>
    <t>Quantidade Mensal</t>
  </si>
  <si>
    <t>Quantidade Total</t>
  </si>
  <si>
    <t>Periodicidade</t>
  </si>
  <si>
    <t>Divisor</t>
  </si>
  <si>
    <t>Absorvente de Umidade Antimofo</t>
  </si>
  <si>
    <t>unid.</t>
  </si>
  <si>
    <t>Álcool 70%, litro</t>
  </si>
  <si>
    <t>Álcool Gel Etílico Hidratado (para mãos), litro</t>
  </si>
  <si>
    <t>Balde de 8 litros</t>
  </si>
  <si>
    <t>Balde de 20 litros</t>
  </si>
  <si>
    <t>Cera líquida incolor ou similar, litro</t>
  </si>
  <si>
    <t>Limpador Clorado Concentrado, 5 litros</t>
  </si>
  <si>
    <t>Desinfetante floral concentrado ou similar, litro</t>
  </si>
  <si>
    <t>Desodorizador neutralizador de odor, lavanda aerosol, 360ml</t>
  </si>
  <si>
    <t>galão</t>
  </si>
  <si>
    <t>Detergente líquido neutro, 500 ml</t>
  </si>
  <si>
    <t>Escova plástica para lavar roupas</t>
  </si>
  <si>
    <t>Esponja dupla face, pacote com 05 unidades</t>
  </si>
  <si>
    <t>Filtro de pano para aspirador</t>
  </si>
  <si>
    <t>Flanela laranja 38 x 58 cm</t>
  </si>
  <si>
    <t>Flanela branca 38 x 58 cm</t>
  </si>
  <si>
    <t>Fita adesiva para vaso sanitário, caixa com 03 unidades</t>
  </si>
  <si>
    <t>Lã de aço, pacote com 08 unidades</t>
  </si>
  <si>
    <t>Limpa alumínio, 500ml</t>
  </si>
  <si>
    <t>Limpa pedra, 5 litros</t>
  </si>
  <si>
    <t>Limpa vidros, 500 ml</t>
  </si>
  <si>
    <t>Lustra móveis, 200 ml</t>
  </si>
  <si>
    <t>pacote</t>
  </si>
  <si>
    <t>Luvas látex tamanho G, caixa com 100</t>
  </si>
  <si>
    <t>Luvas látex tamanho M, caixa com 100</t>
  </si>
  <si>
    <t>Máscara de pó</t>
  </si>
  <si>
    <t>Pá para lixo, de metal, cabo de 60 cm</t>
  </si>
  <si>
    <t>Papel higiênico folha dupla, branco, 30m</t>
  </si>
  <si>
    <t>par</t>
  </si>
  <si>
    <t>Papel toalha interfolha 22 x 20,7, caixa com 1000 fls. de 1ª Qual. Economy</t>
  </si>
  <si>
    <t>Rodo de plástico, 40 cm</t>
  </si>
  <si>
    <t>Rodo de metal, 55 cm</t>
  </si>
  <si>
    <t>Sabão em barra, pacote com 05 unidades</t>
  </si>
  <si>
    <t>fardo</t>
  </si>
  <si>
    <t>Sabão em pó, 1 kg</t>
  </si>
  <si>
    <t>rolo</t>
  </si>
  <si>
    <t>Sabonete líquido erva doce, 5 litros</t>
  </si>
  <si>
    <t>Sabonete Líquido erva doce, refil 800 ml</t>
  </si>
  <si>
    <t>Saco de algodão cru, 60x80</t>
  </si>
  <si>
    <t>Saco de lixo de 15l, pacote com 100 unidades</t>
  </si>
  <si>
    <t>Saco de lixo de 100l, pacote com 100 unidades</t>
  </si>
  <si>
    <t>Solução de limpeza multiuso (Veja), 500 ml</t>
  </si>
  <si>
    <t>litro</t>
  </si>
  <si>
    <t>Vassoura de pelo, 40 cm</t>
  </si>
  <si>
    <t>Vassoura limpa teto</t>
  </si>
  <si>
    <t>Vassoura piaçava</t>
  </si>
  <si>
    <t>Vassoura redonda para vaso sanitário, com suporte</t>
  </si>
  <si>
    <t>Vinagre de álcool, 750 ml</t>
  </si>
  <si>
    <t>DESPESA MENSAL</t>
  </si>
  <si>
    <t>TAXA ADMINISTRATIVA</t>
  </si>
  <si>
    <t>LUCRO</t>
  </si>
  <si>
    <t>TRIBUTOS</t>
  </si>
  <si>
    <t>VALOR TOTAL COM MATERIAIS DE LIMPEZA</t>
  </si>
  <si>
    <t>MATERIAIS DE LIMPEZA DE COPA</t>
  </si>
  <si>
    <t>Coador de pano para café</t>
  </si>
  <si>
    <t>Coador de pano para café, diâmetro 20cm - (cafeteira elétrica de 20l)</t>
  </si>
  <si>
    <t>Guardanapo papel fl. Simples branco, grande, 33X30, ou similar</t>
  </si>
  <si>
    <t>Luvas de vinil descartável, com talco, caixa com 100 unidades</t>
  </si>
  <si>
    <t>Pano de prato branco liso</t>
  </si>
  <si>
    <t>Touca descartável, caixa com 100 unidades</t>
  </si>
  <si>
    <t>VALOR TOTAL COM MATERIAIS DE COPA</t>
  </si>
  <si>
    <t>LISTA PARA OPÇÕES DE GLOSAS</t>
  </si>
  <si>
    <t>DIAS ÚTEIS (CONTRATO)</t>
  </si>
  <si>
    <t>Obs: Desconto por dias definidos em contrato.</t>
  </si>
  <si>
    <t>Obs: Desconto atualmente aplicado (30 dias corridos).</t>
  </si>
  <si>
    <t>DIAS DO MÊS VIGENTE</t>
  </si>
  <si>
    <t>Informar</t>
  </si>
  <si>
    <t>Obs: Desconto por dias úteis mensais, ocorrência variável, devendo ser informado mensalmente.</t>
  </si>
  <si>
    <t>JORNADA DE TRABALHO</t>
  </si>
  <si>
    <t>DIVISOR DE HORAS</t>
  </si>
  <si>
    <t>LISTA PARA TOTAL DE POSTOS</t>
  </si>
  <si>
    <t>Tribunal Regional Federal da 6ª Região</t>
  </si>
  <si>
    <t>Seção Judiciária de Minas Gerais</t>
  </si>
  <si>
    <t>Subseção Judiciária de Pouso Alegre</t>
  </si>
  <si>
    <t>INSTRUÇÕES DE PREENCHIMENTO - ANEXO X - PLANILHAS DE COMPOSIÇÃO DE CUSTOS</t>
  </si>
  <si>
    <t>1.</t>
  </si>
  <si>
    <t>SOMENTE SERÃO ACEITAS MODIFICAÇÕES NAS CÉLULAS DESTACADAS NA COR AMARELA COMO NO EXEMPLO ABAIXO:</t>
  </si>
  <si>
    <t>Células de livre edição.</t>
  </si>
  <si>
    <t>2.</t>
  </si>
  <si>
    <r>
      <rPr>
        <sz val="10"/>
        <rFont val="Calibri"/>
        <family val="2"/>
        <charset val="1"/>
      </rPr>
      <t xml:space="preserve">As demais células estarão </t>
    </r>
    <r>
      <rPr>
        <b/>
        <sz val="10"/>
        <rFont val="Calibri"/>
        <family val="2"/>
        <charset val="1"/>
      </rPr>
      <t>bloqueadas</t>
    </r>
    <r>
      <rPr>
        <sz val="10"/>
        <rFont val="Calibri"/>
        <family val="2"/>
        <charset val="1"/>
      </rPr>
      <t xml:space="preserve"> para edição das licitantes.</t>
    </r>
  </si>
  <si>
    <t>3.</t>
  </si>
  <si>
    <t>As Abas necessárias para o preenchimento estão organizadas em uma sequência lógica, sendo Dados; Encargos; Materiais (limpeza, copa, etc.); Equipamentos; Uniforme.</t>
  </si>
  <si>
    <t>Os nomes das abas estarão abreviados para otimização da planilha.</t>
  </si>
  <si>
    <r>
      <rPr>
        <b/>
        <sz val="10"/>
        <rFont val="Calibri"/>
        <family val="2"/>
        <charset val="1"/>
      </rPr>
      <t xml:space="preserve">Sugere-se o preenchimento das seguintes abas em sequência: </t>
    </r>
    <r>
      <rPr>
        <sz val="10"/>
        <rFont val="Calibri"/>
        <family val="2"/>
        <charset val="1"/>
      </rPr>
      <t>Dados, Encargos, Materiais, EPI, Equipamentos e Uniforme, para a realização de cálculos completa da planilha de composição de custos.</t>
    </r>
  </si>
  <si>
    <t>3.1</t>
  </si>
  <si>
    <t>Estas Abas estarão destacadas na Cor Amarela.</t>
  </si>
  <si>
    <t>3.2</t>
  </si>
  <si>
    <t>PREENCHIMENTO ABA "DADOS"</t>
  </si>
  <si>
    <t xml:space="preserve"> - Informar piso salarial de cada categoria, correspondente à jornada de 220h. (Células "E7":"E11").</t>
  </si>
  <si>
    <t xml:space="preserve"> - Informar os Dados da Apresentação da Proposta e relacionados à Convenção Coletiva de Trabalho. Tais informações não interferem na execução de cálculos, servem apenas para instruir o processo da análise da proposta. (Células "E14:E18").</t>
  </si>
  <si>
    <t xml:space="preserve"> - Informar o percentual correspondente ao RAT, conforme atividade principal da licitante. (Célula "G24").</t>
  </si>
  <si>
    <t xml:space="preserve"> - Informar o fator correspondente ao FAP, conforme extraído do relatório FapWeb. (Célula "G25").</t>
  </si>
  <si>
    <t xml:space="preserve"> - Informar o valor do salário mínimo nacional vigente (base de cálculo para a cotação de insalubridade). (Célula "G28").</t>
  </si>
  <si>
    <t xml:space="preserve"> - Informar o valor unitário do Seguro de Vida, nos casos exigidos, conforme legislação vigente. (Célula "G31").</t>
  </si>
  <si>
    <t xml:space="preserve"> - Informar o valor unitário do Assistência Odontológica, nos casos exigidos, conforme legislação vigente. (Célula "G32").</t>
  </si>
  <si>
    <t xml:space="preserve"> - Informar o valor unitário da tarifa de transporte público vigente à data de apresentação da proposta, conforme legislação vigente. (Célula "G33").</t>
  </si>
  <si>
    <t xml:space="preserve"> - Informar o quantitativo unitário diário de tarifas de transporte público (ex.: 1 tarifa para ida e 1 tarifa para volta = Total de 2 tarifas). (Célula "G34").</t>
  </si>
  <si>
    <t xml:space="preserve"> - Informar o percentual de desconto à título de participação do trabalhador em relação ao fornecimento de vale transporte, nos casos exigidos, conforme legislação vigente. (Célula "G36").</t>
  </si>
  <si>
    <t xml:space="preserve"> - Informar o valor unitário do ticket de Vale Alimentação, nos casos exigidos, conforme legislação vigente. (Célula "G37 e G38").</t>
  </si>
  <si>
    <t xml:space="preserve"> - Informar o percentual de desconto à título de participação do trabalhador em relação ao fornecimento de Vale Alimentação, nos casos exigidos, conforme legislação vigente. (Célula "G40").</t>
  </si>
  <si>
    <t xml:space="preserve"> - Incluir outros custos não previstos previamente, bem como descrevê-los, em caso de previsão legal, devendo ser apresentadas justificativas para a inserção. (Células "B41" e "G41").</t>
  </si>
  <si>
    <t xml:space="preserve"> - Incluir outros custos não previstos previamente, bem como descrevê-los, em caso de previsão legal, devendo ser apresentadas justificativas para a inserção. (Células "B42" e "G42").</t>
  </si>
  <si>
    <t xml:space="preserve"> - Informar o percentual relativo às Despesas Administrativas da licitante. (Células "G45").</t>
  </si>
  <si>
    <t xml:space="preserve"> - Informar o percentual relativo ao Lucro da licitante. (Células "G46").</t>
  </si>
  <si>
    <t xml:space="preserve"> - Informar a opção tributária da licitante (Células "F52") conforme legislação vigente, OBSERVANDO as instruções contantes na Célula "B49".</t>
  </si>
  <si>
    <t xml:space="preserve"> - Informar o percentual da alíquota COFINS (Células "G53") conforme legislação vigente, OBSERVANDO as instruções contantes na Célula "B49".</t>
  </si>
  <si>
    <t xml:space="preserve"> - Informar o percentual da alíquota PIS/PASEP (Células "G54") conforme legislação vigente, OBSERVANDO as instruções contantes na Célula "B49".</t>
  </si>
  <si>
    <t xml:space="preserve"> - Informar o percentual da alíquota ISSQN (Células "G55") conforme legislação vigente, OBSERVANDO as instruções contantes na Célula "B49".</t>
  </si>
  <si>
    <t xml:space="preserve"> - Incluir outros impostos não inseridos previamente, bem como descrevê-los, em caso de previsão legal, devendo ser apresentadas justificativas para a inserção. (Células "B56" e "G56").</t>
  </si>
  <si>
    <t xml:space="preserve"> - Alterar SOMENTE aqueles destacados na COR AMARELA.</t>
  </si>
  <si>
    <t>3.3</t>
  </si>
  <si>
    <t>PREENCHIMENTO ABA "ENCARGOS"</t>
  </si>
  <si>
    <t xml:space="preserve"> - Informar os percentuais de encargos nas células destacadas em amarelo dispostas na "Coluna C", de acordo com sua descrição "Coluna B".</t>
  </si>
  <si>
    <t xml:space="preserve"> - Atentar-se às observações continuadas ao final do quadro de encargos (Célula "B59"), com as demais instruções cabíveis aos percentuais dispostos nesta Aba.</t>
  </si>
  <si>
    <t>3.4</t>
  </si>
  <si>
    <t>PREENCHIMENTO ABA "MATERIAIS"</t>
  </si>
  <si>
    <t xml:space="preserve"> - Informar os valores unitários de cada item nas células destacadas em amarelo dispostas na "Coluna F", de acordo com sua descrição "Colunas B:E".</t>
  </si>
  <si>
    <t xml:space="preserve"> - Atentar-se para o preenchimento de todos os quadros dispostos nesta Aba, sendo:</t>
  </si>
  <si>
    <t xml:space="preserve"> - Materiais de Limpeza (Células "F9:F50")</t>
  </si>
  <si>
    <t>- Materiais de Copa (Células "F57:F62")</t>
  </si>
  <si>
    <t xml:space="preserve"> - O preenchimento das células da Coluna "H" está permitida somente para inserção de Observações, caso necessário.</t>
  </si>
  <si>
    <t>3.6</t>
  </si>
  <si>
    <t>PREENCHIMENTO ABA "EQUIPAMENTOS"</t>
  </si>
  <si>
    <t xml:space="preserve"> - Informar os valores unitários de cada item nas células destacadas em amarelo dispostas na "Coluna D", de acordo com sua descrição "Colunas B:C".</t>
  </si>
  <si>
    <t>3.7</t>
  </si>
  <si>
    <t>PREENCHIMENTO ABA "UNIFORMES"</t>
  </si>
  <si>
    <t xml:space="preserve"> - Informar os valores unitários de cada peça de uniforme nas células destacadas em amarelo dispostas na "Coluna G", de acordo com sua descrição "Colunas B:F".</t>
  </si>
  <si>
    <t xml:space="preserve"> - Atentar-se às descrições complementares dispostas na ABA "Especificações" que visam melhor entendimento dos itens de uniforme solicitados.</t>
  </si>
  <si>
    <t xml:space="preserve"> - Atentar-se às observações adicionais dispostas na ABA "Especificações", ao final do quadro com o detalhamento dos uniformes. (OBSERVAÇÕES)</t>
  </si>
  <si>
    <t>4.</t>
  </si>
  <si>
    <r>
      <rPr>
        <sz val="10"/>
        <rFont val="Calibri"/>
        <family val="2"/>
        <charset val="1"/>
      </rPr>
      <t xml:space="preserve">Destaca-se que após o preenchimento destas Abas (de acordo com as instruções contidas no item 3), os preços individuais das </t>
    </r>
    <r>
      <rPr>
        <b/>
        <sz val="10"/>
        <rFont val="Calibri"/>
        <family val="2"/>
        <charset val="1"/>
      </rPr>
      <t>categorias</t>
    </r>
    <r>
      <rPr>
        <sz val="10"/>
        <rFont val="Calibri"/>
        <family val="2"/>
        <charset val="1"/>
      </rPr>
      <t xml:space="preserve"> profissionais serão refletidos automaticamente para as suas abas correspondentes (Serv Ins, Serv, Copeira, Zel ac. e Aux).</t>
    </r>
  </si>
  <si>
    <t>4.1</t>
  </si>
  <si>
    <r>
      <rPr>
        <b/>
        <sz val="10"/>
        <rFont val="Calibri"/>
        <family val="2"/>
        <charset val="1"/>
      </rPr>
      <t>Não será necessário realizar nenhuma alteração nas abas contendo o detalhamento de custos de cada categoria profissional.</t>
    </r>
    <r>
      <rPr>
        <sz val="10"/>
        <rFont val="Calibri"/>
        <family val="2"/>
        <charset val="1"/>
      </rPr>
      <t xml:space="preserve"> Estas abas conterão apenas o reflexo dos dados preenchidos nas abas anteriores (conforme explicação nº 3).</t>
    </r>
  </si>
  <si>
    <t>4.2</t>
  </si>
  <si>
    <t>Estas abas estão destacadas na Cor Cinza.</t>
  </si>
  <si>
    <t>5.</t>
  </si>
  <si>
    <r>
      <rPr>
        <sz val="10"/>
        <rFont val="Calibri"/>
        <family val="2"/>
        <charset val="1"/>
      </rPr>
      <t>A Aba "</t>
    </r>
    <r>
      <rPr>
        <b/>
        <sz val="10"/>
        <rFont val="Calibri"/>
        <family val="2"/>
        <charset val="1"/>
      </rPr>
      <t>Resumo</t>
    </r>
    <r>
      <rPr>
        <sz val="10"/>
        <rFont val="Calibri"/>
        <family val="2"/>
        <charset val="1"/>
      </rPr>
      <t>" contém o detalhamento dos custos unitários por categoria profissional, além de conter o preço final da proposta.</t>
    </r>
  </si>
  <si>
    <t>5.1</t>
  </si>
  <si>
    <r>
      <t xml:space="preserve">Para efeitos de lance/oferta, as licitantes devem considerar o valor da célula "W17", da Aba "Resumo", correspondente ao </t>
    </r>
    <r>
      <rPr>
        <b/>
        <sz val="10"/>
        <rFont val="Calibri"/>
        <family val="2"/>
        <charset val="1"/>
      </rPr>
      <t>VALOR MENSAL.</t>
    </r>
  </si>
  <si>
    <t>5.2</t>
  </si>
  <si>
    <t>Esta aba está destacada na Cor Azul.</t>
  </si>
  <si>
    <t>6.</t>
  </si>
  <si>
    <r>
      <rPr>
        <sz val="10"/>
        <rFont val="Calibri"/>
        <family val="2"/>
        <charset val="1"/>
      </rPr>
      <t>A Aba "</t>
    </r>
    <r>
      <rPr>
        <b/>
        <sz val="10"/>
        <rFont val="Calibri"/>
        <family val="2"/>
        <charset val="1"/>
      </rPr>
      <t>Custo Estimado Substituto</t>
    </r>
    <r>
      <rPr>
        <sz val="10"/>
        <rFont val="Calibri"/>
        <family val="2"/>
        <charset val="1"/>
      </rPr>
      <t>" contém valores estimados com os profissionais substitutos do titular em férias.</t>
    </r>
  </si>
  <si>
    <t>6.1</t>
  </si>
  <si>
    <t>Não será necessário realizar nenhuma alteração nesta aba, pois conterá apenas o reflexo dos dados preenchidos nas abas anteriores (conforme explicação nº 3).</t>
  </si>
  <si>
    <t>6.2</t>
  </si>
  <si>
    <t>ANEXO X - PLANILHA DE CUSTO E FORMAÇÃO DE PREÇO MENSAL ESTIMATIVO - PLANILHA DE DADOS</t>
  </si>
  <si>
    <t>Elemento de Despesa</t>
  </si>
  <si>
    <t>Quantidade de Postos</t>
  </si>
  <si>
    <t>Carga Horária
(Horas)</t>
  </si>
  <si>
    <t>*OBS 1 -
Salário Base I (Piso Para 220h/m)
(R$)</t>
  </si>
  <si>
    <t>Salário Base II
(Conforme Jornada Contratada)
(R$)</t>
  </si>
  <si>
    <t xml:space="preserve">
Insalubridade/Periculosidade
Grau de Risco
(%)</t>
  </si>
  <si>
    <t>Valor Insalubridade/Periculosidade
(R$)</t>
  </si>
  <si>
    <t>*OBS 2 -
Acúmulo de Função / Acréscimo Salarial
(%)</t>
  </si>
  <si>
    <t>*OBS 3 -
Tempo de Execução de Atividades em Acúmulo
(%)</t>
  </si>
  <si>
    <t>*OBS 4 -
Base Para Cálculo de Acúmulo de Função
(R$)</t>
  </si>
  <si>
    <t>Valor Acúmulo de Função
(R$)</t>
  </si>
  <si>
    <t>Remuneração Total
(Grupo A)
(R$)</t>
  </si>
  <si>
    <t>Uniforme
(R$)</t>
  </si>
  <si>
    <t>Material de Limpeza Rateado
(R$)</t>
  </si>
  <si>
    <t>Material de Copa Rateado
(R$)</t>
  </si>
  <si>
    <t>Depreciação Rateada
(R$)</t>
  </si>
  <si>
    <t>CÓDIGO DE ELEMENTO DE DESPESA
(CONTROLE DA CONTRATANTE)</t>
  </si>
  <si>
    <t>RATEIO
INSUMOS</t>
  </si>
  <si>
    <t>Assistente Administrativo</t>
  </si>
  <si>
    <t>Servente de Limpeza</t>
  </si>
  <si>
    <t>Servente de Limpeza (40%)</t>
  </si>
  <si>
    <t>Auxiliar de Manutenção Predial</t>
  </si>
  <si>
    <t>Copeira</t>
  </si>
  <si>
    <t>OBS 1: Inserir piso salarial correspondente à jornada de 220h mensais.      OBS 2: Informar % de acúmulo de função.</t>
  </si>
  <si>
    <t>OBS 3: Informar % do tempo de acúmulo de função.   OBS 4: Informar salário base.</t>
  </si>
  <si>
    <t>TOTAL</t>
  </si>
  <si>
    <t>DADOS DA PROPOSTA</t>
  </si>
  <si>
    <t>Data de apresentação da proposta</t>
  </si>
  <si>
    <t>ABERTURA DA PROPOSTA</t>
  </si>
  <si>
    <t>Informar data de abertura do certame / data final para cadastro da proposta comercial.</t>
  </si>
  <si>
    <t>Sindicato utilizado</t>
  </si>
  <si>
    <t>SEAC/MG</t>
  </si>
  <si>
    <t>Informar o sindicato utilizado pela Licitante.</t>
  </si>
  <si>
    <t>Número de registro da CCT - Código MTE</t>
  </si>
  <si>
    <t>MG000705/2024</t>
  </si>
  <si>
    <t>Informar o número de registro da Convenção Coletiva de Tralbalho utilizada no processo licitatório, junto ao Ministério do Trabalho e Emprego.</t>
  </si>
  <si>
    <t>Vigência da CCT utilizada</t>
  </si>
  <si>
    <t>01/01/2024 à 31/12/2024</t>
  </si>
  <si>
    <t>Informar a vigência da Convenção Coletiva de Trabalho utilizada no processo licitatório.</t>
  </si>
  <si>
    <t>Data base da categoria</t>
  </si>
  <si>
    <t>01º Janeiro</t>
  </si>
  <si>
    <t>Informar a data base da Convenção Coletiva de Trabalho utilizada no processo licitatório.</t>
  </si>
  <si>
    <t>ENCARGOS SOCIAIS E TRABALHISTAS</t>
  </si>
  <si>
    <t>-</t>
  </si>
  <si>
    <t>Percentual de Encargos (TOTAL)</t>
  </si>
  <si>
    <t>SAT - Seguro Acidentes Trabalho</t>
  </si>
  <si>
    <t>RAT (Atividade Principal)</t>
  </si>
  <si>
    <t>Informar percentual correspondente à atividade preponderante da Licitante.</t>
  </si>
  <si>
    <t>FAP (Conforme FapWeb)</t>
  </si>
  <si>
    <t>Informar Fator extraído do documento FapWeb da Licitante.</t>
  </si>
  <si>
    <t>SALÁRIO BASE PARE CÁLCULO DE INSALUBRIDADE</t>
  </si>
  <si>
    <t>SALÁRIO MINÍMO NACIONAL – 2024</t>
  </si>
  <si>
    <t>Informar base salarial para fins de cálculo de Insalubridade.</t>
  </si>
  <si>
    <t>BENEFÍCIOS</t>
  </si>
  <si>
    <t>Seguro de Vida em Grupo</t>
  </si>
  <si>
    <t>Inserir valor unitário mensal.</t>
  </si>
  <si>
    <t>Assistência Odontológica</t>
  </si>
  <si>
    <t>Vale Transporte</t>
  </si>
  <si>
    <t>Valor da tarifa</t>
  </si>
  <si>
    <t>Inserir o valor unitário da tarifa.</t>
  </si>
  <si>
    <t>Número de Tarifas por dia</t>
  </si>
  <si>
    <t>Inserir a quantidade de tarifas diárias.</t>
  </si>
  <si>
    <t>Número de dias para fornecimento</t>
  </si>
  <si>
    <t>Número de dias utilizados para a precificação. Número determinado em edital. Não será permitido alteração.</t>
  </si>
  <si>
    <t>Custeio do trabalhador (participação legal)</t>
  </si>
  <si>
    <t>Inserir percentual de participação do trabalhador.</t>
  </si>
  <si>
    <t>Vale Alimentação</t>
  </si>
  <si>
    <t>Valor Unitário do Ticket (jornada de 08h ou mais)</t>
  </si>
  <si>
    <t>Inserir valor unitário do Ticket.</t>
  </si>
  <si>
    <t>Valor Unitário do Ticket (jornada de 06 a 07h59min)</t>
  </si>
  <si>
    <t>Outros (inserir somente com a justificativa legal)</t>
  </si>
  <si>
    <t>Inserir valor unitário mensal, quando preenchido, e apresentar as justificativas legais para inclusão.</t>
  </si>
  <si>
    <t>MONTANTE C</t>
  </si>
  <si>
    <t>Despesas Administrativas</t>
  </si>
  <si>
    <t>Informar percentual da Licitante.</t>
  </si>
  <si>
    <t>Lucro</t>
  </si>
  <si>
    <t>MONTANTE D</t>
  </si>
  <si>
    <t>OBS:</t>
  </si>
  <si>
    <t>Opção Tributária</t>
  </si>
  <si>
    <t>LUCRO REAL</t>
  </si>
  <si>
    <t>Informar opção tributária da Licitante. Atentar-se às observações do "Montante D".</t>
  </si>
  <si>
    <t>COFINS</t>
  </si>
  <si>
    <t>Informar percentual da Licitante. Atentar-se às observações do "Montante D".</t>
  </si>
  <si>
    <t>PIS/PASEP</t>
  </si>
  <si>
    <t>ISSQN</t>
  </si>
  <si>
    <t>Informar percentual do código tributário municipal, local da execução das atividades.</t>
  </si>
  <si>
    <t>Informar o tipo de tributo e apresentar as justificativas legais para inclusão. Informar percentual da Licitante. Atentar-se às observações do "Montante D".</t>
  </si>
  <si>
    <t>Soma dos tributos</t>
  </si>
  <si>
    <t>PREVISÃO DE REAJUSTE IPCA - 12 (DOZE) MESES DE CONTRATO - INFORMATIVO PARA SER UTILIZADO DURANTE A GESTÃO CONTRATUAL</t>
  </si>
  <si>
    <t>UNIFORME</t>
  </si>
  <si>
    <t>MATERIAIS
DIVERSOS</t>
  </si>
  <si>
    <t>SEG VIDA</t>
  </si>
  <si>
    <t>FATOR DE APLICAÇÃO
(2 CASAS DECIMAIS)</t>
  </si>
  <si>
    <t>DATA DE APROVAÇÃO IPCA</t>
  </si>
  <si>
    <t>DOCUMENTO RELACIONADO ID</t>
  </si>
  <si>
    <t>1º REAJUSTE IPCA</t>
  </si>
  <si>
    <t>Percentual (%) aprovado</t>
  </si>
  <si>
    <t>Aplicar reajuste após solicitação da contratada?</t>
  </si>
  <si>
    <t>NÃO</t>
  </si>
  <si>
    <t>2º REAJUSTE IPCA</t>
  </si>
  <si>
    <t>3º REAJUSTE IPCA</t>
  </si>
  <si>
    <t>4º REAJUSTE IPCA</t>
  </si>
  <si>
    <t>5º REAJUSTE IPCA</t>
  </si>
  <si>
    <t>CONTROLE DE REAJUSTE IPCA - UNIFORME</t>
  </si>
  <si>
    <t>APLICAR
VALOR</t>
  </si>
  <si>
    <t>INICIAL</t>
  </si>
  <si>
    <t>CONTROLE DE REAJUSTE IPCA - MATERIAIS DIVERSOS</t>
  </si>
  <si>
    <t>CONTROLE DE REAJUSTE IPCA - EPI COVID</t>
  </si>
  <si>
    <t>CONTROLE DE REAJUSTE IPCA - SEGURO DE VIDA</t>
  </si>
  <si>
    <t>VALOR INICIAL DO CONTRATO</t>
  </si>
  <si>
    <t>1º REAJUSTE POR IPCA</t>
  </si>
  <si>
    <t>2º REAJUSTE POR IPCA</t>
  </si>
  <si>
    <t>3º REAJUSTE POR IPCA</t>
  </si>
  <si>
    <t>4º REAJUSTE POR IPCA</t>
  </si>
  <si>
    <t>5º REAJUSTE POR IPCA</t>
  </si>
  <si>
    <t>Fórmula SE, para inclusão após o término do processo licitatório. (INSERIR NA CÉLULA "G31")</t>
  </si>
  <si>
    <t>HISTÓRICO - CONTROLE DE CONTRATO - VERSÃO DE PLANILHA DE CUSTOS</t>
  </si>
  <si>
    <t>Planilha / Proposta comercial - Início do contrato (Licitação)</t>
  </si>
  <si>
    <t>PLANILHA - ID</t>
  </si>
  <si>
    <t>Obs: Planiha apresentada e aceita durante a fase de lances.</t>
  </si>
  <si>
    <t>1º Termo Aditivo</t>
  </si>
  <si>
    <t>Obs: Planilha ajustada com o acréscimo de 1 posto "X" - 200h.</t>
  </si>
  <si>
    <t>1º Termo de Apostilamento</t>
  </si>
  <si>
    <t>Obs: Repactuação CCT 2024 / Alteração do salário mínimo nacional.</t>
  </si>
  <si>
    <t>INFORMAR TERMO ADITIVO / APOSTILAMENTO / ALTERAÇÃO CONTRATUAL</t>
  </si>
  <si>
    <t>Obs: Descrever alerações. EX: Como é realizado no Extrato.</t>
  </si>
  <si>
    <t>Planilha de Encargos Sociais e Trabalhistas</t>
  </si>
  <si>
    <t>ANEXO X</t>
  </si>
  <si>
    <t>INSTRUÇÕES DE PREENCHIMENTO - Informar/Alterar somente as células destacadas na Cor Amarela, de acordo com o percentual da Licitante.</t>
  </si>
  <si>
    <t>QUADRO RESUMO</t>
  </si>
  <si>
    <t>DESCRIÇÃO</t>
  </si>
  <si>
    <t>PERCENTUAL</t>
  </si>
  <si>
    <t>Grupo A</t>
  </si>
  <si>
    <t>Encargos Previdenciários, FGTS e Outras Contribuições</t>
  </si>
  <si>
    <t>PREVIDÊNCIA SOCIAL - INSS</t>
  </si>
  <si>
    <t>SESI ou SESC</t>
  </si>
  <si>
    <t>SENAI ou SENAC</t>
  </si>
  <si>
    <t>INCRA</t>
  </si>
  <si>
    <t>Salário Educação</t>
  </si>
  <si>
    <t>FGTS</t>
  </si>
  <si>
    <t>SAT - Seguro Acidentes Trabalho - (RAT x FAP)</t>
  </si>
  <si>
    <t xml:space="preserve">  Alterar FAP e RAT na aba "DADOS"</t>
  </si>
  <si>
    <t>SEBRAE</t>
  </si>
  <si>
    <t>Total Grupo A - Encargos previdenciários, FGTS e Outras Contribuições</t>
  </si>
  <si>
    <t>Grupo B</t>
  </si>
  <si>
    <t>Grupo B.1</t>
  </si>
  <si>
    <t>13º Salário</t>
  </si>
  <si>
    <t>Adicional de Férias</t>
  </si>
  <si>
    <t>Subtotal</t>
  </si>
  <si>
    <t>Incidência do Grupo A sobre 13º salário e adicional de férias</t>
  </si>
  <si>
    <t>Total Grupo B.1 - 13º salário e adicional de férias</t>
  </si>
  <si>
    <t>Grupo B.2</t>
  </si>
  <si>
    <t>Afastamento Maternidade</t>
  </si>
  <si>
    <t>Licença Maternidade</t>
  </si>
  <si>
    <t>Incidência do Grupo A sobre o afastamento maternidade</t>
  </si>
  <si>
    <t>Total Grupo B.2 - Afastamento maternidade</t>
  </si>
  <si>
    <t>Grupo B.3</t>
  </si>
  <si>
    <t>Provisão para Rescisão</t>
  </si>
  <si>
    <t>Aviso Prévio Indenizado</t>
  </si>
  <si>
    <t>Incidência do FGTS sobre o Aviso Prévio Indenizado</t>
  </si>
  <si>
    <t>Multa do FGTS do Aviso Prévio Indenizado</t>
  </si>
  <si>
    <t>Aviso Prévio Trabalhado</t>
  </si>
  <si>
    <t xml:space="preserve">Incidência do Grupo A sobre o Aviso Prévio Trabalhado </t>
  </si>
  <si>
    <t xml:space="preserve">Multa do FGTS do Aviso Prévio Trabalhado </t>
  </si>
  <si>
    <t>Total Grupo B.3 - Provisão para rescisão</t>
  </si>
  <si>
    <t>Grupo B.4</t>
  </si>
  <si>
    <t>Composição do Custo de Reposição do Profissional Ausente</t>
  </si>
  <si>
    <t>Remuneração do profissional substituto</t>
  </si>
  <si>
    <t>Ausência por doença</t>
  </si>
  <si>
    <t>Licença Paternidade</t>
  </si>
  <si>
    <t>Ausências Legais</t>
  </si>
  <si>
    <t>Ausência por acidente de trabalho</t>
  </si>
  <si>
    <t>PERCENTUAIS PARA CONTINGENCIAMENTO DE ENCARGOS TRABALHISTAS A SEREM APLICADOS SOBRE A NOTA FISCAL (UTILIZAÇÃO DURANTE A VIGÊNCIA CONTRATUAL)</t>
  </si>
  <si>
    <t>Incidência do submódulo 4.1 sobre custo de reposição</t>
  </si>
  <si>
    <t>Total Grupo B.4 - Custo de reposição do profissional ausente</t>
  </si>
  <si>
    <t>Título</t>
  </si>
  <si>
    <t>VARIAÇÃO RAT AJUSTADO 0,50% A 6%</t>
  </si>
  <si>
    <t>Grupo C</t>
  </si>
  <si>
    <t>Outros (especificar)</t>
  </si>
  <si>
    <t>EMPRESAS</t>
  </si>
  <si>
    <t>Indenização Adicional</t>
  </si>
  <si>
    <t xml:space="preserve">Grupo </t>
  </si>
  <si>
    <t>Mínimo</t>
  </si>
  <si>
    <t>Máximo</t>
  </si>
  <si>
    <t>LICITANTE</t>
  </si>
  <si>
    <t>Total Grupo C - Indenização Adicional</t>
  </si>
  <si>
    <t>SUBMÓDULO E.1 - da IN 02/2008 MPOG:</t>
  </si>
  <si>
    <t>Quadro Resumo - Encargos Sociais e Trabalhistas</t>
  </si>
  <si>
    <t>SAT (RATxFAP):</t>
  </si>
  <si>
    <t>13º salário</t>
  </si>
  <si>
    <t>13º Salário + Adicional de Férias</t>
  </si>
  <si>
    <t>Férias</t>
  </si>
  <si>
    <t>1/3 constitucional</t>
  </si>
  <si>
    <t>Custo de Rescisão</t>
  </si>
  <si>
    <t>Custo de Reposição do profissional Ausente</t>
  </si>
  <si>
    <t>Incidência do Grupo A (*)</t>
  </si>
  <si>
    <t>Multa do FGTS</t>
  </si>
  <si>
    <t>Total dos Encargos Sociais Trabalhistas</t>
  </si>
  <si>
    <t>Encargos a contingenciar</t>
  </si>
  <si>
    <t>Taxa da conta-corrente vinculada (inciso II art. 2º IN 001/2013</t>
  </si>
  <si>
    <t>1. Não deverá haver alteração nos itens 9(9,09%), 10(3,03%), 13(3,49%) e 16(9,09%) dos percentuais acima, considerando que a Justiça Federal segue as diretrizes da IN 1/2016, de 20 de janeiro de 2016, do CJF, bem como o disposto no Art. 12 da Lei 13.932/2019, com vigência a partir de 01/01/2020.</t>
  </si>
  <si>
    <t>Total a contingenciar</t>
  </si>
  <si>
    <t>ANEXO X - CUSTO ESTIMATIVO DE MATERIAIS DE LIMPEZA</t>
  </si>
  <si>
    <t>INSTRUÇÕES DE PREENCHIMENTO - Informar/Alterar somente as células destacadas na Cor Amarela, de acordo com o valor unitário da Licitante.</t>
  </si>
  <si>
    <t>DESCRIÇÃO DO MATERIAL</t>
  </si>
  <si>
    <t>OBSERVAÇÕES</t>
  </si>
  <si>
    <t>REFERÊNCIA</t>
  </si>
  <si>
    <t>VALORES UNITÁRIOS DO CONTRATO, CORRIGIDOS PELO REAJUSTE DE IPCA.
(SUBSTITUIR/IGUALAR MANUALMENTE OS PREÇOS UNITÁRIOS DA COLUNA "R" NA PLANILHA DE MATERIAIS - QUANDO HOUVER PLANIHA INICIAL DO CONTRATO)</t>
  </si>
  <si>
    <t>Preço Unitário</t>
  </si>
  <si>
    <t>Quantidade</t>
  </si>
  <si>
    <t>DIVISOR</t>
  </si>
  <si>
    <t>VALOR INICIAL DO CONTRATO
(Informar após o término da licitação)</t>
  </si>
  <si>
    <t>Trimestral</t>
  </si>
  <si>
    <t>Mensal</t>
  </si>
  <si>
    <t>Anual</t>
  </si>
  <si>
    <t>Esponja dupla face</t>
  </si>
  <si>
    <t>Flanela laranja 40 x 60 cm</t>
  </si>
  <si>
    <t>Flanela branca 40 x 60 cm</t>
  </si>
  <si>
    <t>Limpa pedra, 1 litro</t>
  </si>
  <si>
    <t>Bimestral</t>
  </si>
  <si>
    <t>Semestral</t>
  </si>
  <si>
    <t>Saco de lixo de 20l, pacote com 100 unidades</t>
  </si>
  <si>
    <t>ANEXO X - CUSTO ESTIMATIVO DE MATERIAIS DE COPA</t>
  </si>
  <si>
    <t>Marca de Referência</t>
  </si>
  <si>
    <t>PREÇO UNITÁRIO</t>
  </si>
  <si>
    <t>TOTAL DO CONSUMO MENSAL</t>
  </si>
  <si>
    <t>ANEXO X - CUSTO ESTIMATIVO DE PREÇOS DE EQUIPAMENTOS</t>
  </si>
  <si>
    <t>Valores em R$</t>
  </si>
  <si>
    <t>Item</t>
  </si>
  <si>
    <t>Especificação</t>
  </si>
  <si>
    <t>Quant.</t>
  </si>
  <si>
    <t>Valor Unitário</t>
  </si>
  <si>
    <t>Valor Total</t>
  </si>
  <si>
    <t>Depreciação 10% ao Ano</t>
  </si>
  <si>
    <t>Repasse Mensal</t>
  </si>
  <si>
    <t xml:space="preserve">RELAÇÃO DE MÁQUINAS E EQUIPAMENTOS SERVENTE </t>
  </si>
  <si>
    <t>Aspirador de pó WAP GT profi, ou similar, 20 litros, 1.400 W</t>
  </si>
  <si>
    <t>Escada de alumínio cavalete 3 degraus</t>
  </si>
  <si>
    <t>Escada de alumínio cavalete 5 degraus</t>
  </si>
  <si>
    <t>Mangueira Balflex, ou similar 1/2" 300 libras - 20 m</t>
  </si>
  <si>
    <t>Mangueira Balflex, ou similar 1/2" 300 libras - 50 m</t>
  </si>
  <si>
    <t>Lavadora de Pressão karcher K4450, ou similar, 1900 libras</t>
  </si>
  <si>
    <t>Limpador Magnético para vidro e janela</t>
  </si>
  <si>
    <t>Vassoura metálica fixa 18 dentes, com cabo de madeira, 120 cm</t>
  </si>
  <si>
    <t xml:space="preserve">Total da Depreciação de Máquinas e Equipamentos de Servente </t>
  </si>
  <si>
    <t>RELAÇÃO DE MÁQUINAS E EQUIPAMENTOS AUXILIAR DE MANUTENÇÃO PREDIAL</t>
  </si>
  <si>
    <t>Extensão elétrica cabo PP 2 x 2,5 de 25m a 30m</t>
  </si>
  <si>
    <t>Total da Depreciação de Máquinas e Equipamentos de Aux. Manutenção Predial</t>
  </si>
  <si>
    <t>ANEXO X - CUSTO ESTIMATIVO DE PREÇOS DOS UNIFORMES</t>
  </si>
  <si>
    <t>Serviços de Limpeza e Conservação</t>
  </si>
  <si>
    <t>CATEGORIA</t>
  </si>
  <si>
    <t>QUANT.</t>
  </si>
  <si>
    <t>DESCRIÇÃO DE UNIFORME</t>
  </si>
  <si>
    <t>CORES</t>
  </si>
  <si>
    <t>TOTAL DO QUANTITATIVO</t>
  </si>
  <si>
    <t>Fórmula SE, para inclusão após o término do processo licitatório. (INSERIR NA CÉLULA "G9" em diante)</t>
  </si>
  <si>
    <t>Calça</t>
  </si>
  <si>
    <t>Modelo em helanca, ou similar, com cós alto em elástico ou cordão</t>
  </si>
  <si>
    <t>azul marinho</t>
  </si>
  <si>
    <t>Jaleco</t>
  </si>
  <si>
    <t>Modelo em brim, ou similar,100% algodão com três bolsos e logotipo bordado</t>
  </si>
  <si>
    <t>Camisa</t>
  </si>
  <si>
    <t>Modelo em malha PV, manga curta, sem punho, de algodão.</t>
  </si>
  <si>
    <t>branca ou creme</t>
  </si>
  <si>
    <t>Blusa de frio</t>
  </si>
  <si>
    <t>Modelo em moletom, com dois bolsos</t>
  </si>
  <si>
    <t>preto ou azul marinho</t>
  </si>
  <si>
    <t>TOTAL DE POSTOS</t>
  </si>
  <si>
    <t>Calçado</t>
  </si>
  <si>
    <t>Bota em PVC, atendendo as normas de segurança do trabalho</t>
  </si>
  <si>
    <t>preto</t>
  </si>
  <si>
    <t>Bota</t>
  </si>
  <si>
    <t>Calçado atendendo as exigências das normas de segurança do trabalho, sem ponteira e confortável</t>
  </si>
  <si>
    <t>Soma</t>
  </si>
  <si>
    <t>CÁLCULO VALOR DO REPASSE MENSAL SERVENTE DE LIMPEZA</t>
  </si>
  <si>
    <t>Modelo tradicional em jeans Santista, ou similar</t>
  </si>
  <si>
    <t>Modelo em malha Piquet ou similar, com manga curta e gola polo, com logotipo bordado</t>
  </si>
  <si>
    <t>cinza</t>
  </si>
  <si>
    <t>Tênis maleável de nylon, ou similar</t>
  </si>
  <si>
    <t>CÁLCULO VALOR DO REPASSE MENSAL ASSISTENTE ADMINISTRATIVO</t>
  </si>
  <si>
    <t>Aux. Manutenção Predial</t>
  </si>
  <si>
    <t>Modelo tradicional em jeans</t>
  </si>
  <si>
    <t>Modelo em brim, ou similar, com três bolsos e logotipo bordado</t>
  </si>
  <si>
    <t>Botina de segurança em couro, com biqueira de aço</t>
  </si>
  <si>
    <t>CÁLCULO VALOR DO REPASSE MENSAL AUX. MANUTENÇÃO PREDIAL</t>
  </si>
  <si>
    <t>Modelo em brim leve</t>
  </si>
  <si>
    <t>branca</t>
  </si>
  <si>
    <t>Modelo em malha PV, manga curta, sem punho, com logotipo silcado</t>
  </si>
  <si>
    <t>Tênis maleável em nylon, ou similar</t>
  </si>
  <si>
    <t>Blusa de Frio</t>
  </si>
  <si>
    <t>Avental</t>
  </si>
  <si>
    <t>Modelo em napa, ou similar, 140cmx70cm</t>
  </si>
  <si>
    <t>CÁLCULO VALOR DO REPASSE MENSAL COPEIRA</t>
  </si>
  <si>
    <t xml:space="preserve">ANEXO X - PLANILHA DE CUSTO E FORMAÇÃO DE PREÇO MENSAL ESTIMATIVO DO PROFISSIONAL SUBSTITUTO DO TITULAR EM FÉRIAS </t>
  </si>
  <si>
    <t xml:space="preserve">DESCRIÇÃO </t>
  </si>
  <si>
    <t>Percentual</t>
  </si>
  <si>
    <t>4.5</t>
  </si>
  <si>
    <t>Valor em R$</t>
  </si>
  <si>
    <t>Módulo 1 - Total da Remuneração</t>
  </si>
  <si>
    <t>A</t>
  </si>
  <si>
    <t>G</t>
  </si>
  <si>
    <t>Total do Custo MENSAL de Reposição do Profissional Ausente em Férias</t>
  </si>
  <si>
    <t>Total do Custo ANUAL de Reposição do Profissional Ausente em Férias</t>
  </si>
  <si>
    <t>Módulo 2 - Benefícios Mensais e Diários</t>
  </si>
  <si>
    <t>Vale-Alimentação</t>
  </si>
  <si>
    <t>B</t>
  </si>
  <si>
    <t>Vale-Transporte</t>
  </si>
  <si>
    <t>C</t>
  </si>
  <si>
    <t>Outros (sem concessão do intervalo intrajornada)</t>
  </si>
  <si>
    <t>Total de Benefícios Mensais e Diários</t>
  </si>
  <si>
    <t>Módulo 5 - Custos Indiretos, Lucros e Tributos</t>
  </si>
  <si>
    <t>Custos Indiretos (Despesas Operacionais e Administrativas)</t>
  </si>
  <si>
    <t>Tributos</t>
  </si>
  <si>
    <t>C.1</t>
  </si>
  <si>
    <t>Tributos Federais (PIS E COFINS)</t>
  </si>
  <si>
    <t>C.2</t>
  </si>
  <si>
    <t>Tributos Estaduais (especificar)</t>
  </si>
  <si>
    <t>C.3</t>
  </si>
  <si>
    <t>Tributos Municipais (ISS)</t>
  </si>
  <si>
    <t>C.4</t>
  </si>
  <si>
    <t>Total dos Custos Indiretos e Tributos</t>
  </si>
  <si>
    <t>CUSTO TOTAL DO PROFISSIONAL SUBSTITUTO</t>
  </si>
  <si>
    <t>Resumo do Custo Por Empregado Substituto do Titular em Férias</t>
  </si>
  <si>
    <t>Mão de Obra Vinculada à Execução Contratual  (Valor Por Empregado)</t>
  </si>
  <si>
    <t>Módulo 1 - Composição Remuneração * 12 (Anual)</t>
  </si>
  <si>
    <t>Subtotal (A+B)</t>
  </si>
  <si>
    <t>E</t>
  </si>
  <si>
    <t>Módulo 5 - Custos Indiretos, Tributos e Lucro</t>
  </si>
  <si>
    <t xml:space="preserve">Valor Total Mensal Por Empregado Substituto do Titular em Férias </t>
  </si>
  <si>
    <t>ANEXO X - PLANILHA DE CUSTO E FORMAÇÃO DE PREÇO MENSAL ESTIMATIVO INTEGRAL - RESUMO</t>
  </si>
  <si>
    <t xml:space="preserve">MÊS: </t>
  </si>
  <si>
    <t>VALORES EM R$</t>
  </si>
  <si>
    <t>ELEMENTO DE DESPESA</t>
  </si>
  <si>
    <t>CATEGORIA PROFISSIONAL</t>
  </si>
  <si>
    <t>TOTAL DO FATURAMENTO MENSAL</t>
  </si>
  <si>
    <t>CUSTO MENSAL</t>
  </si>
  <si>
    <t>GLOSA VALE TRANSPORTE</t>
  </si>
  <si>
    <t>GLOSA DE ATRASOS, FALTAS E DESCONTO DO TITULAR EM FÉRIAS (sem material)</t>
  </si>
  <si>
    <t>GLOSA VALE ALIMENTAÇÃO</t>
  </si>
  <si>
    <t>TOTAL GLOSAS</t>
  </si>
  <si>
    <t>ACRÉSCIMO DE INSALUBRIDADE</t>
  </si>
  <si>
    <t>Homem-Mês</t>
  </si>
  <si>
    <t>Custo Mensal  do vale-transporte da categoria com Encargos</t>
  </si>
  <si>
    <t xml:space="preserve">GLOSA </t>
  </si>
  <si>
    <t>Glosa de Atrasos e Faltas</t>
  </si>
  <si>
    <t>Desconto Mensal do Titular em Férias sem substituição</t>
  </si>
  <si>
    <t>Desconto de Vale Alimentação em recesso forense ou ponto facultativo.</t>
  </si>
  <si>
    <t>Total da Glosa de Atrasos, Faltas, Desconto do Titular em Férias sem substituição e Desconto de V.A para recessos.</t>
  </si>
  <si>
    <t>PAGAMENTO INSALUBRIDADE EM SUBSTITUIÇÃO</t>
  </si>
  <si>
    <t>Custo Unitário da categoria</t>
  </si>
  <si>
    <t>Custo Mensal da categoria</t>
  </si>
  <si>
    <t>Dias de afastamento</t>
  </si>
  <si>
    <t>Valor da Glosa do vale transporte da categoria</t>
  </si>
  <si>
    <t>Custo Homem-Mês               (sem material)</t>
  </si>
  <si>
    <t>Valor da Glosa de Atrasos e Faltas</t>
  </si>
  <si>
    <t>Custo Unitário da categoria Planilha de Férias</t>
  </si>
  <si>
    <t xml:space="preserve">Valor do Desconto Mensal </t>
  </si>
  <si>
    <t>Custo Mensal  do vale alimentação da categoria com Encargos</t>
  </si>
  <si>
    <t>Dias de Recesso e/ou ponto facultativo</t>
  </si>
  <si>
    <t>Valor da Glosa do vale alimentação da categoria</t>
  </si>
  <si>
    <t>Valor Insalubridade por dia</t>
  </si>
  <si>
    <t>Quantidade de Dias</t>
  </si>
  <si>
    <t>Valor Devido</t>
  </si>
  <si>
    <t xml:space="preserve">TOTAL DO FATURAMENTO MENSAL </t>
  </si>
  <si>
    <t>Valor para Lance - Registro de oferta</t>
  </si>
  <si>
    <t>VALOR DO MATERIAL</t>
  </si>
  <si>
    <t>TOTAL DO FATURAMENTO ANUAL</t>
  </si>
  <si>
    <t>Planilha de Custo e Formação de Preço Mensal Por Categoria Profissional</t>
  </si>
  <si>
    <t>COM MATERIAL</t>
  </si>
  <si>
    <t>SEM MATERIAL</t>
  </si>
  <si>
    <t>CUSTO DE VALE ALIMENTAÇÃO</t>
  </si>
  <si>
    <t>CUSTO DE VALE-TRANSPORTE</t>
  </si>
  <si>
    <t>CUSTO INSALUBRIDADE</t>
  </si>
  <si>
    <t>33390.37.02 - Limpeza e Conservação</t>
  </si>
  <si>
    <t>MONTANTE "A" - Mão de Obra</t>
  </si>
  <si>
    <t>Função</t>
  </si>
  <si>
    <t>Carga Horária Mensal</t>
  </si>
  <si>
    <t xml:space="preserve"> Salário Base</t>
  </si>
  <si>
    <t>Adicional de Insalubridade</t>
  </si>
  <si>
    <t>Adicional Acúmulo de Função</t>
  </si>
  <si>
    <t>TOTAL DA REMUNERAÇÃO</t>
  </si>
  <si>
    <t xml:space="preserve">Encargos sociais e trabalhistas                         </t>
  </si>
  <si>
    <t>Total do Montante "A" ( Mão de Obra)</t>
  </si>
  <si>
    <t>MONTANTE "B" - INSUMOS</t>
  </si>
  <si>
    <t>Itens</t>
  </si>
  <si>
    <t>Valores Unitarios</t>
  </si>
  <si>
    <t>Uniforme</t>
  </si>
  <si>
    <t xml:space="preserve">Seguro de vida  </t>
  </si>
  <si>
    <t>Material de Limpeza</t>
  </si>
  <si>
    <t>Material de Copa</t>
  </si>
  <si>
    <t>Depreciação de Equipamentos</t>
  </si>
  <si>
    <t>Total do Montante "B" (Insumos)</t>
  </si>
  <si>
    <t>Montante "A" + Montante "B"</t>
  </si>
  <si>
    <t>MONTANTE "C" - DEMAIS COMPONENTES</t>
  </si>
  <si>
    <t>ITENS</t>
  </si>
  <si>
    <t>Despesas administrativas/operacionais</t>
  </si>
  <si>
    <t>Base de cálculo do lucro</t>
  </si>
  <si>
    <t>Total do Montante "C" (Demais componentes)</t>
  </si>
  <si>
    <t>Montante "A" + Montante "B" + Montante "C"</t>
  </si>
  <si>
    <t>MONTANTE "D" - TRIBUTOS</t>
  </si>
  <si>
    <t>Total do Montante "D" (Tributos)</t>
  </si>
  <si>
    <t>FATOR K</t>
  </si>
  <si>
    <t>Deslocamento Insalubridade</t>
  </si>
  <si>
    <t>Período:</t>
  </si>
  <si>
    <t xml:space="preserve">ÍNDICE </t>
  </si>
  <si>
    <t>IPCA/ IBGE</t>
  </si>
  <si>
    <t>DIAS</t>
  </si>
  <si>
    <t>Pró-rata</t>
  </si>
  <si>
    <t>VALOR ATUAL</t>
  </si>
  <si>
    <t>ANO</t>
  </si>
  <si>
    <t>MÊS</t>
  </si>
  <si>
    <t>ÍNDICE %</t>
  </si>
  <si>
    <t>%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</si>
  <si>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</si>
  <si>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</si>
  <si>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</si>
  <si>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</si>
  <si>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</si>
  <si>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</si>
  <si>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</si>
  <si>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</si>
  <si>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</si>
  <si>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</si>
  <si>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</si>
  <si>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</si>
  <si>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INDICE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</si>
</sst>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\-??_-;_-@_-"/>
    <numFmt numFmtId="165" formatCode="_-&quot;R$ &quot;* #,##0.00_-;&quot;-R$ &quot;* #,##0.00_-;_-&quot;R$ &quot;* \-??_-;_-@_-"/>
    <numFmt numFmtId="166" formatCode="#,##0_ ;\-#,##0\ "/>
    <numFmt numFmtId="167" formatCode="d/m/yyyy"/>
    <numFmt numFmtId="168" formatCode="0.0000"/>
    <numFmt numFmtId="169" formatCode="_(* #,##0.00_);_(* \(#,##0.00\);_(* \-??_);_(@_)"/>
    <numFmt numFmtId="170" formatCode="_(* #,##0_);_(* \(#,##0\);_(* \-??_);_(@_)"/>
    <numFmt numFmtId="171" formatCode="* #,##0.00\ ;* \(#,##0.00\);* \-#\ ;@\ "/>
  </numFmts>
  <fonts count="49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8"/>
      <name val="Calibri"/>
      <family val="2"/>
      <charset val="1"/>
    </font>
    <font>
      <b/>
      <sz val="16"/>
      <name val="Calibri"/>
      <family val="2"/>
      <charset val="1"/>
    </font>
    <font>
      <b/>
      <sz val="11"/>
      <name val="Calibri"/>
      <family val="2"/>
      <charset val="1"/>
    </font>
    <font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9"/>
      <name val="Calibri"/>
      <family val="2"/>
      <charset val="1"/>
    </font>
    <font>
      <sz val="10"/>
      <color rgb="FFFF0000"/>
      <name val="Calibri"/>
      <family val="2"/>
      <charset val="1"/>
    </font>
    <font>
      <sz val="11"/>
      <color rgb="FF808080"/>
      <name val="Calibri"/>
      <family val="2"/>
      <charset val="1"/>
    </font>
    <font>
      <b/>
      <i/>
      <u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u/>
      <sz val="10"/>
      <name val="Calibri"/>
      <family val="2"/>
      <charset val="1"/>
    </font>
    <font>
      <sz val="11"/>
      <name val="Times New Roman"/>
      <family val="1"/>
      <charset val="1"/>
    </font>
    <font>
      <sz val="10"/>
      <name val="Arial"/>
      <family val="2"/>
      <charset val="1"/>
    </font>
    <font>
      <sz val="8"/>
      <name val="Calibri"/>
      <family val="2"/>
      <charset val="1"/>
    </font>
    <font>
      <b/>
      <sz val="12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4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333333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9"/>
      <color rgb="FF333333"/>
      <name val="Calibri"/>
      <family val="2"/>
      <charset val="1"/>
    </font>
    <font>
      <b/>
      <sz val="9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8"/>
      <name val="Calibri"/>
      <family val="2"/>
      <charset val="1"/>
    </font>
    <font>
      <b/>
      <sz val="9"/>
      <color rgb="FFFF0000"/>
      <name val="Calibri"/>
      <family val="2"/>
      <charset val="1"/>
    </font>
    <font>
      <b/>
      <sz val="6"/>
      <name val="Calibri"/>
      <family val="2"/>
      <charset val="1"/>
    </font>
    <font>
      <sz val="10"/>
      <color rgb="FFFF0000"/>
      <name val="Arial"/>
      <family val="2"/>
      <charset val="1"/>
    </font>
    <font>
      <b/>
      <sz val="12"/>
      <color rgb="FFBFBFBF"/>
      <name val="Calibri"/>
      <family val="2"/>
      <charset val="1"/>
    </font>
    <font>
      <b/>
      <sz val="10"/>
      <color rgb="FFC00000"/>
      <name val="Calibri"/>
      <family val="2"/>
      <charset val="1"/>
    </font>
    <font>
      <b/>
      <sz val="7"/>
      <name val="Calibri"/>
      <family val="2"/>
      <charset val="1"/>
    </font>
    <font>
      <sz val="10"/>
      <name val="Times New Roman"/>
      <family val="1"/>
      <charset val="1"/>
    </font>
    <font>
      <sz val="10"/>
      <color rgb="FFC00000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28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4"/>
      <name val="Calibri"/>
      <family val="2"/>
      <charset val="1"/>
    </font>
    <font>
      <b/>
      <sz val="12.5"/>
      <name val="Calibri"/>
      <family val="2"/>
      <charset val="1"/>
    </font>
    <font>
      <b/>
      <sz val="8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8CBAD"/>
        <bgColor rgb="FFFFC7CE"/>
      </patternFill>
    </fill>
    <fill>
      <patternFill patternType="solid">
        <fgColor rgb="FFFFFFCC"/>
        <bgColor rgb="FFFFFFFF"/>
      </patternFill>
    </fill>
    <fill>
      <patternFill patternType="solid">
        <fgColor rgb="FFDCE6F2"/>
        <bgColor rgb="FFDEEBF7"/>
      </patternFill>
    </fill>
    <fill>
      <patternFill patternType="solid">
        <fgColor rgb="FFF2DCDB"/>
        <bgColor rgb="FFD9D9D9"/>
      </patternFill>
    </fill>
    <fill>
      <patternFill patternType="solid">
        <fgColor rgb="FF606060"/>
        <bgColor rgb="FF595959"/>
      </patternFill>
    </fill>
    <fill>
      <patternFill patternType="solid">
        <fgColor rgb="FF595959"/>
        <bgColor rgb="FF60606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DEEBF7"/>
      </patternFill>
    </fill>
    <fill>
      <patternFill patternType="solid">
        <fgColor rgb="FF3366CC"/>
        <bgColor rgb="FF0066CC"/>
      </patternFill>
    </fill>
    <fill>
      <patternFill patternType="solid">
        <fgColor rgb="FFD9D9D9"/>
        <bgColor rgb="FFDCE6F2"/>
      </patternFill>
    </fill>
    <fill>
      <patternFill patternType="solid">
        <fgColor rgb="FFDEEBF7"/>
        <bgColor rgb="FFDCE6F2"/>
      </patternFill>
    </fill>
    <fill>
      <patternFill patternType="solid">
        <fgColor rgb="FF10243E"/>
        <bgColor rgb="FF333333"/>
      </patternFill>
    </fill>
    <fill>
      <patternFill patternType="solid">
        <fgColor rgb="FFBDD7EE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808080"/>
        <bgColor rgb="FF969696"/>
      </patternFill>
    </fill>
    <fill>
      <patternFill patternType="solid">
        <fgColor rgb="FFADB9CA"/>
        <bgColor rgb="FFBFBFBF"/>
      </patternFill>
    </fill>
    <fill>
      <patternFill patternType="solid">
        <fgColor rgb="FF00B0F0"/>
        <bgColor rgb="FF33CCCC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5">
    <xf numFmtId="0" fontId="0" fillId="0" borderId="0"/>
    <xf numFmtId="164" fontId="48" fillId="0" borderId="0" applyBorder="0" applyProtection="0"/>
    <xf numFmtId="165" fontId="48" fillId="0" borderId="0" applyBorder="0" applyProtection="0"/>
    <xf numFmtId="9" fontId="48" fillId="0" borderId="0" applyBorder="0" applyProtection="0"/>
    <xf numFmtId="171" fontId="37" fillId="0" borderId="0" applyBorder="0" applyProtection="0"/>
  </cellStyleXfs>
  <cellXfs count="7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" fontId="9" fillId="0" borderId="4" xfId="0" applyNumberFormat="1" applyFont="1" applyBorder="1" applyAlignment="1">
      <alignment horizontal="center" vertical="center"/>
    </xf>
    <xf numFmtId="0" fontId="11" fillId="6" borderId="18" xfId="0" applyFont="1" applyFill="1" applyBorder="1" applyAlignment="1" applyProtection="1">
      <alignment horizontal="center" vertical="center"/>
      <protection locked="0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2" fontId="11" fillId="6" borderId="17" xfId="0" applyNumberFormat="1" applyFont="1" applyFill="1" applyBorder="1" applyAlignment="1" applyProtection="1">
      <alignment horizontal="center" vertical="center"/>
      <protection locked="0"/>
    </xf>
    <xf numFmtId="2" fontId="9" fillId="0" borderId="19" xfId="0" applyNumberFormat="1" applyFont="1" applyBorder="1" applyAlignment="1">
      <alignment horizontal="center" vertical="center"/>
    </xf>
    <xf numFmtId="0" fontId="11" fillId="6" borderId="20" xfId="0" applyFont="1" applyFill="1" applyBorder="1" applyAlignment="1" applyProtection="1">
      <alignment horizontal="center" vertical="center"/>
      <protection locked="0"/>
    </xf>
    <xf numFmtId="164" fontId="12" fillId="7" borderId="20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4" fontId="12" fillId="7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165" fontId="9" fillId="0" borderId="4" xfId="2" applyFont="1" applyBorder="1" applyAlignment="1" applyProtection="1">
      <alignment horizontal="center" vertical="center"/>
    </xf>
    <xf numFmtId="165" fontId="9" fillId="0" borderId="19" xfId="2" applyFont="1" applyBorder="1" applyAlignment="1" applyProtection="1">
      <alignment horizontal="center" vertical="center"/>
    </xf>
    <xf numFmtId="0" fontId="11" fillId="8" borderId="20" xfId="0" applyFont="1" applyFill="1" applyBorder="1" applyAlignment="1" applyProtection="1">
      <alignment horizontal="center" vertical="center"/>
      <protection locked="0"/>
    </xf>
    <xf numFmtId="0" fontId="9" fillId="8" borderId="4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2" fontId="9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7" fillId="5" borderId="31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166" fontId="9" fillId="0" borderId="12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9" fillId="9" borderId="0" xfId="0" applyFont="1" applyFill="1" applyAlignment="1">
      <alignment horizontal="center" vertical="center" wrapText="1"/>
    </xf>
    <xf numFmtId="1" fontId="2" fillId="9" borderId="17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 wrapText="1"/>
    </xf>
    <xf numFmtId="1" fontId="2" fillId="0" borderId="35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66" fontId="9" fillId="0" borderId="28" xfId="0" applyNumberFormat="1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165" fontId="7" fillId="5" borderId="14" xfId="2" applyFont="1" applyFill="1" applyBorder="1" applyAlignment="1" applyProtection="1">
      <alignment horizontal="center" vertical="center" wrapText="1"/>
    </xf>
    <xf numFmtId="10" fontId="7" fillId="5" borderId="21" xfId="0" applyNumberFormat="1" applyFont="1" applyFill="1" applyBorder="1" applyAlignment="1">
      <alignment horizontal="center" vertical="center" wrapText="1"/>
    </xf>
    <xf numFmtId="165" fontId="7" fillId="5" borderId="19" xfId="2" applyFont="1" applyFill="1" applyBorder="1" applyAlignment="1" applyProtection="1">
      <alignment horizontal="center" vertical="center" wrapText="1"/>
    </xf>
    <xf numFmtId="165" fontId="7" fillId="5" borderId="29" xfId="2" applyFont="1" applyFill="1" applyBorder="1" applyAlignment="1" applyProtection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9" borderId="4" xfId="0" applyFont="1" applyFill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1" fontId="9" fillId="0" borderId="28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65" fontId="7" fillId="5" borderId="33" xfId="2" applyFont="1" applyFill="1" applyBorder="1" applyAlignment="1" applyProtection="1">
      <alignment horizontal="center" vertical="center" wrapText="1"/>
    </xf>
    <xf numFmtId="0" fontId="1" fillId="0" borderId="4" xfId="0" applyFont="1" applyBorder="1"/>
    <xf numFmtId="3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8" fillId="0" borderId="1" xfId="0" applyFont="1" applyBorder="1"/>
    <xf numFmtId="0" fontId="2" fillId="0" borderId="2" xfId="0" applyFont="1" applyBorder="1" applyAlignment="1">
      <alignment vertical="center"/>
    </xf>
    <xf numFmtId="0" fontId="18" fillId="0" borderId="3" xfId="0" applyFont="1" applyBorder="1"/>
    <xf numFmtId="0" fontId="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9" fillId="2" borderId="9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9" fillId="2" borderId="0" xfId="0" applyFont="1" applyFill="1"/>
    <xf numFmtId="0" fontId="7" fillId="0" borderId="0" xfId="0" applyFont="1"/>
    <xf numFmtId="49" fontId="9" fillId="0" borderId="0" xfId="0" applyNumberFormat="1" applyFont="1"/>
    <xf numFmtId="0" fontId="9" fillId="10" borderId="0" xfId="0" applyFont="1" applyFill="1"/>
    <xf numFmtId="0" fontId="20" fillId="11" borderId="0" xfId="0" applyFont="1" applyFill="1"/>
    <xf numFmtId="0" fontId="9" fillId="10" borderId="0" xfId="0" applyFont="1" applyFill="1" applyAlignment="1">
      <alignment vertical="center"/>
    </xf>
    <xf numFmtId="0" fontId="9" fillId="9" borderId="0" xfId="0" applyFont="1" applyFill="1" applyAlignment="1">
      <alignment vertic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4" fontId="1" fillId="2" borderId="4" xfId="1" applyNumberFormat="1" applyFont="1" applyFill="1" applyBorder="1" applyAlignment="1" applyProtection="1">
      <alignment horizontal="center" vertical="center"/>
      <protection locked="0"/>
    </xf>
    <xf numFmtId="4" fontId="1" fillId="0" borderId="4" xfId="1" applyNumberFormat="1" applyFont="1" applyBorder="1" applyAlignment="1" applyProtection="1">
      <alignment horizontal="center" vertical="center"/>
    </xf>
    <xf numFmtId="10" fontId="1" fillId="8" borderId="4" xfId="3" applyNumberFormat="1" applyFont="1" applyFill="1" applyBorder="1" applyAlignment="1" applyProtection="1">
      <alignment horizontal="center" vertical="center"/>
    </xf>
    <xf numFmtId="4" fontId="1" fillId="8" borderId="4" xfId="1" applyNumberFormat="1" applyFont="1" applyFill="1" applyBorder="1" applyAlignment="1" applyProtection="1">
      <alignment horizontal="center" vertical="center"/>
    </xf>
    <xf numFmtId="4" fontId="5" fillId="0" borderId="4" xfId="1" applyNumberFormat="1" applyFont="1" applyBorder="1" applyAlignment="1" applyProtection="1">
      <alignment horizontal="center" vertical="center"/>
    </xf>
    <xf numFmtId="164" fontId="12" fillId="7" borderId="4" xfId="1" applyFont="1" applyFill="1" applyBorder="1" applyAlignment="1" applyProtection="1">
      <alignment horizontal="center" vertical="center"/>
    </xf>
    <xf numFmtId="10" fontId="1" fillId="8" borderId="4" xfId="0" applyNumberFormat="1" applyFont="1" applyFill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left" vertical="center"/>
    </xf>
    <xf numFmtId="164" fontId="1" fillId="9" borderId="12" xfId="0" applyNumberFormat="1" applyFont="1" applyFill="1" applyBorder="1" applyAlignment="1">
      <alignment horizontal="center" vertical="center"/>
    </xf>
    <xf numFmtId="10" fontId="1" fillId="0" borderId="4" xfId="3" applyNumberFormat="1" applyFont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4" fontId="5" fillId="0" borderId="12" xfId="1" applyNumberFormat="1" applyFont="1" applyBorder="1" applyAlignment="1" applyProtection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10" fontId="5" fillId="0" borderId="4" xfId="3" applyNumberFormat="1" applyFont="1" applyBorder="1" applyAlignment="1" applyProtection="1">
      <alignment horizontal="center" vertical="center"/>
    </xf>
    <xf numFmtId="10" fontId="1" fillId="2" borderId="4" xfId="3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164" fontId="1" fillId="0" borderId="21" xfId="1" applyFont="1" applyBorder="1" applyAlignment="1" applyProtection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40" xfId="0" applyFont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4" xfId="0" applyNumberFormat="1" applyFont="1" applyBorder="1" applyAlignment="1">
      <alignment horizontal="center" vertical="center"/>
    </xf>
    <xf numFmtId="1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164" fontId="1" fillId="0" borderId="0" xfId="1" applyFont="1" applyBorder="1" applyProtection="1"/>
    <xf numFmtId="0" fontId="5" fillId="12" borderId="18" xfId="0" applyFont="1" applyFill="1" applyBorder="1" applyAlignment="1">
      <alignment vertical="center" wrapText="1"/>
    </xf>
    <xf numFmtId="0" fontId="5" fillId="1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0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2" fontId="1" fillId="10" borderId="18" xfId="0" applyNumberFormat="1" applyFont="1" applyFill="1" applyBorder="1" applyAlignment="1">
      <alignment vertical="center"/>
    </xf>
    <xf numFmtId="167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23" fillId="12" borderId="4" xfId="0" applyFont="1" applyFill="1" applyBorder="1" applyAlignment="1">
      <alignment horizontal="center" vertical="center" wrapText="1"/>
    </xf>
    <xf numFmtId="0" fontId="1" fillId="0" borderId="32" xfId="0" applyFont="1" applyBorder="1"/>
    <xf numFmtId="0" fontId="1" fillId="0" borderId="12" xfId="0" applyFont="1" applyBorder="1"/>
    <xf numFmtId="0" fontId="1" fillId="0" borderId="40" xfId="0" applyFont="1" applyBorder="1"/>
    <xf numFmtId="0" fontId="1" fillId="0" borderId="44" xfId="0" applyFont="1" applyBorder="1"/>
    <xf numFmtId="0" fontId="2" fillId="0" borderId="1" xfId="0" applyFont="1" applyBorder="1"/>
    <xf numFmtId="0" fontId="2" fillId="0" borderId="45" xfId="0" applyFont="1" applyBorder="1" applyAlignment="1">
      <alignment vertical="center"/>
    </xf>
    <xf numFmtId="0" fontId="2" fillId="0" borderId="3" xfId="0" applyFont="1" applyBorder="1"/>
    <xf numFmtId="0" fontId="2" fillId="0" borderId="46" xfId="0" applyFont="1" applyBorder="1" applyAlignment="1">
      <alignment vertical="center"/>
    </xf>
    <xf numFmtId="0" fontId="10" fillId="0" borderId="3" xfId="0" applyFont="1" applyBorder="1"/>
    <xf numFmtId="0" fontId="25" fillId="0" borderId="17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6" fillId="12" borderId="17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10" fontId="10" fillId="2" borderId="19" xfId="0" applyNumberFormat="1" applyFont="1" applyFill="1" applyBorder="1" applyAlignment="1" applyProtection="1">
      <alignment horizontal="center" vertical="center"/>
      <protection locked="0"/>
    </xf>
    <xf numFmtId="10" fontId="10" fillId="0" borderId="19" xfId="0" applyNumberFormat="1" applyFont="1" applyBorder="1" applyAlignment="1">
      <alignment horizontal="center" vertical="center"/>
    </xf>
    <xf numFmtId="2" fontId="0" fillId="0" borderId="0" xfId="0" applyNumberFormat="1"/>
    <xf numFmtId="10" fontId="26" fillId="12" borderId="19" xfId="0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10" fontId="20" fillId="14" borderId="19" xfId="3" applyNumberFormat="1" applyFont="1" applyFill="1" applyBorder="1" applyAlignment="1" applyProtection="1">
      <alignment horizontal="center" vertical="center"/>
    </xf>
    <xf numFmtId="10" fontId="27" fillId="0" borderId="19" xfId="0" applyNumberFormat="1" applyFont="1" applyBorder="1" applyAlignment="1">
      <alignment horizontal="center" vertical="center"/>
    </xf>
    <xf numFmtId="10" fontId="28" fillId="0" borderId="14" xfId="0" applyNumberFormat="1" applyFont="1" applyBorder="1" applyAlignment="1">
      <alignment horizontal="center" vertical="center"/>
    </xf>
    <xf numFmtId="10" fontId="29" fillId="0" borderId="19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center"/>
    </xf>
    <xf numFmtId="0" fontId="9" fillId="15" borderId="17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8" fillId="15" borderId="19" xfId="0" applyFont="1" applyFill="1" applyBorder="1" applyAlignment="1">
      <alignment horizontal="center" vertical="center" wrapText="1"/>
    </xf>
    <xf numFmtId="10" fontId="9" fillId="15" borderId="4" xfId="0" applyNumberFormat="1" applyFont="1" applyFill="1" applyBorder="1" applyAlignment="1">
      <alignment horizontal="center" vertical="center" wrapText="1"/>
    </xf>
    <xf numFmtId="10" fontId="11" fillId="15" borderId="19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0" fontId="10" fillId="0" borderId="4" xfId="0" applyNumberFormat="1" applyFont="1" applyBorder="1" applyAlignment="1">
      <alignment horizontal="center" vertical="center" wrapText="1"/>
    </xf>
    <xf numFmtId="10" fontId="10" fillId="0" borderId="19" xfId="0" applyNumberFormat="1" applyFont="1" applyBorder="1" applyAlignment="1">
      <alignment horizontal="center" vertical="center" wrapText="1"/>
    </xf>
    <xf numFmtId="0" fontId="27" fillId="15" borderId="17" xfId="0" applyFont="1" applyFill="1" applyBorder="1" applyAlignment="1">
      <alignment horizontal="center" vertical="center" wrapText="1"/>
    </xf>
    <xf numFmtId="10" fontId="27" fillId="15" borderId="4" xfId="0" applyNumberFormat="1" applyFont="1" applyFill="1" applyBorder="1" applyAlignment="1">
      <alignment horizontal="center" vertical="center" wrapText="1"/>
    </xf>
    <xf numFmtId="10" fontId="27" fillId="15" borderId="19" xfId="0" applyNumberFormat="1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10" fontId="27" fillId="0" borderId="4" xfId="0" applyNumberFormat="1" applyFont="1" applyBorder="1" applyAlignment="1">
      <alignment horizontal="center" vertical="center" wrapText="1"/>
    </xf>
    <xf numFmtId="10" fontId="31" fillId="0" borderId="19" xfId="0" applyNumberFormat="1" applyFont="1" applyBorder="1" applyAlignment="1">
      <alignment horizontal="center" vertical="center" wrapText="1"/>
    </xf>
    <xf numFmtId="0" fontId="20" fillId="14" borderId="3" xfId="0" applyFont="1" applyFill="1" applyBorder="1" applyAlignment="1">
      <alignment horizontal="left" vertical="center"/>
    </xf>
    <xf numFmtId="0" fontId="20" fillId="14" borderId="0" xfId="0" applyFont="1" applyFill="1"/>
    <xf numFmtId="0" fontId="20" fillId="14" borderId="46" xfId="0" applyFont="1" applyFill="1" applyBorder="1"/>
    <xf numFmtId="0" fontId="27" fillId="15" borderId="22" xfId="0" applyFont="1" applyFill="1" applyBorder="1" applyAlignment="1">
      <alignment horizontal="center" vertical="center" wrapText="1"/>
    </xf>
    <xf numFmtId="10" fontId="27" fillId="15" borderId="28" xfId="0" applyNumberFormat="1" applyFont="1" applyFill="1" applyBorder="1" applyAlignment="1">
      <alignment horizontal="center" vertical="center" wrapText="1"/>
    </xf>
    <xf numFmtId="10" fontId="31" fillId="15" borderId="29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45" xfId="0" applyFont="1" applyBorder="1"/>
    <xf numFmtId="0" fontId="9" fillId="0" borderId="3" xfId="0" applyFont="1" applyBorder="1"/>
    <xf numFmtId="0" fontId="9" fillId="0" borderId="46" xfId="0" applyFont="1" applyBorder="1"/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12" borderId="4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 wrapText="1"/>
    </xf>
    <xf numFmtId="0" fontId="27" fillId="12" borderId="4" xfId="0" applyFont="1" applyFill="1" applyBorder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4" fontId="9" fillId="0" borderId="4" xfId="0" applyNumberFormat="1" applyFont="1" applyBorder="1" applyAlignment="1">
      <alignment horizontal="center" vertical="center"/>
    </xf>
    <xf numFmtId="0" fontId="9" fillId="2" borderId="19" xfId="0" applyFont="1" applyFill="1" applyBorder="1" applyAlignment="1" applyProtection="1">
      <alignment vertical="center" wrapText="1"/>
      <protection locked="0"/>
    </xf>
    <xf numFmtId="0" fontId="17" fillId="9" borderId="0" xfId="0" applyFont="1" applyFill="1" applyAlignment="1">
      <alignment horizontal="center"/>
    </xf>
    <xf numFmtId="0" fontId="17" fillId="9" borderId="0" xfId="0" applyFont="1" applyFill="1" applyAlignment="1">
      <alignment horizontal="center" vertical="center" wrapText="1"/>
    </xf>
    <xf numFmtId="0" fontId="9" fillId="2" borderId="19" xfId="0" applyFont="1" applyFill="1" applyBorder="1" applyAlignment="1" applyProtection="1">
      <alignment vertical="center"/>
      <protection locked="0"/>
    </xf>
    <xf numFmtId="0" fontId="16" fillId="9" borderId="4" xfId="0" applyFont="1" applyFill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33" fillId="0" borderId="4" xfId="0" applyFont="1" applyBorder="1" applyAlignment="1">
      <alignment horizontal="center" vertical="center" wrapText="1"/>
    </xf>
    <xf numFmtId="0" fontId="33" fillId="9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vertical="center" wrapText="1"/>
    </xf>
    <xf numFmtId="2" fontId="9" fillId="2" borderId="49" xfId="0" applyNumberFormat="1" applyFont="1" applyFill="1" applyBorder="1" applyAlignment="1" applyProtection="1">
      <alignment horizontal="center" vertical="center"/>
      <protection locked="0"/>
    </xf>
    <xf numFmtId="0" fontId="9" fillId="2" borderId="50" xfId="0" applyFont="1" applyFill="1" applyBorder="1" applyAlignment="1" applyProtection="1">
      <alignment vertical="center" wrapText="1"/>
      <protection locked="0"/>
    </xf>
    <xf numFmtId="4" fontId="7" fillId="12" borderId="28" xfId="1" applyNumberFormat="1" applyFont="1" applyFill="1" applyBorder="1" applyAlignment="1" applyProtection="1">
      <alignment horizontal="center" vertical="center"/>
    </xf>
    <xf numFmtId="169" fontId="7" fillId="12" borderId="29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0" fillId="0" borderId="46" xfId="0" applyBorder="1"/>
    <xf numFmtId="0" fontId="7" fillId="0" borderId="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7" fillId="16" borderId="12" xfId="0" applyFont="1" applyFill="1" applyBorder="1" applyAlignment="1">
      <alignment horizontal="center" vertical="center"/>
    </xf>
    <xf numFmtId="0" fontId="27" fillId="16" borderId="12" xfId="0" applyFont="1" applyFill="1" applyBorder="1" applyAlignment="1">
      <alignment horizontal="center" vertical="center" wrapText="1"/>
    </xf>
    <xf numFmtId="0" fontId="16" fillId="9" borderId="4" xfId="0" applyFont="1" applyFill="1" applyBorder="1"/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45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46" xfId="0" applyFont="1" applyBorder="1"/>
    <xf numFmtId="0" fontId="19" fillId="0" borderId="3" xfId="0" applyFont="1" applyBorder="1" applyAlignment="1">
      <alignment horizontal="center" vertical="center"/>
    </xf>
    <xf numFmtId="9" fontId="34" fillId="0" borderId="46" xfId="0" applyNumberFormat="1" applyFont="1" applyBorder="1" applyAlignment="1">
      <alignment horizontal="center" vertical="center"/>
    </xf>
    <xf numFmtId="0" fontId="7" fillId="12" borderId="17" xfId="0" applyFont="1" applyFill="1" applyBorder="1" applyAlignment="1">
      <alignment horizontal="center" vertical="center" wrapText="1"/>
    </xf>
    <xf numFmtId="4" fontId="7" fillId="12" borderId="4" xfId="0" applyNumberFormat="1" applyFont="1" applyFill="1" applyBorder="1" applyAlignment="1">
      <alignment horizontal="center" vertical="center" wrapText="1"/>
    </xf>
    <xf numFmtId="4" fontId="7" fillId="12" borderId="19" xfId="0" applyNumberFormat="1" applyFont="1" applyFill="1" applyBorder="1" applyAlignment="1">
      <alignment horizontal="center" vertical="center" wrapText="1"/>
    </xf>
    <xf numFmtId="170" fontId="17" fillId="0" borderId="17" xfId="0" applyNumberFormat="1" applyFont="1" applyBorder="1" applyAlignment="1">
      <alignment horizontal="center" vertical="center"/>
    </xf>
    <xf numFmtId="0" fontId="1" fillId="9" borderId="4" xfId="0" applyFont="1" applyFill="1" applyBorder="1" applyAlignment="1">
      <alignment vertical="center" wrapText="1"/>
    </xf>
    <xf numFmtId="170" fontId="17" fillId="9" borderId="4" xfId="0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 applyProtection="1">
      <alignment horizontal="center" vertical="center"/>
      <protection locked="0"/>
    </xf>
    <xf numFmtId="4" fontId="9" fillId="0" borderId="4" xfId="1" applyNumberFormat="1" applyFont="1" applyBorder="1" applyAlignment="1" applyProtection="1">
      <alignment horizontal="center" vertical="center"/>
    </xf>
    <xf numFmtId="4" fontId="9" fillId="0" borderId="19" xfId="1" applyNumberFormat="1" applyFont="1" applyBorder="1" applyAlignment="1" applyProtection="1">
      <alignment horizontal="center" vertical="center"/>
    </xf>
    <xf numFmtId="0" fontId="17" fillId="0" borderId="43" xfId="0" applyFont="1" applyBorder="1" applyAlignment="1">
      <alignment vertical="center" wrapText="1"/>
    </xf>
    <xf numFmtId="170" fontId="17" fillId="9" borderId="43" xfId="0" applyNumberFormat="1" applyFont="1" applyFill="1" applyBorder="1" applyAlignment="1">
      <alignment horizontal="center" vertical="center"/>
    </xf>
    <xf numFmtId="4" fontId="9" fillId="2" borderId="43" xfId="1" applyNumberFormat="1" applyFont="1" applyFill="1" applyBorder="1" applyAlignment="1" applyProtection="1">
      <alignment horizontal="center" vertical="center"/>
      <protection locked="0"/>
    </xf>
    <xf numFmtId="170" fontId="17" fillId="0" borderId="37" xfId="0" applyNumberFormat="1" applyFont="1" applyBorder="1" applyAlignment="1">
      <alignment horizontal="center" vertical="center"/>
    </xf>
    <xf numFmtId="0" fontId="17" fillId="9" borderId="43" xfId="0" applyFont="1" applyFill="1" applyBorder="1" applyAlignment="1">
      <alignment vertical="center" wrapText="1"/>
    </xf>
    <xf numFmtId="4" fontId="7" fillId="12" borderId="19" xfId="1" applyNumberFormat="1" applyFont="1" applyFill="1" applyBorder="1" applyAlignment="1" applyProtection="1">
      <alignment horizontal="center" vertical="center"/>
    </xf>
    <xf numFmtId="170" fontId="5" fillId="0" borderId="37" xfId="0" applyNumberFormat="1" applyFont="1" applyBorder="1" applyAlignment="1">
      <alignment horizontal="center" vertical="center"/>
    </xf>
    <xf numFmtId="170" fontId="1" fillId="0" borderId="51" xfId="0" applyNumberFormat="1" applyFont="1" applyBorder="1" applyAlignment="1">
      <alignment horizontal="center" vertical="center"/>
    </xf>
    <xf numFmtId="4" fontId="7" fillId="0" borderId="52" xfId="1" applyNumberFormat="1" applyFont="1" applyBorder="1" applyAlignment="1" applyProtection="1">
      <alignment horizontal="center" vertical="center"/>
    </xf>
    <xf numFmtId="4" fontId="29" fillId="12" borderId="29" xfId="1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8" fillId="0" borderId="53" xfId="0" applyFont="1" applyBorder="1" applyAlignment="1">
      <alignment horizontal="left" vertical="center"/>
    </xf>
    <xf numFmtId="0" fontId="18" fillId="0" borderId="30" xfId="0" applyFont="1" applyBorder="1" applyAlignment="1">
      <alignment horizontal="left"/>
    </xf>
    <xf numFmtId="1" fontId="18" fillId="0" borderId="30" xfId="0" applyNumberFormat="1" applyFont="1" applyBorder="1" applyAlignment="1">
      <alignment horizontal="center"/>
    </xf>
    <xf numFmtId="0" fontId="18" fillId="0" borderId="30" xfId="0" applyFont="1" applyBorder="1"/>
    <xf numFmtId="0" fontId="1" fillId="0" borderId="30" xfId="0" applyFont="1" applyBorder="1"/>
    <xf numFmtId="1" fontId="1" fillId="0" borderId="30" xfId="0" applyNumberFormat="1" applyFont="1" applyBorder="1" applyAlignment="1">
      <alignment horizontal="center"/>
    </xf>
    <xf numFmtId="2" fontId="1" fillId="0" borderId="30" xfId="0" applyNumberFormat="1" applyFont="1" applyBorder="1" applyAlignment="1">
      <alignment horizontal="center"/>
    </xf>
    <xf numFmtId="4" fontId="1" fillId="0" borderId="54" xfId="0" applyNumberFormat="1" applyFont="1" applyBorder="1" applyAlignment="1">
      <alignment horizontal="center"/>
    </xf>
    <xf numFmtId="0" fontId="18" fillId="0" borderId="3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center"/>
    </xf>
    <xf numFmtId="0" fontId="18" fillId="0" borderId="0" xfId="0" applyFont="1"/>
    <xf numFmtId="4" fontId="1" fillId="0" borderId="46" xfId="0" applyNumberFormat="1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4" fontId="1" fillId="0" borderId="46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51" xfId="0" applyFont="1" applyBorder="1" applyAlignment="1">
      <alignment horizontal="left" vertical="center"/>
    </xf>
    <xf numFmtId="1" fontId="1" fillId="0" borderId="51" xfId="0" applyNumberFormat="1" applyFont="1" applyBorder="1" applyAlignment="1">
      <alignment horizontal="center" vertical="center"/>
    </xf>
    <xf numFmtId="2" fontId="1" fillId="0" borderId="51" xfId="0" applyNumberFormat="1" applyFont="1" applyBorder="1" applyAlignment="1">
      <alignment horizontal="center" vertical="center"/>
    </xf>
    <xf numFmtId="4" fontId="1" fillId="0" borderId="52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1" fontId="36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37" fillId="9" borderId="4" xfId="0" applyFont="1" applyFill="1" applyBorder="1" applyAlignment="1">
      <alignment horizontal="center" vertical="center"/>
    </xf>
    <xf numFmtId="170" fontId="37" fillId="9" borderId="18" xfId="1" applyNumberFormat="1" applyFont="1" applyFill="1" applyBorder="1" applyAlignment="1" applyProtection="1">
      <alignment horizontal="center" vertical="center"/>
    </xf>
    <xf numFmtId="0" fontId="37" fillId="0" borderId="4" xfId="0" applyFont="1" applyBorder="1" applyAlignment="1">
      <alignment vertical="center" wrapText="1"/>
    </xf>
    <xf numFmtId="0" fontId="37" fillId="0" borderId="4" xfId="0" applyFont="1" applyBorder="1" applyAlignment="1">
      <alignment horizontal="center" vertical="center" wrapText="1"/>
    </xf>
    <xf numFmtId="1" fontId="9" fillId="0" borderId="21" xfId="1" applyNumberFormat="1" applyFont="1" applyBorder="1" applyAlignment="1" applyProtection="1">
      <alignment horizontal="center" vertical="center"/>
    </xf>
    <xf numFmtId="2" fontId="9" fillId="2" borderId="4" xfId="1" applyNumberFormat="1" applyFont="1" applyFill="1" applyBorder="1" applyAlignment="1" applyProtection="1">
      <alignment horizontal="center" vertical="center"/>
      <protection locked="0"/>
    </xf>
    <xf numFmtId="0" fontId="38" fillId="0" borderId="4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 wrapText="1"/>
    </xf>
    <xf numFmtId="0" fontId="37" fillId="9" borderId="4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center" vertical="center"/>
    </xf>
    <xf numFmtId="170" fontId="37" fillId="9" borderId="18" xfId="1" applyNumberFormat="1" applyFont="1" applyFill="1" applyBorder="1" applyAlignment="1" applyProtection="1">
      <alignment vertical="center"/>
    </xf>
    <xf numFmtId="0" fontId="39" fillId="0" borderId="4" xfId="0" applyFont="1" applyBorder="1" applyAlignment="1">
      <alignment vertical="center" wrapText="1"/>
    </xf>
    <xf numFmtId="4" fontId="7" fillId="0" borderId="19" xfId="1" applyNumberFormat="1" applyFont="1" applyBorder="1" applyAlignment="1" applyProtection="1">
      <alignment horizontal="center" vertical="center"/>
    </xf>
    <xf numFmtId="2" fontId="19" fillId="12" borderId="56" xfId="0" applyNumberFormat="1" applyFont="1" applyFill="1" applyBorder="1" applyAlignment="1">
      <alignment horizontal="center" vertical="center"/>
    </xf>
    <xf numFmtId="4" fontId="40" fillId="12" borderId="25" xfId="1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" fontId="9" fillId="0" borderId="0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vertical="center" wrapText="1"/>
    </xf>
    <xf numFmtId="2" fontId="9" fillId="0" borderId="0" xfId="1" applyNumberFormat="1" applyFont="1" applyBorder="1" applyAlignment="1" applyProtection="1">
      <alignment horizontal="center" vertical="center"/>
    </xf>
    <xf numFmtId="4" fontId="9" fillId="0" borderId="46" xfId="1" applyNumberFormat="1" applyFont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5" fillId="5" borderId="43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170" fontId="37" fillId="9" borderId="4" xfId="1" applyNumberFormat="1" applyFont="1" applyFill="1" applyBorder="1" applyAlignment="1" applyProtection="1">
      <alignment horizontal="center" vertical="center"/>
    </xf>
    <xf numFmtId="1" fontId="7" fillId="0" borderId="4" xfId="0" applyNumberFormat="1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1" xfId="0" applyNumberFormat="1" applyFont="1" applyBorder="1" applyAlignment="1">
      <alignment horizontal="center" vertical="center" wrapText="1"/>
    </xf>
    <xf numFmtId="2" fontId="9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9" xfId="1" applyNumberFormat="1" applyFont="1" applyBorder="1" applyAlignment="1" applyProtection="1">
      <alignment horizontal="center" vertical="center"/>
    </xf>
    <xf numFmtId="0" fontId="19" fillId="0" borderId="0" xfId="0" applyFont="1" applyAlignment="1">
      <alignment horizontal="left" vertical="center"/>
    </xf>
    <xf numFmtId="1" fontId="19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4" fontId="19" fillId="0" borderId="46" xfId="1" applyNumberFormat="1" applyFont="1" applyBorder="1" applyAlignment="1" applyProtection="1">
      <alignment horizontal="center" vertical="center"/>
    </xf>
    <xf numFmtId="1" fontId="9" fillId="0" borderId="4" xfId="1" applyNumberFormat="1" applyFont="1" applyBorder="1" applyAlignment="1" applyProtection="1">
      <alignment horizontal="center" vertical="center"/>
    </xf>
    <xf numFmtId="1" fontId="41" fillId="0" borderId="17" xfId="0" applyNumberFormat="1" applyFont="1" applyBorder="1" applyAlignment="1">
      <alignment horizontal="center" vertical="center"/>
    </xf>
    <xf numFmtId="170" fontId="37" fillId="9" borderId="4" xfId="1" applyNumberFormat="1" applyFont="1" applyFill="1" applyBorder="1" applyAlignment="1" applyProtection="1">
      <alignment vertical="center"/>
    </xf>
    <xf numFmtId="4" fontId="7" fillId="0" borderId="25" xfId="1" applyNumberFormat="1" applyFont="1" applyBorder="1" applyAlignment="1" applyProtection="1">
      <alignment horizontal="center" vertical="center"/>
    </xf>
    <xf numFmtId="0" fontId="10" fillId="0" borderId="0" xfId="0" applyFont="1"/>
    <xf numFmtId="49" fontId="43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9" fillId="9" borderId="4" xfId="0" applyFont="1" applyFill="1" applyBorder="1" applyAlignment="1">
      <alignment horizontal="center" vertical="center"/>
    </xf>
    <xf numFmtId="0" fontId="44" fillId="17" borderId="4" xfId="0" applyFont="1" applyFill="1" applyBorder="1" applyAlignment="1">
      <alignment horizontal="center" vertical="center"/>
    </xf>
    <xf numFmtId="4" fontId="44" fillId="17" borderId="4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10" fontId="9" fillId="0" borderId="4" xfId="0" applyNumberFormat="1" applyFont="1" applyBorder="1" applyAlignment="1">
      <alignment horizontal="center" vertical="center"/>
    </xf>
    <xf numFmtId="4" fontId="9" fillId="9" borderId="4" xfId="4" applyNumberFormat="1" applyFont="1" applyFill="1" applyBorder="1" applyAlignment="1" applyProtection="1">
      <alignment vertical="center"/>
    </xf>
    <xf numFmtId="10" fontId="28" fillId="0" borderId="4" xfId="0" applyNumberFormat="1" applyFont="1" applyBorder="1" applyAlignment="1">
      <alignment horizontal="center" vertical="center"/>
    </xf>
    <xf numFmtId="10" fontId="29" fillId="0" borderId="4" xfId="0" applyNumberFormat="1" applyFont="1" applyBorder="1" applyAlignment="1">
      <alignment horizontal="center" vertical="center"/>
    </xf>
    <xf numFmtId="4" fontId="7" fillId="9" borderId="4" xfId="4" applyNumberFormat="1" applyFont="1" applyFill="1" applyBorder="1" applyAlignment="1" applyProtection="1">
      <alignment horizontal="right" vertical="center"/>
    </xf>
    <xf numFmtId="0" fontId="29" fillId="12" borderId="4" xfId="0" applyFont="1" applyFill="1" applyBorder="1" applyAlignment="1" applyProtection="1">
      <alignment horizontal="center" vertical="center"/>
      <protection locked="0"/>
    </xf>
    <xf numFmtId="0" fontId="29" fillId="12" borderId="4" xfId="0" applyFont="1" applyFill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4" fontId="9" fillId="0" borderId="4" xfId="0" applyNumberFormat="1" applyFont="1" applyBorder="1" applyAlignment="1" applyProtection="1">
      <alignment vertical="center"/>
      <protection locked="0"/>
    </xf>
    <xf numFmtId="4" fontId="9" fillId="0" borderId="4" xfId="0" applyNumberFormat="1" applyFont="1" applyBorder="1"/>
    <xf numFmtId="4" fontId="29" fillId="0" borderId="4" xfId="0" applyNumberFormat="1" applyFont="1" applyBorder="1" applyAlignment="1" applyProtection="1">
      <alignment vertical="center"/>
      <protection locked="0"/>
    </xf>
    <xf numFmtId="10" fontId="29" fillId="12" borderId="4" xfId="0" applyNumberFormat="1" applyFont="1" applyFill="1" applyBorder="1" applyAlignment="1">
      <alignment horizontal="center" vertical="center"/>
    </xf>
    <xf numFmtId="10" fontId="9" fillId="0" borderId="4" xfId="0" applyNumberFormat="1" applyFont="1" applyBorder="1" applyAlignment="1" applyProtection="1">
      <alignment vertical="center" wrapText="1"/>
      <protection locked="0"/>
    </xf>
    <xf numFmtId="4" fontId="9" fillId="9" borderId="4" xfId="0" applyNumberFormat="1" applyFont="1" applyFill="1" applyBorder="1" applyAlignment="1">
      <alignment horizontal="right" vertical="center"/>
    </xf>
    <xf numFmtId="0" fontId="29" fillId="0" borderId="4" xfId="0" applyFont="1" applyBorder="1" applyAlignment="1" applyProtection="1">
      <alignment horizontal="center" vertical="center"/>
      <protection locked="0"/>
    </xf>
    <xf numFmtId="10" fontId="29" fillId="0" borderId="4" xfId="0" applyNumberFormat="1" applyFont="1" applyBorder="1" applyAlignment="1" applyProtection="1">
      <alignment vertical="center" wrapText="1"/>
      <protection locked="0"/>
    </xf>
    <xf numFmtId="4" fontId="29" fillId="9" borderId="4" xfId="0" applyNumberFormat="1" applyFont="1" applyFill="1" applyBorder="1" applyAlignment="1" applyProtection="1">
      <alignment horizontal="right" vertical="center"/>
      <protection locked="0"/>
    </xf>
    <xf numFmtId="0" fontId="9" fillId="9" borderId="4" xfId="0" applyFont="1" applyFill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29" fillId="12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4" fontId="28" fillId="9" borderId="4" xfId="0" applyNumberFormat="1" applyFont="1" applyFill="1" applyBorder="1" applyAlignment="1">
      <alignment vertical="center"/>
    </xf>
    <xf numFmtId="0" fontId="29" fillId="0" borderId="4" xfId="0" applyFont="1" applyBorder="1" applyAlignment="1">
      <alignment vertical="center"/>
    </xf>
    <xf numFmtId="4" fontId="29" fillId="9" borderId="4" xfId="0" applyNumberFormat="1" applyFont="1" applyFill="1" applyBorder="1" applyAlignment="1">
      <alignment vertical="center"/>
    </xf>
    <xf numFmtId="4" fontId="29" fillId="12" borderId="4" xfId="0" applyNumberFormat="1" applyFont="1" applyFill="1" applyBorder="1" applyAlignment="1">
      <alignment vertical="center"/>
    </xf>
    <xf numFmtId="0" fontId="2" fillId="0" borderId="2" xfId="0" applyFont="1" applyBorder="1"/>
    <xf numFmtId="0" fontId="1" fillId="0" borderId="2" xfId="0" applyFont="1" applyBorder="1"/>
    <xf numFmtId="0" fontId="1" fillId="0" borderId="45" xfId="0" applyFont="1" applyBorder="1"/>
    <xf numFmtId="0" fontId="1" fillId="0" borderId="3" xfId="0" applyFont="1" applyBorder="1"/>
    <xf numFmtId="0" fontId="1" fillId="0" borderId="46" xfId="0" applyFont="1" applyBorder="1"/>
    <xf numFmtId="0" fontId="45" fillId="0" borderId="0" xfId="0" applyFont="1" applyAlignment="1">
      <alignment vertical="center"/>
    </xf>
    <xf numFmtId="0" fontId="6" fillId="12" borderId="58" xfId="0" applyFont="1" applyFill="1" applyBorder="1" applyAlignment="1">
      <alignment vertical="center"/>
    </xf>
    <xf numFmtId="0" fontId="46" fillId="12" borderId="59" xfId="0" applyFont="1" applyFill="1" applyBorder="1" applyAlignment="1">
      <alignment vertical="center" wrapText="1"/>
    </xf>
    <xf numFmtId="0" fontId="21" fillId="12" borderId="59" xfId="0" applyFont="1" applyFill="1" applyBorder="1" applyAlignment="1">
      <alignment vertical="center"/>
    </xf>
    <xf numFmtId="0" fontId="19" fillId="12" borderId="59" xfId="0" applyFont="1" applyFill="1" applyBorder="1" applyAlignment="1">
      <alignment vertical="center"/>
    </xf>
    <xf numFmtId="0" fontId="6" fillId="12" borderId="59" xfId="0" applyFont="1" applyFill="1" applyBorder="1" applyAlignment="1">
      <alignment vertical="center"/>
    </xf>
    <xf numFmtId="0" fontId="5" fillId="12" borderId="2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center" vertical="center" wrapText="1"/>
    </xf>
    <xf numFmtId="0" fontId="10" fillId="12" borderId="29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center" vertical="center"/>
    </xf>
    <xf numFmtId="0" fontId="9" fillId="12" borderId="28" xfId="0" applyFont="1" applyFill="1" applyBorder="1" applyAlignment="1">
      <alignment horizontal="center" vertical="center" wrapText="1"/>
    </xf>
    <xf numFmtId="0" fontId="9" fillId="12" borderId="36" xfId="0" applyFont="1" applyFill="1" applyBorder="1" applyAlignment="1">
      <alignment horizontal="center" vertical="center" wrapText="1"/>
    </xf>
    <xf numFmtId="0" fontId="9" fillId="12" borderId="29" xfId="0" applyFont="1" applyFill="1" applyBorder="1" applyAlignment="1">
      <alignment horizontal="center" vertical="center" wrapText="1"/>
    </xf>
    <xf numFmtId="0" fontId="9" fillId="12" borderId="27" xfId="0" applyFont="1" applyFill="1" applyBorder="1" applyAlignment="1">
      <alignment horizontal="center" vertical="center" wrapText="1"/>
    </xf>
    <xf numFmtId="0" fontId="10" fillId="12" borderId="3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1" fontId="1" fillId="0" borderId="12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61" xfId="0" applyNumberFormat="1" applyFont="1" applyBorder="1" applyAlignment="1">
      <alignment horizontal="center" vertical="center"/>
    </xf>
    <xf numFmtId="164" fontId="5" fillId="0" borderId="12" xfId="1" applyFont="1" applyBorder="1" applyAlignment="1" applyProtection="1">
      <alignment horizontal="center" vertical="center"/>
    </xf>
    <xf numFmtId="164" fontId="5" fillId="0" borderId="33" xfId="1" applyFont="1" applyBorder="1" applyAlignment="1" applyProtection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164" fontId="5" fillId="0" borderId="13" xfId="1" applyFont="1" applyBorder="1" applyAlignment="1" applyProtection="1">
      <alignment horizontal="center" vertical="center"/>
    </xf>
    <xf numFmtId="164" fontId="1" fillId="0" borderId="11" xfId="1" applyFont="1" applyBorder="1" applyAlignment="1" applyProtection="1">
      <alignment horizontal="center" vertical="center"/>
    </xf>
    <xf numFmtId="164" fontId="1" fillId="0" borderId="12" xfId="1" applyFont="1" applyBorder="1" applyAlignment="1" applyProtection="1">
      <alignment horizontal="center" vertical="center"/>
    </xf>
    <xf numFmtId="164" fontId="5" fillId="0" borderId="64" xfId="1" applyFont="1" applyBorder="1" applyAlignment="1" applyProtection="1">
      <alignment horizontal="center" vertical="center"/>
    </xf>
    <xf numFmtId="164" fontId="1" fillId="12" borderId="11" xfId="1" applyFont="1" applyFill="1" applyBorder="1" applyAlignment="1" applyProtection="1">
      <alignment horizontal="center" vertical="center"/>
    </xf>
    <xf numFmtId="164" fontId="1" fillId="12" borderId="4" xfId="1" applyFont="1" applyFill="1" applyBorder="1" applyAlignment="1" applyProtection="1">
      <alignment horizontal="center" vertical="center"/>
    </xf>
    <xf numFmtId="164" fontId="1" fillId="12" borderId="19" xfId="1" applyFont="1" applyFill="1" applyBorder="1" applyAlignment="1" applyProtection="1">
      <alignment horizontal="center" vertical="center"/>
    </xf>
    <xf numFmtId="165" fontId="1" fillId="0" borderId="65" xfId="2" applyFont="1" applyBorder="1" applyAlignment="1" applyProtection="1">
      <alignment horizontal="right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horizontal="center" vertical="center"/>
    </xf>
    <xf numFmtId="164" fontId="5" fillId="0" borderId="4" xfId="1" applyFont="1" applyBorder="1" applyAlignment="1" applyProtection="1">
      <alignment horizontal="center" vertical="center"/>
    </xf>
    <xf numFmtId="164" fontId="5" fillId="0" borderId="19" xfId="1" applyFont="1" applyBorder="1" applyAlignment="1" applyProtection="1">
      <alignment horizontal="center" vertical="center"/>
    </xf>
    <xf numFmtId="4" fontId="1" fillId="0" borderId="21" xfId="0" applyNumberFormat="1" applyFont="1" applyBorder="1" applyAlignment="1">
      <alignment horizontal="center" vertical="center"/>
    </xf>
    <xf numFmtId="164" fontId="5" fillId="0" borderId="14" xfId="1" applyFont="1" applyBorder="1" applyAlignment="1" applyProtection="1">
      <alignment horizontal="center" vertical="center"/>
    </xf>
    <xf numFmtId="164" fontId="1" fillId="0" borderId="21" xfId="1" applyFont="1" applyBorder="1" applyAlignment="1" applyProtection="1">
      <alignment horizontal="center" vertical="center"/>
    </xf>
    <xf numFmtId="164" fontId="5" fillId="0" borderId="15" xfId="1" applyFont="1" applyBorder="1" applyAlignment="1" applyProtection="1">
      <alignment horizontal="center" vertical="center"/>
    </xf>
    <xf numFmtId="164" fontId="5" fillId="12" borderId="21" xfId="1" applyFont="1" applyFill="1" applyBorder="1" applyAlignment="1" applyProtection="1">
      <alignment horizontal="center" vertical="center"/>
    </xf>
    <xf numFmtId="164" fontId="5" fillId="12" borderId="4" xfId="1" applyFont="1" applyFill="1" applyBorder="1" applyAlignment="1" applyProtection="1">
      <alignment horizontal="center" vertical="center"/>
    </xf>
    <xf numFmtId="164" fontId="5" fillId="12" borderId="19" xfId="1" applyFont="1" applyFill="1" applyBorder="1" applyAlignment="1" applyProtection="1">
      <alignment horizontal="center" vertical="center"/>
    </xf>
    <xf numFmtId="164" fontId="5" fillId="9" borderId="21" xfId="1" applyFont="1" applyFill="1" applyBorder="1" applyAlignment="1" applyProtection="1">
      <alignment horizontal="center" vertical="center"/>
    </xf>
    <xf numFmtId="164" fontId="5" fillId="9" borderId="4" xfId="1" applyFont="1" applyFill="1" applyBorder="1" applyAlignment="1" applyProtection="1">
      <alignment horizontal="center" vertical="center"/>
    </xf>
    <xf numFmtId="164" fontId="5" fillId="9" borderId="19" xfId="1" applyFont="1" applyFill="1" applyBorder="1" applyAlignment="1" applyProtection="1">
      <alignment horizontal="center" vertical="center"/>
    </xf>
    <xf numFmtId="0" fontId="1" fillId="0" borderId="24" xfId="0" applyFont="1" applyBorder="1" applyAlignment="1">
      <alignment vertical="center" wrapText="1"/>
    </xf>
    <xf numFmtId="1" fontId="1" fillId="0" borderId="66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4" fontId="1" fillId="0" borderId="28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/>
    </xf>
    <xf numFmtId="164" fontId="5" fillId="0" borderId="66" xfId="1" applyFont="1" applyBorder="1" applyAlignment="1" applyProtection="1">
      <alignment horizontal="center" vertical="center"/>
    </xf>
    <xf numFmtId="164" fontId="5" fillId="0" borderId="25" xfId="1" applyFont="1" applyBorder="1" applyAlignment="1" applyProtection="1">
      <alignment horizontal="center" vertical="center"/>
    </xf>
    <xf numFmtId="164" fontId="1" fillId="0" borderId="27" xfId="1" applyFont="1" applyBorder="1" applyAlignment="1" applyProtection="1">
      <alignment horizontal="center" vertical="center"/>
    </xf>
    <xf numFmtId="164" fontId="1" fillId="0" borderId="66" xfId="1" applyFont="1" applyBorder="1" applyAlignment="1" applyProtection="1">
      <alignment horizontal="center" vertical="center"/>
    </xf>
    <xf numFmtId="164" fontId="5" fillId="0" borderId="23" xfId="1" applyFont="1" applyBorder="1" applyAlignment="1" applyProtection="1">
      <alignment horizontal="center" vertical="center"/>
    </xf>
    <xf numFmtId="164" fontId="5" fillId="0" borderId="48" xfId="1" applyFont="1" applyBorder="1" applyAlignment="1" applyProtection="1">
      <alignment horizontal="center" vertical="center"/>
    </xf>
    <xf numFmtId="164" fontId="5" fillId="12" borderId="27" xfId="1" applyFont="1" applyFill="1" applyBorder="1" applyAlignment="1" applyProtection="1">
      <alignment horizontal="center" vertical="center"/>
    </xf>
    <xf numFmtId="164" fontId="5" fillId="12" borderId="28" xfId="1" applyFont="1" applyFill="1" applyBorder="1" applyAlignment="1" applyProtection="1">
      <alignment horizontal="center" vertical="center"/>
    </xf>
    <xf numFmtId="164" fontId="5" fillId="12" borderId="29" xfId="1" applyFont="1" applyFill="1" applyBorder="1" applyAlignment="1" applyProtection="1">
      <alignment horizontal="center" vertical="center"/>
    </xf>
    <xf numFmtId="165" fontId="1" fillId="0" borderId="67" xfId="2" applyFont="1" applyBorder="1" applyAlignment="1" applyProtection="1">
      <alignment horizontal="right" vertical="center"/>
    </xf>
    <xf numFmtId="1" fontId="19" fillId="12" borderId="24" xfId="0" applyNumberFormat="1" applyFont="1" applyFill="1" applyBorder="1" applyAlignment="1">
      <alignment horizontal="center" vertical="center"/>
    </xf>
    <xf numFmtId="4" fontId="19" fillId="12" borderId="66" xfId="0" applyNumberFormat="1" applyFont="1" applyFill="1" applyBorder="1" applyAlignment="1">
      <alignment horizontal="center" vertical="center"/>
    </xf>
    <xf numFmtId="4" fontId="19" fillId="12" borderId="23" xfId="0" applyNumberFormat="1" applyFont="1" applyFill="1" applyBorder="1" applyAlignment="1">
      <alignment horizontal="center" vertical="center"/>
    </xf>
    <xf numFmtId="4" fontId="19" fillId="12" borderId="24" xfId="0" applyNumberFormat="1" applyFont="1" applyFill="1" applyBorder="1" applyAlignment="1">
      <alignment horizontal="center" vertical="center"/>
    </xf>
    <xf numFmtId="4" fontId="19" fillId="12" borderId="25" xfId="0" applyNumberFormat="1" applyFont="1" applyFill="1" applyBorder="1" applyAlignment="1">
      <alignment horizontal="center" vertical="center"/>
    </xf>
    <xf numFmtId="164" fontId="19" fillId="12" borderId="68" xfId="1" applyFont="1" applyFill="1" applyBorder="1" applyAlignment="1" applyProtection="1">
      <alignment horizontal="center" vertical="center"/>
    </xf>
    <xf numFmtId="4" fontId="19" fillId="12" borderId="68" xfId="0" applyNumberFormat="1" applyFont="1" applyFill="1" applyBorder="1" applyAlignment="1">
      <alignment horizontal="center" vertical="center"/>
    </xf>
    <xf numFmtId="164" fontId="19" fillId="12" borderId="48" xfId="1" applyFont="1" applyFill="1" applyBorder="1" applyAlignment="1" applyProtection="1">
      <alignment horizontal="center" vertical="center"/>
    </xf>
    <xf numFmtId="165" fontId="19" fillId="19" borderId="67" xfId="2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vertical="center"/>
    </xf>
    <xf numFmtId="165" fontId="6" fillId="12" borderId="48" xfId="2" applyFont="1" applyFill="1" applyBorder="1" applyAlignment="1" applyProtection="1">
      <alignment vertical="center"/>
    </xf>
    <xf numFmtId="165" fontId="19" fillId="12" borderId="9" xfId="2" applyFont="1" applyFill="1" applyBorder="1" applyAlignment="1" applyProtection="1">
      <alignment vertical="center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/>
    </xf>
    <xf numFmtId="4" fontId="9" fillId="0" borderId="45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4" fontId="9" fillId="0" borderId="0" xfId="0" applyNumberFormat="1" applyFont="1" applyAlignment="1">
      <alignment horizontal="center" vertical="center"/>
    </xf>
    <xf numFmtId="4" fontId="9" fillId="0" borderId="46" xfId="0" applyNumberFormat="1" applyFont="1" applyBorder="1" applyAlignment="1">
      <alignment horizontal="center"/>
    </xf>
    <xf numFmtId="0" fontId="9" fillId="12" borderId="56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/>
    </xf>
    <xf numFmtId="1" fontId="9" fillId="0" borderId="4" xfId="0" applyNumberFormat="1" applyFont="1" applyBorder="1" applyAlignment="1" applyProtection="1">
      <alignment horizontal="center" vertical="center"/>
      <protection locked="0"/>
    </xf>
    <xf numFmtId="4" fontId="9" fillId="12" borderId="4" xfId="0" applyNumberFormat="1" applyFont="1" applyFill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vertical="center" wrapText="1"/>
      <protection locked="0"/>
    </xf>
    <xf numFmtId="10" fontId="9" fillId="0" borderId="43" xfId="0" applyNumberFormat="1" applyFont="1" applyBorder="1" applyAlignment="1" applyProtection="1">
      <alignment horizontal="center" vertical="center" wrapText="1"/>
      <protection locked="0"/>
    </xf>
    <xf numFmtId="4" fontId="9" fillId="12" borderId="43" xfId="0" applyNumberFormat="1" applyFont="1" applyFill="1" applyBorder="1" applyAlignment="1">
      <alignment horizontal="center" vertical="center"/>
    </xf>
    <xf numFmtId="4" fontId="9" fillId="0" borderId="43" xfId="0" applyNumberFormat="1" applyFont="1" applyBorder="1" applyAlignment="1">
      <alignment horizontal="center" vertical="center"/>
    </xf>
    <xf numFmtId="4" fontId="9" fillId="0" borderId="50" xfId="0" applyNumberFormat="1" applyFont="1" applyBorder="1" applyAlignment="1">
      <alignment horizontal="center" vertical="center"/>
    </xf>
    <xf numFmtId="4" fontId="7" fillId="12" borderId="4" xfId="0" applyNumberFormat="1" applyFont="1" applyFill="1" applyBorder="1" applyAlignment="1">
      <alignment horizontal="center" vertical="center"/>
    </xf>
    <xf numFmtId="4" fontId="7" fillId="12" borderId="19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 applyProtection="1">
      <alignment horizontal="center" vertical="center"/>
      <protection locked="0"/>
    </xf>
    <xf numFmtId="4" fontId="7" fillId="12" borderId="7" xfId="0" applyNumberFormat="1" applyFont="1" applyFill="1" applyBorder="1" applyAlignment="1">
      <alignment horizontal="center" vertical="center"/>
    </xf>
    <xf numFmtId="4" fontId="7" fillId="12" borderId="8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4" xfId="1" applyNumberFormat="1" applyFont="1" applyBorder="1" applyAlignment="1" applyProtection="1">
      <alignment horizontal="center" vertical="center"/>
    </xf>
    <xf numFmtId="10" fontId="9" fillId="0" borderId="4" xfId="3" applyNumberFormat="1" applyFont="1" applyBorder="1" applyAlignment="1" applyProtection="1">
      <alignment horizontal="center" vertical="center"/>
    </xf>
    <xf numFmtId="4" fontId="9" fillId="0" borderId="4" xfId="1" applyNumberFormat="1" applyFont="1" applyBorder="1" applyAlignment="1" applyProtection="1">
      <alignment horizontal="center" vertical="center"/>
      <protection locked="0"/>
    </xf>
    <xf numFmtId="2" fontId="9" fillId="0" borderId="43" xfId="1" applyNumberFormat="1" applyFont="1" applyBorder="1" applyAlignment="1" applyProtection="1">
      <alignment horizontal="center" vertical="center"/>
    </xf>
    <xf numFmtId="2" fontId="9" fillId="0" borderId="43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4" fontId="9" fillId="0" borderId="51" xfId="0" applyNumberFormat="1" applyFont="1" applyBorder="1" applyAlignment="1">
      <alignment vertical="center"/>
    </xf>
    <xf numFmtId="0" fontId="9" fillId="0" borderId="53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10" fontId="9" fillId="0" borderId="43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vertical="center"/>
    </xf>
    <xf numFmtId="0" fontId="7" fillId="12" borderId="58" xfId="0" applyFont="1" applyFill="1" applyBorder="1" applyAlignment="1">
      <alignment vertical="center"/>
    </xf>
    <xf numFmtId="0" fontId="7" fillId="12" borderId="59" xfId="0" applyFont="1" applyFill="1" applyBorder="1" applyAlignment="1">
      <alignment vertical="center"/>
    </xf>
    <xf numFmtId="10" fontId="7" fillId="12" borderId="7" xfId="0" applyNumberFormat="1" applyFont="1" applyFill="1" applyBorder="1" applyAlignment="1">
      <alignment horizontal="center" vertical="center"/>
    </xf>
    <xf numFmtId="4" fontId="7" fillId="12" borderId="7" xfId="0" applyNumberFormat="1" applyFont="1" applyFill="1" applyBorder="1" applyAlignment="1">
      <alignment vertical="center"/>
    </xf>
    <xf numFmtId="4" fontId="7" fillId="12" borderId="66" xfId="0" applyNumberFormat="1" applyFont="1" applyFill="1" applyBorder="1" applyAlignment="1">
      <alignment horizontal="center" vertical="center"/>
    </xf>
    <xf numFmtId="4" fontId="7" fillId="12" borderId="25" xfId="0" applyNumberFormat="1" applyFont="1" applyFill="1" applyBorder="1" applyAlignment="1">
      <alignment horizontal="center" vertical="center"/>
    </xf>
    <xf numFmtId="10" fontId="7" fillId="12" borderId="43" xfId="0" applyNumberFormat="1" applyFont="1" applyFill="1" applyBorder="1" applyAlignment="1">
      <alignment horizontal="center" vertical="center"/>
    </xf>
    <xf numFmtId="4" fontId="7" fillId="12" borderId="43" xfId="0" applyNumberFormat="1" applyFont="1" applyFill="1" applyBorder="1" applyAlignment="1">
      <alignment horizontal="center" vertical="center"/>
    </xf>
    <xf numFmtId="4" fontId="7" fillId="12" borderId="71" xfId="0" applyNumberFormat="1" applyFont="1" applyFill="1" applyBorder="1" applyAlignment="1">
      <alignment horizontal="center" vertical="center"/>
    </xf>
    <xf numFmtId="4" fontId="7" fillId="12" borderId="72" xfId="0" applyNumberFormat="1" applyFont="1" applyFill="1" applyBorder="1" applyAlignment="1">
      <alignment horizontal="center" vertical="center"/>
    </xf>
    <xf numFmtId="4" fontId="19" fillId="12" borderId="4" xfId="0" applyNumberFormat="1" applyFont="1" applyFill="1" applyBorder="1" applyAlignment="1">
      <alignment horizontal="center" vertical="center"/>
    </xf>
    <xf numFmtId="4" fontId="19" fillId="12" borderId="19" xfId="0" applyNumberFormat="1" applyFont="1" applyFill="1" applyBorder="1" applyAlignment="1">
      <alignment horizontal="center" vertical="center"/>
    </xf>
    <xf numFmtId="164" fontId="9" fillId="0" borderId="0" xfId="0" applyNumberFormat="1" applyFont="1"/>
    <xf numFmtId="2" fontId="19" fillId="12" borderId="28" xfId="0" applyNumberFormat="1" applyFont="1" applyFill="1" applyBorder="1" applyAlignment="1">
      <alignment horizontal="center" vertical="center"/>
    </xf>
    <xf numFmtId="165" fontId="7" fillId="13" borderId="29" xfId="2" applyFont="1" applyFill="1" applyBorder="1" applyAlignment="1" applyProtection="1">
      <alignment horizontal="center" vertical="center"/>
    </xf>
    <xf numFmtId="10" fontId="9" fillId="0" borderId="4" xfId="0" applyNumberFormat="1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>
      <alignment horizontal="right" vertical="center"/>
    </xf>
    <xf numFmtId="0" fontId="30" fillId="16" borderId="4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0" fontId="30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10" fontId="30" fillId="0" borderId="12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10" fontId="47" fillId="9" borderId="4" xfId="0" applyNumberFormat="1" applyFont="1" applyFill="1" applyBorder="1" applyAlignment="1">
      <alignment horizontal="center" vertical="center"/>
    </xf>
    <xf numFmtId="4" fontId="7" fillId="5" borderId="28" xfId="0" applyNumberFormat="1" applyFont="1" applyFill="1" applyBorder="1" applyAlignment="1">
      <alignment horizontal="center" vertical="center" wrapText="1"/>
    </xf>
    <xf numFmtId="4" fontId="7" fillId="5" borderId="2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right" vertical="center" wrapText="1"/>
    </xf>
    <xf numFmtId="0" fontId="7" fillId="5" borderId="22" xfId="0" applyFont="1" applyFill="1" applyBorder="1" applyAlignment="1">
      <alignment horizontal="right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6" fillId="9" borderId="28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9" fillId="12" borderId="4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/>
    </xf>
    <xf numFmtId="0" fontId="5" fillId="1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5" fillId="12" borderId="28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/>
    </xf>
    <xf numFmtId="0" fontId="1" fillId="0" borderId="42" xfId="0" applyFont="1" applyBorder="1" applyAlignment="1">
      <alignment horizontal="center"/>
    </xf>
    <xf numFmtId="0" fontId="1" fillId="0" borderId="28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4" fillId="12" borderId="47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wrapText="1"/>
    </xf>
    <xf numFmtId="0" fontId="7" fillId="12" borderId="20" xfId="0" applyFont="1" applyFill="1" applyBorder="1" applyAlignment="1">
      <alignment horizontal="center" vertical="center"/>
    </xf>
    <xf numFmtId="0" fontId="26" fillId="12" borderId="19" xfId="0" applyFont="1" applyFill="1" applyBorder="1" applyAlignment="1">
      <alignment horizontal="left" vertical="center"/>
    </xf>
    <xf numFmtId="0" fontId="26" fillId="12" borderId="17" xfId="0" applyFont="1" applyFill="1" applyBorder="1" applyAlignment="1">
      <alignment horizontal="left" vertical="center"/>
    </xf>
    <xf numFmtId="0" fontId="26" fillId="12" borderId="20" xfId="0" applyFont="1" applyFill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30" fillId="15" borderId="34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6" fillId="12" borderId="20" xfId="0" applyFont="1" applyFill="1" applyBorder="1" applyAlignment="1">
      <alignment horizontal="center" vertical="center"/>
    </xf>
    <xf numFmtId="0" fontId="26" fillId="12" borderId="35" xfId="0" applyFont="1" applyFill="1" applyBorder="1" applyAlignment="1">
      <alignment horizontal="left" vertical="center"/>
    </xf>
    <xf numFmtId="0" fontId="20" fillId="14" borderId="48" xfId="0" applyFont="1" applyFill="1" applyBorder="1" applyAlignment="1">
      <alignment horizontal="justify" wrapText="1"/>
    </xf>
    <xf numFmtId="0" fontId="21" fillId="12" borderId="4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 wrapText="1"/>
    </xf>
    <xf numFmtId="0" fontId="32" fillId="12" borderId="17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0" fontId="7" fillId="12" borderId="19" xfId="0" applyFont="1" applyFill="1" applyBorder="1" applyAlignment="1">
      <alignment horizontal="center" vertical="center" wrapText="1"/>
    </xf>
    <xf numFmtId="0" fontId="19" fillId="12" borderId="22" xfId="0" applyFont="1" applyFill="1" applyBorder="1" applyAlignment="1">
      <alignment horizontal="center" vertical="center"/>
    </xf>
    <xf numFmtId="0" fontId="7" fillId="16" borderId="4" xfId="0" applyFont="1" applyFill="1" applyBorder="1" applyAlignment="1">
      <alignment horizontal="center" vertical="center" wrapText="1"/>
    </xf>
    <xf numFmtId="49" fontId="5" fillId="12" borderId="22" xfId="0" applyNumberFormat="1" applyFont="1" applyFill="1" applyBorder="1" applyAlignment="1">
      <alignment horizontal="left" vertical="center" wrapText="1"/>
    </xf>
    <xf numFmtId="0" fontId="19" fillId="0" borderId="47" xfId="0" applyFont="1" applyBorder="1" applyAlignment="1">
      <alignment horizontal="center" vertical="center"/>
    </xf>
    <xf numFmtId="0" fontId="7" fillId="13" borderId="34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170" fontId="5" fillId="12" borderId="17" xfId="0" applyNumberFormat="1" applyFont="1" applyFill="1" applyBorder="1" applyAlignment="1">
      <alignment horizontal="left" vertical="center"/>
    </xf>
    <xf numFmtId="170" fontId="7" fillId="12" borderId="20" xfId="0" applyNumberFormat="1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 wrapText="1"/>
    </xf>
    <xf numFmtId="0" fontId="35" fillId="5" borderId="4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/>
    </xf>
    <xf numFmtId="0" fontId="19" fillId="12" borderId="55" xfId="0" applyFont="1" applyFill="1" applyBorder="1" applyAlignment="1">
      <alignment horizontal="left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0" fontId="42" fillId="12" borderId="4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/>
    </xf>
    <xf numFmtId="10" fontId="29" fillId="9" borderId="4" xfId="0" applyNumberFormat="1" applyFont="1" applyFill="1" applyBorder="1" applyAlignment="1">
      <alignment horizontal="center" vertical="center"/>
    </xf>
    <xf numFmtId="0" fontId="29" fillId="9" borderId="4" xfId="0" applyFont="1" applyFill="1" applyBorder="1" applyAlignment="1">
      <alignment horizontal="left" vertical="center" wrapText="1"/>
    </xf>
    <xf numFmtId="0" fontId="43" fillId="9" borderId="4" xfId="0" applyFont="1" applyFill="1" applyBorder="1" applyAlignment="1" applyProtection="1">
      <alignment horizontal="center" vertical="center"/>
      <protection locked="0"/>
    </xf>
    <xf numFmtId="0" fontId="44" fillId="17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 wrapText="1"/>
    </xf>
    <xf numFmtId="0" fontId="29" fillId="12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0" fontId="29" fillId="12" borderId="4" xfId="0" applyFont="1" applyFill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>
      <alignment horizontal="left" vertical="center"/>
    </xf>
    <xf numFmtId="0" fontId="29" fillId="12" borderId="4" xfId="0" applyFont="1" applyFill="1" applyBorder="1" applyAlignment="1">
      <alignment horizontal="center" vertical="center"/>
    </xf>
    <xf numFmtId="0" fontId="29" fillId="9" borderId="4" xfId="0" applyFont="1" applyFill="1" applyBorder="1" applyAlignment="1">
      <alignment horizontal="center" vertical="center"/>
    </xf>
    <xf numFmtId="0" fontId="21" fillId="18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9" borderId="57" xfId="0" applyFont="1" applyFill="1" applyBorder="1" applyAlignment="1">
      <alignment horizontal="center" vertical="center"/>
    </xf>
    <xf numFmtId="0" fontId="19" fillId="12" borderId="60" xfId="0" applyFont="1" applyFill="1" applyBorder="1" applyAlignment="1">
      <alignment horizontal="center" vertical="center" wrapText="1"/>
    </xf>
    <xf numFmtId="0" fontId="7" fillId="12" borderId="48" xfId="0" applyFont="1" applyFill="1" applyBorder="1" applyAlignment="1">
      <alignment horizontal="center" vertical="center" textRotation="90"/>
    </xf>
    <xf numFmtId="0" fontId="5" fillId="12" borderId="47" xfId="0" applyFont="1" applyFill="1" applyBorder="1" applyAlignment="1">
      <alignment horizontal="center" vertical="center" wrapText="1"/>
    </xf>
    <xf numFmtId="0" fontId="19" fillId="12" borderId="55" xfId="0" applyFont="1" applyFill="1" applyBorder="1" applyAlignment="1">
      <alignment horizontal="center" vertical="center"/>
    </xf>
    <xf numFmtId="0" fontId="19" fillId="12" borderId="48" xfId="0" applyFont="1" applyFill="1" applyBorder="1" applyAlignment="1">
      <alignment horizontal="center" vertical="center" wrapText="1"/>
    </xf>
    <xf numFmtId="0" fontId="5" fillId="12" borderId="61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62" xfId="0" applyFont="1" applyFill="1" applyBorder="1" applyAlignment="1">
      <alignment horizontal="center" vertical="center" wrapText="1"/>
    </xf>
    <xf numFmtId="0" fontId="7" fillId="12" borderId="62" xfId="0" applyFont="1" applyFill="1" applyBorder="1" applyAlignment="1">
      <alignment horizontal="center" vertical="center" wrapText="1"/>
    </xf>
    <xf numFmtId="0" fontId="9" fillId="12" borderId="37" xfId="0" applyFont="1" applyFill="1" applyBorder="1" applyAlignment="1">
      <alignment horizontal="center" vertical="center" wrapText="1"/>
    </xf>
    <xf numFmtId="0" fontId="18" fillId="12" borderId="63" xfId="0" applyFont="1" applyFill="1" applyBorder="1" applyAlignment="1">
      <alignment horizontal="center" vertical="center" wrapText="1"/>
    </xf>
    <xf numFmtId="0" fontId="9" fillId="12" borderId="33" xfId="0" applyFont="1" applyFill="1" applyBorder="1" applyAlignment="1">
      <alignment horizontal="center" vertical="center" wrapText="1"/>
    </xf>
    <xf numFmtId="0" fontId="9" fillId="12" borderId="41" xfId="0" applyFont="1" applyFill="1" applyBorder="1" applyAlignment="1">
      <alignment horizontal="center" vertical="center" wrapText="1"/>
    </xf>
    <xf numFmtId="0" fontId="9" fillId="12" borderId="61" xfId="0" applyFont="1" applyFill="1" applyBorder="1" applyAlignment="1">
      <alignment horizontal="center" vertical="center" wrapText="1"/>
    </xf>
    <xf numFmtId="0" fontId="9" fillId="12" borderId="34" xfId="0" applyFont="1" applyFill="1" applyBorder="1" applyAlignment="1">
      <alignment horizontal="center" vertical="center" wrapText="1"/>
    </xf>
    <xf numFmtId="0" fontId="9" fillId="12" borderId="58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textRotation="90"/>
    </xf>
    <xf numFmtId="0" fontId="19" fillId="12" borderId="9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left" vertical="center"/>
    </xf>
    <xf numFmtId="0" fontId="13" fillId="0" borderId="47" xfId="0" applyFont="1" applyBorder="1" applyAlignment="1">
      <alignment horizontal="left"/>
    </xf>
    <xf numFmtId="0" fontId="19" fillId="12" borderId="4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4" fontId="27" fillId="12" borderId="9" xfId="0" applyNumberFormat="1" applyFont="1" applyFill="1" applyBorder="1" applyAlignment="1">
      <alignment horizontal="center" vertical="center" wrapText="1"/>
    </xf>
    <xf numFmtId="0" fontId="7" fillId="12" borderId="69" xfId="0" applyFont="1" applyFill="1" applyBorder="1" applyAlignment="1">
      <alignment horizontal="left" vertical="center" wrapText="1"/>
    </xf>
    <xf numFmtId="0" fontId="7" fillId="12" borderId="3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10" fillId="0" borderId="19" xfId="0" applyNumberFormat="1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7" fillId="12" borderId="4" xfId="0" applyFont="1" applyFill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0" fontId="7" fillId="12" borderId="58" xfId="0" applyFont="1" applyFill="1" applyBorder="1" applyAlignment="1">
      <alignment horizontal="left" vertical="center"/>
    </xf>
    <xf numFmtId="0" fontId="7" fillId="12" borderId="15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/>
    </xf>
    <xf numFmtId="0" fontId="7" fillId="12" borderId="5" xfId="0" applyFont="1" applyFill="1" applyBorder="1" applyAlignment="1">
      <alignment horizontal="left" vertical="center"/>
    </xf>
    <xf numFmtId="4" fontId="9" fillId="0" borderId="52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7" fillId="12" borderId="55" xfId="0" applyFont="1" applyFill="1" applyBorder="1" applyAlignment="1">
      <alignment horizontal="left" vertical="center"/>
    </xf>
    <xf numFmtId="0" fontId="7" fillId="12" borderId="62" xfId="0" applyFont="1" applyFill="1" applyBorder="1" applyAlignment="1">
      <alignment horizontal="center" vertical="center"/>
    </xf>
    <xf numFmtId="4" fontId="7" fillId="13" borderId="28" xfId="0" applyNumberFormat="1" applyFont="1" applyFill="1" applyBorder="1" applyAlignment="1">
      <alignment horizontal="center" vertical="center" wrapText="1"/>
    </xf>
    <xf numFmtId="0" fontId="7" fillId="12" borderId="35" xfId="0" applyFont="1" applyFill="1" applyBorder="1" applyAlignment="1">
      <alignment horizontal="center" vertical="center"/>
    </xf>
    <xf numFmtId="0" fontId="7" fillId="12" borderId="17" xfId="0" applyFont="1" applyFill="1" applyBorder="1" applyAlignment="1">
      <alignment vertical="center"/>
    </xf>
    <xf numFmtId="0" fontId="7" fillId="12" borderId="17" xfId="0" applyFont="1" applyFill="1" applyBorder="1" applyAlignment="1">
      <alignment vertical="center" wrapText="1"/>
    </xf>
    <xf numFmtId="0" fontId="7" fillId="12" borderId="22" xfId="0" applyFont="1" applyFill="1" applyBorder="1" applyAlignment="1">
      <alignment vertical="center"/>
    </xf>
    <xf numFmtId="0" fontId="19" fillId="16" borderId="4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left" vertical="center"/>
    </xf>
    <xf numFmtId="0" fontId="30" fillId="16" borderId="4" xfId="0" applyFont="1" applyFill="1" applyBorder="1" applyAlignment="1">
      <alignment horizontal="center" vertical="center"/>
    </xf>
  </cellXfs>
  <cellStyles count="5">
    <cellStyle name="Excel Built-in Explanatory Text" xfId="4" xr:uid="{00000000-0005-0000-0000-000000000000}"/>
    <cellStyle name="Moeda" xfId="2" builtinId="4"/>
    <cellStyle name="Normal" xfId="0" builtinId="0"/>
    <cellStyle name="Porcentagem" xfId="3" builtinId="5"/>
    <cellStyle name="Vírgula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2F2F2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D9D9D9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B0F0"/>
      <rgbColor rgb="FFDCE6F2"/>
      <rgbColor rgb="FFC6EFCE"/>
      <rgbColor rgb="FFFFFF99"/>
      <rgbColor rgb="FFADB9CA"/>
      <rgbColor rgb="FFFFC7CE"/>
      <rgbColor rgb="FFBFBFBF"/>
      <rgbColor rgb="FFF8CBAD"/>
      <rgbColor rgb="FF3366CC"/>
      <rgbColor rgb="FF33CCCC"/>
      <rgbColor rgb="FF99CC00"/>
      <rgbColor rgb="FFF2DCDB"/>
      <rgbColor rgb="FFFF9900"/>
      <rgbColor rgb="FFFF6600"/>
      <rgbColor rgb="FF606060"/>
      <rgbColor rgb="FF969696"/>
      <rgbColor rgb="FF10243E"/>
      <rgbColor rgb="FF339966"/>
      <rgbColor rgb="FF003300"/>
      <rgbColor rgb="FF333300"/>
      <rgbColor rgb="FF993300"/>
      <rgbColor rgb="FF993366"/>
      <rgbColor rgb="FF59595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76320</xdr:rowOff>
    </xdr:from>
    <xdr:to>
      <xdr:col>1</xdr:col>
      <xdr:colOff>1337</xdr:colOff>
      <xdr:row>2</xdr:row>
      <xdr:rowOff>79560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8160" y="76320"/>
          <a:ext cx="404640" cy="469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574920</xdr:colOff>
      <xdr:row>2</xdr:row>
      <xdr:rowOff>127440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574920</xdr:colOff>
      <xdr:row>2</xdr:row>
      <xdr:rowOff>127440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574920</xdr:colOff>
      <xdr:row>2</xdr:row>
      <xdr:rowOff>127440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574920</xdr:colOff>
      <xdr:row>2</xdr:row>
      <xdr:rowOff>127440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574920</xdr:colOff>
      <xdr:row>2</xdr:row>
      <xdr:rowOff>127440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142920</xdr:colOff>
      <xdr:row>0</xdr:row>
      <xdr:rowOff>38160</xdr:rowOff>
    </xdr:from>
    <xdr:to>
      <xdr:col>0</xdr:col>
      <xdr:colOff>451080</xdr:colOff>
      <xdr:row>2</xdr:row>
      <xdr:rowOff>127440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2920" y="38160"/>
          <a:ext cx="3081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95400</xdr:colOff>
      <xdr:row>0</xdr:row>
      <xdr:rowOff>57240</xdr:rowOff>
    </xdr:from>
    <xdr:to>
      <xdr:col>0</xdr:col>
      <xdr:colOff>397080</xdr:colOff>
      <xdr:row>2</xdr:row>
      <xdr:rowOff>22680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57240"/>
          <a:ext cx="301680" cy="346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112680</xdr:colOff>
      <xdr:row>0</xdr:row>
      <xdr:rowOff>56160</xdr:rowOff>
    </xdr:from>
    <xdr:to>
      <xdr:col>0</xdr:col>
      <xdr:colOff>565560</xdr:colOff>
      <xdr:row>2</xdr:row>
      <xdr:rowOff>198720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12680" y="56160"/>
          <a:ext cx="452880" cy="523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0</xdr:rowOff>
    </xdr:from>
    <xdr:to>
      <xdr:col>0</xdr:col>
      <xdr:colOff>451080</xdr:colOff>
      <xdr:row>2</xdr:row>
      <xdr:rowOff>89280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47520" y="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67320</xdr:colOff>
      <xdr:row>0</xdr:row>
      <xdr:rowOff>111960</xdr:rowOff>
    </xdr:from>
    <xdr:to>
      <xdr:col>1</xdr:col>
      <xdr:colOff>18720</xdr:colOff>
      <xdr:row>2</xdr:row>
      <xdr:rowOff>38520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7320" y="111960"/>
          <a:ext cx="304920" cy="335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85680</xdr:rowOff>
    </xdr:from>
    <xdr:to>
      <xdr:col>0</xdr:col>
      <xdr:colOff>356040</xdr:colOff>
      <xdr:row>2</xdr:row>
      <xdr:rowOff>98640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8160" y="85680"/>
          <a:ext cx="317880" cy="298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264600</xdr:colOff>
      <xdr:row>0</xdr:row>
      <xdr:rowOff>52200</xdr:rowOff>
    </xdr:from>
    <xdr:to>
      <xdr:col>0</xdr:col>
      <xdr:colOff>632880</xdr:colOff>
      <xdr:row>2</xdr:row>
      <xdr:rowOff>76680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64600" y="52200"/>
          <a:ext cx="368280" cy="34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95400</xdr:colOff>
      <xdr:row>0</xdr:row>
      <xdr:rowOff>57240</xdr:rowOff>
    </xdr:from>
    <xdr:to>
      <xdr:col>0</xdr:col>
      <xdr:colOff>394200</xdr:colOff>
      <xdr:row>2</xdr:row>
      <xdr:rowOff>22680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57240"/>
          <a:ext cx="298800" cy="346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0</xdr:row>
      <xdr:rowOff>66600</xdr:rowOff>
    </xdr:from>
    <xdr:to>
      <xdr:col>0</xdr:col>
      <xdr:colOff>660600</xdr:colOff>
      <xdr:row>2</xdr:row>
      <xdr:rowOff>98640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57040" y="66600"/>
          <a:ext cx="403560" cy="412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9"/>
  <sheetViews>
    <sheetView showGridLines="0" zoomScale="115" zoomScaleNormal="115" workbookViewId="0">
      <selection activeCell="V16" sqref="V16"/>
    </sheetView>
  </sheetViews>
  <sheetFormatPr defaultColWidth="9.140625" defaultRowHeight="15"/>
  <cols>
    <col min="1" max="1" width="6.28515625" style="1" customWidth="1"/>
    <col min="2" max="2" width="41.42578125" style="1" customWidth="1"/>
    <col min="3" max="3" width="7.85546875" style="1" customWidth="1"/>
    <col min="4" max="4" width="16.28515625" style="1" customWidth="1"/>
    <col min="5" max="5" width="16.140625" style="1" customWidth="1"/>
    <col min="6" max="7" width="16.28515625" style="1" customWidth="1"/>
    <col min="8" max="8" width="13.28515625" style="1" customWidth="1"/>
    <col min="9" max="10" width="16.28515625" style="1" customWidth="1"/>
    <col min="11" max="12" width="13.85546875" style="2" customWidth="1"/>
    <col min="13" max="13" width="14.28515625" style="2" customWidth="1"/>
    <col min="14" max="14" width="16.7109375" style="1" customWidth="1"/>
    <col min="15" max="15" width="12.85546875" style="1" customWidth="1"/>
    <col min="16" max="16" width="18.42578125" style="1" customWidth="1"/>
    <col min="17" max="17" width="13.7109375" style="1" customWidth="1"/>
    <col min="18" max="18" width="15.85546875" style="3" customWidth="1"/>
    <col min="19" max="19" width="9.42578125" style="3" customWidth="1"/>
    <col min="20" max="20" width="13.28515625" style="3" customWidth="1"/>
    <col min="21" max="21" width="13.85546875" style="3" customWidth="1"/>
    <col min="22" max="22" width="15.85546875" style="3" customWidth="1"/>
    <col min="23" max="23" width="12.28515625" style="3" customWidth="1"/>
    <col min="24" max="256" width="9.140625" style="1"/>
    <col min="257" max="257" width="6.28515625" style="1" customWidth="1"/>
    <col min="258" max="258" width="41.42578125" style="1" customWidth="1"/>
    <col min="259" max="259" width="7.85546875" style="1" customWidth="1"/>
    <col min="260" max="260" width="16.28515625" style="1" customWidth="1"/>
    <col min="261" max="261" width="12.85546875" style="1" customWidth="1"/>
    <col min="262" max="263" width="16.28515625" style="1" customWidth="1"/>
    <col min="264" max="264" width="13.28515625" style="1" customWidth="1"/>
    <col min="265" max="266" width="16.28515625" style="1" customWidth="1"/>
    <col min="267" max="268" width="13.85546875" style="1" customWidth="1"/>
    <col min="269" max="269" width="13" style="1" customWidth="1"/>
    <col min="270" max="270" width="13.5703125" style="1" customWidth="1"/>
    <col min="271" max="271" width="12.85546875" style="1" customWidth="1"/>
    <col min="272" max="272" width="14.140625" style="1" customWidth="1"/>
    <col min="273" max="273" width="12" style="1" customWidth="1"/>
    <col min="274" max="274" width="13" style="1" customWidth="1"/>
    <col min="275" max="275" width="11.85546875" style="1" customWidth="1"/>
    <col min="276" max="276" width="13.28515625" style="1" customWidth="1"/>
    <col min="277" max="277" width="12.28515625" style="1" customWidth="1"/>
    <col min="278" max="278" width="12.42578125" style="1" customWidth="1"/>
    <col min="279" max="279" width="10.5703125" style="1" customWidth="1"/>
    <col min="280" max="512" width="9.140625" style="1"/>
    <col min="513" max="513" width="6.28515625" style="1" customWidth="1"/>
    <col min="514" max="514" width="41.42578125" style="1" customWidth="1"/>
    <col min="515" max="515" width="7.85546875" style="1" customWidth="1"/>
    <col min="516" max="516" width="16.28515625" style="1" customWidth="1"/>
    <col min="517" max="517" width="12.85546875" style="1" customWidth="1"/>
    <col min="518" max="519" width="16.28515625" style="1" customWidth="1"/>
    <col min="520" max="520" width="13.28515625" style="1" customWidth="1"/>
    <col min="521" max="522" width="16.28515625" style="1" customWidth="1"/>
    <col min="523" max="524" width="13.85546875" style="1" customWidth="1"/>
    <col min="525" max="525" width="13" style="1" customWidth="1"/>
    <col min="526" max="526" width="13.5703125" style="1" customWidth="1"/>
    <col min="527" max="527" width="12.85546875" style="1" customWidth="1"/>
    <col min="528" max="528" width="14.140625" style="1" customWidth="1"/>
    <col min="529" max="529" width="12" style="1" customWidth="1"/>
    <col min="530" max="530" width="13" style="1" customWidth="1"/>
    <col min="531" max="531" width="11.85546875" style="1" customWidth="1"/>
    <col min="532" max="532" width="13.28515625" style="1" customWidth="1"/>
    <col min="533" max="533" width="12.28515625" style="1" customWidth="1"/>
    <col min="534" max="534" width="12.42578125" style="1" customWidth="1"/>
    <col min="535" max="535" width="10.5703125" style="1" customWidth="1"/>
    <col min="536" max="768" width="9.140625" style="1"/>
    <col min="769" max="769" width="6.28515625" style="1" customWidth="1"/>
    <col min="770" max="770" width="41.42578125" style="1" customWidth="1"/>
    <col min="771" max="771" width="7.85546875" style="1" customWidth="1"/>
    <col min="772" max="772" width="16.28515625" style="1" customWidth="1"/>
    <col min="773" max="773" width="12.85546875" style="1" customWidth="1"/>
    <col min="774" max="775" width="16.28515625" style="1" customWidth="1"/>
    <col min="776" max="776" width="13.28515625" style="1" customWidth="1"/>
    <col min="777" max="778" width="16.28515625" style="1" customWidth="1"/>
    <col min="779" max="780" width="13.85546875" style="1" customWidth="1"/>
    <col min="781" max="781" width="13" style="1" customWidth="1"/>
    <col min="782" max="782" width="13.5703125" style="1" customWidth="1"/>
    <col min="783" max="783" width="12.85546875" style="1" customWidth="1"/>
    <col min="784" max="784" width="14.140625" style="1" customWidth="1"/>
    <col min="785" max="785" width="12" style="1" customWidth="1"/>
    <col min="786" max="786" width="13" style="1" customWidth="1"/>
    <col min="787" max="787" width="11.85546875" style="1" customWidth="1"/>
    <col min="788" max="788" width="13.28515625" style="1" customWidth="1"/>
    <col min="789" max="789" width="12.28515625" style="1" customWidth="1"/>
    <col min="790" max="790" width="12.42578125" style="1" customWidth="1"/>
    <col min="791" max="791" width="10.5703125" style="1" customWidth="1"/>
    <col min="792" max="1024" width="9.140625" style="1"/>
  </cols>
  <sheetData>
    <row r="1" spans="1:23" ht="17.25" customHeight="1">
      <c r="A1" s="4"/>
      <c r="B1" s="5" t="str">
        <f>INSTRUÇÕES!B1</f>
        <v>Tribunal Regional Federal da 6ª Região</v>
      </c>
      <c r="T1" s="6"/>
      <c r="U1" s="6"/>
      <c r="V1" s="6"/>
    </row>
    <row r="2" spans="1:23" s="11" customFormat="1" ht="19.5" customHeight="1">
      <c r="A2" s="7"/>
      <c r="B2" s="8" t="str">
        <f>INSTRUÇÕES!B2</f>
        <v>Seção Judiciária de Minas Gerais</v>
      </c>
      <c r="C2" s="547" t="s">
        <v>0</v>
      </c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9"/>
      <c r="U2" s="9"/>
      <c r="V2" s="9"/>
      <c r="W2" s="10"/>
    </row>
    <row r="3" spans="1:23" s="11" customFormat="1" ht="21.75" customHeight="1">
      <c r="A3" s="7"/>
      <c r="B3" s="12" t="str">
        <f>INSTRUÇÕES!B3</f>
        <v>Subseção Judiciária de Pouso Alegre</v>
      </c>
      <c r="C3" s="547" t="s">
        <v>1</v>
      </c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W3" s="10"/>
    </row>
    <row r="4" spans="1:23" s="17" customFormat="1" ht="30.75" customHeight="1">
      <c r="A4" s="548" t="s">
        <v>2</v>
      </c>
      <c r="B4" s="548"/>
      <c r="C4" s="548"/>
      <c r="D4" s="549" t="s">
        <v>3</v>
      </c>
      <c r="E4" s="549"/>
      <c r="F4" s="14"/>
      <c r="G4" s="14"/>
      <c r="H4" s="14"/>
      <c r="I4" s="14"/>
      <c r="J4" s="15"/>
      <c r="K4" s="15"/>
      <c r="L4" s="15"/>
      <c r="M4" s="15"/>
      <c r="N4" s="15"/>
      <c r="O4" s="16"/>
      <c r="R4" s="18"/>
      <c r="S4" s="18"/>
      <c r="T4" s="18"/>
      <c r="U4" s="18"/>
      <c r="V4" s="18"/>
      <c r="W4" s="18"/>
    </row>
    <row r="5" spans="1:23" s="17" customFormat="1" ht="23.25" customHeight="1">
      <c r="A5" s="548" t="s">
        <v>4</v>
      </c>
      <c r="B5" s="548"/>
      <c r="C5" s="548"/>
      <c r="D5" s="13" t="s">
        <v>5</v>
      </c>
      <c r="E5" s="19">
        <f>VLOOKUP(D5,B91:C94,2,FALSE())</f>
        <v>30</v>
      </c>
      <c r="F5" s="14" t="str">
        <f>VLOOKUP(D5,B92:D94,3,FALSE())</f>
        <v>Obs: Desconto atualmente aplicado (30 dias corridos).</v>
      </c>
      <c r="G5" s="14"/>
      <c r="H5" s="14"/>
      <c r="I5" s="14"/>
      <c r="J5" s="15"/>
      <c r="K5" s="15"/>
      <c r="L5" s="15"/>
      <c r="M5" s="15"/>
      <c r="N5" s="15"/>
      <c r="O5" s="16"/>
      <c r="R5" s="18"/>
      <c r="S5" s="18"/>
      <c r="T5" s="18"/>
      <c r="U5" s="18"/>
      <c r="V5" s="18"/>
      <c r="W5" s="18"/>
    </row>
    <row r="6" spans="1:23" s="17" customFormat="1" ht="23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R6" s="18"/>
      <c r="S6" s="18"/>
      <c r="T6" s="18"/>
      <c r="U6" s="18"/>
      <c r="V6" s="18"/>
      <c r="W6" s="18"/>
    </row>
    <row r="7" spans="1:23" s="17" customFormat="1" ht="15.75" customHeight="1">
      <c r="A7" s="550" t="s">
        <v>6</v>
      </c>
      <c r="B7" s="550"/>
      <c r="C7" s="550"/>
      <c r="D7" s="551" t="s">
        <v>7</v>
      </c>
      <c r="E7" s="552" t="s">
        <v>8</v>
      </c>
      <c r="F7" s="553" t="s">
        <v>9</v>
      </c>
      <c r="G7" s="553" t="s">
        <v>10</v>
      </c>
      <c r="H7" s="551" t="s">
        <v>11</v>
      </c>
      <c r="I7" s="552" t="s">
        <v>12</v>
      </c>
      <c r="J7" s="553" t="s">
        <v>13</v>
      </c>
      <c r="K7" s="554" t="s">
        <v>14</v>
      </c>
      <c r="L7" s="555" t="s">
        <v>15</v>
      </c>
      <c r="M7" s="555" t="s">
        <v>16</v>
      </c>
      <c r="N7" s="556" t="s">
        <v>17</v>
      </c>
      <c r="O7" s="557" t="s">
        <v>18</v>
      </c>
      <c r="P7" s="553" t="s">
        <v>19</v>
      </c>
      <c r="Q7" s="553" t="s">
        <v>20</v>
      </c>
      <c r="R7" s="554" t="s">
        <v>21</v>
      </c>
      <c r="S7" s="552" t="s">
        <v>22</v>
      </c>
      <c r="T7" s="558" t="s">
        <v>23</v>
      </c>
      <c r="U7" s="558"/>
      <c r="V7" s="558"/>
      <c r="W7" s="558"/>
    </row>
    <row r="8" spans="1:23" s="17" customFormat="1" ht="15.75">
      <c r="A8" s="550"/>
      <c r="B8" s="550"/>
      <c r="C8" s="550"/>
      <c r="D8" s="551"/>
      <c r="E8" s="552"/>
      <c r="F8" s="553"/>
      <c r="G8" s="553"/>
      <c r="H8" s="551"/>
      <c r="I8" s="552"/>
      <c r="J8" s="553"/>
      <c r="K8" s="554"/>
      <c r="L8" s="555"/>
      <c r="M8" s="555"/>
      <c r="N8" s="556"/>
      <c r="O8" s="557"/>
      <c r="P8" s="553"/>
      <c r="Q8" s="553"/>
      <c r="R8" s="554"/>
      <c r="S8" s="552"/>
      <c r="T8" s="558"/>
      <c r="U8" s="558"/>
      <c r="V8" s="558"/>
      <c r="W8" s="558"/>
    </row>
    <row r="9" spans="1:23" s="17" customFormat="1" ht="60" customHeight="1">
      <c r="A9" s="550"/>
      <c r="B9" s="550"/>
      <c r="C9" s="550"/>
      <c r="D9" s="551"/>
      <c r="E9" s="552"/>
      <c r="F9" s="553"/>
      <c r="G9" s="553"/>
      <c r="H9" s="551"/>
      <c r="I9" s="552"/>
      <c r="J9" s="553"/>
      <c r="K9" s="554"/>
      <c r="L9" s="555"/>
      <c r="M9" s="555"/>
      <c r="N9" s="556"/>
      <c r="O9" s="557"/>
      <c r="P9" s="553"/>
      <c r="Q9" s="553"/>
      <c r="R9" s="554"/>
      <c r="S9" s="552"/>
      <c r="T9" s="558"/>
      <c r="U9" s="558"/>
      <c r="V9" s="558"/>
      <c r="W9" s="558"/>
    </row>
    <row r="10" spans="1:23" s="17" customFormat="1" ht="76.5">
      <c r="A10" s="20" t="s">
        <v>24</v>
      </c>
      <c r="B10" s="21" t="s">
        <v>25</v>
      </c>
      <c r="C10" s="21" t="s">
        <v>26</v>
      </c>
      <c r="D10" s="22" t="s">
        <v>27</v>
      </c>
      <c r="E10" s="20" t="s">
        <v>28</v>
      </c>
      <c r="F10" s="21" t="s">
        <v>29</v>
      </c>
      <c r="G10" s="21" t="s">
        <v>30</v>
      </c>
      <c r="H10" s="22" t="s">
        <v>31</v>
      </c>
      <c r="I10" s="20" t="s">
        <v>32</v>
      </c>
      <c r="J10" s="21" t="s">
        <v>33</v>
      </c>
      <c r="K10" s="23" t="s">
        <v>33</v>
      </c>
      <c r="L10" s="24" t="s">
        <v>34</v>
      </c>
      <c r="M10" s="24" t="s">
        <v>35</v>
      </c>
      <c r="N10" s="24" t="s">
        <v>36</v>
      </c>
      <c r="O10" s="25" t="s">
        <v>37</v>
      </c>
      <c r="P10" s="21" t="s">
        <v>38</v>
      </c>
      <c r="Q10" s="21" t="s">
        <v>39</v>
      </c>
      <c r="R10" s="23" t="s">
        <v>40</v>
      </c>
      <c r="S10" s="20" t="s">
        <v>41</v>
      </c>
      <c r="T10" s="21" t="s">
        <v>42</v>
      </c>
      <c r="U10" s="21" t="s">
        <v>43</v>
      </c>
      <c r="V10" s="21" t="s">
        <v>44</v>
      </c>
      <c r="W10" s="23" t="s">
        <v>45</v>
      </c>
    </row>
    <row r="11" spans="1:23" s="17" customFormat="1" ht="15.75">
      <c r="A11" s="26">
        <f>Dados!B7</f>
        <v>3</v>
      </c>
      <c r="B11" s="27" t="str">
        <f>Dados!C7</f>
        <v>Assistente Administrativo</v>
      </c>
      <c r="C11" s="28">
        <f>Dados!D7</f>
        <v>150</v>
      </c>
      <c r="D11" s="29">
        <v>0</v>
      </c>
      <c r="E11" s="26" t="s">
        <v>46</v>
      </c>
      <c r="F11" s="28">
        <f>IF(E11="NÃO",0,D11*Dados!$G$35)</f>
        <v>0</v>
      </c>
      <c r="G11" s="30">
        <v>0</v>
      </c>
      <c r="H11" s="29">
        <v>0</v>
      </c>
      <c r="I11" s="31">
        <v>0</v>
      </c>
      <c r="J11" s="30">
        <v>0</v>
      </c>
      <c r="K11" s="32">
        <f t="shared" ref="K11:K15" si="0">I11+J11</f>
        <v>0</v>
      </c>
      <c r="L11" s="33">
        <v>0</v>
      </c>
      <c r="M11" s="33">
        <v>0</v>
      </c>
      <c r="N11" s="34"/>
      <c r="O11" s="35">
        <f>Resumo!S12</f>
        <v>0</v>
      </c>
      <c r="P11" s="36">
        <f>Resumo!V12</f>
        <v>0</v>
      </c>
      <c r="Q11" s="37">
        <f>Resumo!W12</f>
        <v>10871.4</v>
      </c>
      <c r="R11" s="38">
        <f>Dados!O7+Dados!P7</f>
        <v>0</v>
      </c>
      <c r="S11" s="26">
        <v>1</v>
      </c>
      <c r="T11" s="238">
        <f>ROUND((Dados!M7*Encargos!$H$59*A11),2)</f>
        <v>1537.29</v>
      </c>
      <c r="U11" s="37" t="s">
        <v>47</v>
      </c>
      <c r="V11" s="39">
        <f>SUMIF($S$11:$S$15,1,$Q$11:$Q$15)</f>
        <v>10871.4</v>
      </c>
      <c r="W11" s="40">
        <f>SUMIF($S$11:$S$15,1,$T$11:$T$15)</f>
        <v>1537.29</v>
      </c>
    </row>
    <row r="12" spans="1:23" s="17" customFormat="1" ht="15.75">
      <c r="A12" s="26">
        <f>Dados!B8</f>
        <v>1</v>
      </c>
      <c r="B12" s="27" t="str">
        <f>Dados!C8</f>
        <v>Servente de Limpeza</v>
      </c>
      <c r="C12" s="28">
        <f>Dados!D8</f>
        <v>220</v>
      </c>
      <c r="D12" s="29">
        <v>0</v>
      </c>
      <c r="E12" s="26" t="s">
        <v>46</v>
      </c>
      <c r="F12" s="28">
        <f>IF(E12="NÃO",0,D12*Dados!$G$35)</f>
        <v>0</v>
      </c>
      <c r="G12" s="30">
        <v>0</v>
      </c>
      <c r="H12" s="29">
        <v>0</v>
      </c>
      <c r="I12" s="31">
        <v>0</v>
      </c>
      <c r="J12" s="30">
        <v>0</v>
      </c>
      <c r="K12" s="32">
        <f t="shared" si="0"/>
        <v>0</v>
      </c>
      <c r="L12" s="33">
        <v>0</v>
      </c>
      <c r="M12" s="33">
        <v>0</v>
      </c>
      <c r="N12" s="41"/>
      <c r="O12" s="35">
        <f>Resumo!S13</f>
        <v>0</v>
      </c>
      <c r="P12" s="42"/>
      <c r="Q12" s="37">
        <f>Resumo!W13</f>
        <v>5005.2700000000004</v>
      </c>
      <c r="R12" s="38">
        <f>Dados!O8+Dados!P8</f>
        <v>723.59</v>
      </c>
      <c r="S12" s="26">
        <v>2</v>
      </c>
      <c r="T12" s="238">
        <f>ROUND((Dados!M8*Encargos!$H$59*A12),2)</f>
        <v>494.4</v>
      </c>
      <c r="U12" s="37" t="s">
        <v>48</v>
      </c>
      <c r="V12" s="39">
        <f>SUMIF($S$11:$S$15,2,$Q$11:$Q$15)</f>
        <v>11263.87</v>
      </c>
      <c r="W12" s="40">
        <f>SUMIF($S$11:$S$15,2,$T$11:$T$15)</f>
        <v>1175.97</v>
      </c>
    </row>
    <row r="13" spans="1:23" s="17" customFormat="1" ht="15.75">
      <c r="A13" s="26">
        <f>Dados!B9</f>
        <v>1</v>
      </c>
      <c r="B13" s="27" t="str">
        <f>Dados!C9</f>
        <v>Servente de Limpeza (40%)</v>
      </c>
      <c r="C13" s="28">
        <f>Dados!D9</f>
        <v>220</v>
      </c>
      <c r="D13" s="29">
        <v>0</v>
      </c>
      <c r="E13" s="26" t="s">
        <v>46</v>
      </c>
      <c r="F13" s="28">
        <f>IF(E13="NÃO",0,D13*Dados!$G$35)</f>
        <v>0</v>
      </c>
      <c r="G13" s="30">
        <v>0</v>
      </c>
      <c r="H13" s="29">
        <v>0</v>
      </c>
      <c r="I13" s="31">
        <v>0</v>
      </c>
      <c r="J13" s="30">
        <v>0</v>
      </c>
      <c r="K13" s="32">
        <f t="shared" si="0"/>
        <v>0</v>
      </c>
      <c r="L13" s="33">
        <v>0</v>
      </c>
      <c r="M13" s="33">
        <v>0</v>
      </c>
      <c r="N13" s="33">
        <v>0</v>
      </c>
      <c r="O13" s="35">
        <f>Resumo!S14</f>
        <v>0</v>
      </c>
      <c r="P13" s="37">
        <f>Resumo!V13</f>
        <v>0</v>
      </c>
      <c r="Q13" s="37">
        <f>Resumo!W14</f>
        <v>6258.6</v>
      </c>
      <c r="R13" s="38">
        <f>Dados!O9+Dados!P9</f>
        <v>723.59</v>
      </c>
      <c r="S13" s="26">
        <v>2</v>
      </c>
      <c r="T13" s="238">
        <f>ROUND((Dados!M9*Encargos!$H$59*A13),2)</f>
        <v>681.57</v>
      </c>
      <c r="U13" s="37" t="s">
        <v>48</v>
      </c>
      <c r="V13" s="39"/>
      <c r="W13" s="40"/>
    </row>
    <row r="14" spans="1:23" s="17" customFormat="1" ht="15.75">
      <c r="A14" s="26">
        <f>Dados!B10</f>
        <v>1</v>
      </c>
      <c r="B14" s="27" t="str">
        <f>Dados!C10</f>
        <v>Auxiliar de Manutenção Predial</v>
      </c>
      <c r="C14" s="28">
        <f>Dados!D10</f>
        <v>150</v>
      </c>
      <c r="D14" s="29">
        <v>0</v>
      </c>
      <c r="E14" s="26" t="s">
        <v>46</v>
      </c>
      <c r="F14" s="28">
        <f>IF(E14="NÃO",0,D14*Dados!$G$35)</f>
        <v>0</v>
      </c>
      <c r="G14" s="30">
        <v>0</v>
      </c>
      <c r="H14" s="29">
        <v>0</v>
      </c>
      <c r="I14" s="31">
        <v>0</v>
      </c>
      <c r="J14" s="30">
        <v>0</v>
      </c>
      <c r="K14" s="32">
        <f t="shared" si="0"/>
        <v>0</v>
      </c>
      <c r="L14" s="33">
        <v>0</v>
      </c>
      <c r="M14" s="33">
        <v>0</v>
      </c>
      <c r="N14" s="41"/>
      <c r="O14" s="35">
        <f>Resumo!S15</f>
        <v>0</v>
      </c>
      <c r="P14" s="42"/>
      <c r="Q14" s="37">
        <f>Resumo!W15</f>
        <v>3643.41</v>
      </c>
      <c r="R14" s="38">
        <f>Dados!O10+Dados!P10</f>
        <v>0</v>
      </c>
      <c r="S14" s="26">
        <v>4</v>
      </c>
      <c r="T14" s="238">
        <f>ROUND((Dados!M10*Encargos!$H$59*A14),2)</f>
        <v>514</v>
      </c>
      <c r="U14" s="37" t="s">
        <v>49</v>
      </c>
      <c r="V14" s="39">
        <f>SUMIF($S$11:$S$15,4,$Q$11:$Q$15)</f>
        <v>3643.41</v>
      </c>
      <c r="W14" s="40">
        <f>SUMIF($S$11:$S$15,4,$T$11:$T$15)</f>
        <v>514</v>
      </c>
    </row>
    <row r="15" spans="1:23" s="17" customFormat="1" ht="15.75">
      <c r="A15" s="26">
        <f>Dados!B11</f>
        <v>1</v>
      </c>
      <c r="B15" s="27" t="str">
        <f>Dados!C11</f>
        <v>Copeira</v>
      </c>
      <c r="C15" s="28">
        <f>Dados!D11</f>
        <v>150</v>
      </c>
      <c r="D15" s="29">
        <v>0</v>
      </c>
      <c r="E15" s="26" t="s">
        <v>46</v>
      </c>
      <c r="F15" s="28">
        <f>IF(E15="NÃO",0,D15*Dados!$G$35)</f>
        <v>0</v>
      </c>
      <c r="G15" s="30">
        <v>0</v>
      </c>
      <c r="H15" s="29">
        <v>0</v>
      </c>
      <c r="I15" s="31">
        <v>0</v>
      </c>
      <c r="J15" s="30">
        <v>0</v>
      </c>
      <c r="K15" s="32">
        <f t="shared" si="0"/>
        <v>0</v>
      </c>
      <c r="L15" s="33">
        <v>0</v>
      </c>
      <c r="M15" s="33">
        <v>0</v>
      </c>
      <c r="N15" s="34"/>
      <c r="O15" s="35">
        <f>Resumo!S16</f>
        <v>0</v>
      </c>
      <c r="P15" s="36"/>
      <c r="Q15" s="37">
        <f>Resumo!W16</f>
        <v>2512.3000000000002</v>
      </c>
      <c r="R15" s="38">
        <f>Dados!O11+Dados!P11</f>
        <v>25.9</v>
      </c>
      <c r="S15" s="26">
        <v>5</v>
      </c>
      <c r="T15" s="238">
        <f>ROUND((Dados!M11*Encargos!$H$59*A15),2)</f>
        <v>337.09</v>
      </c>
      <c r="U15" s="37" t="s">
        <v>50</v>
      </c>
      <c r="V15" s="39">
        <f>SUMIF($S$11:$S$15,5,$Q$11:$Q$15)</f>
        <v>2512.3000000000002</v>
      </c>
      <c r="W15" s="40">
        <f>SUMIF($S$11:$S$15,5,$T$11:$T$15)</f>
        <v>337.09</v>
      </c>
    </row>
    <row r="16" spans="1:23" s="51" customFormat="1" ht="13.5" customHeight="1">
      <c r="A16" s="559" t="s">
        <v>51</v>
      </c>
      <c r="B16" s="559"/>
      <c r="C16" s="559"/>
      <c r="D16" s="559"/>
      <c r="E16" s="559"/>
      <c r="F16" s="559"/>
      <c r="G16" s="559"/>
      <c r="H16" s="43">
        <f>Resumo!I17</f>
        <v>0</v>
      </c>
      <c r="I16" s="560"/>
      <c r="J16" s="560"/>
      <c r="K16" s="44">
        <f>Resumo!L17</f>
        <v>0</v>
      </c>
      <c r="L16" s="45">
        <f>Resumo!O17</f>
        <v>0</v>
      </c>
      <c r="M16" s="45">
        <f>Resumo!R17</f>
        <v>0</v>
      </c>
      <c r="N16" s="46">
        <f>Resumo!V17</f>
        <v>0</v>
      </c>
      <c r="O16" s="47">
        <f>(H16+K16+L16+M16)</f>
        <v>0</v>
      </c>
      <c r="P16" s="48">
        <f>Resumo!V17</f>
        <v>0</v>
      </c>
      <c r="Q16" s="48">
        <f>SUM(Q11:Q15)</f>
        <v>28290.98</v>
      </c>
      <c r="R16" s="49">
        <f>SUM(R11:R15)</f>
        <v>1473.0800000000002</v>
      </c>
      <c r="S16" s="50"/>
      <c r="T16" s="545">
        <f>SUM(T11:T15)</f>
        <v>3564.3500000000004</v>
      </c>
      <c r="U16" s="48"/>
      <c r="V16" s="545">
        <f>SUM(V11:V15)</f>
        <v>28290.98</v>
      </c>
      <c r="W16" s="546">
        <f>SUM(W11:W15)</f>
        <v>3564.3500000000004</v>
      </c>
    </row>
    <row r="17" spans="1:23">
      <c r="A17" s="52" t="s">
        <v>52</v>
      </c>
      <c r="B17" s="53"/>
      <c r="C17" s="53"/>
      <c r="D17" s="53"/>
      <c r="E17" s="53"/>
      <c r="F17" s="53"/>
      <c r="G17" s="53"/>
      <c r="H17" s="53"/>
      <c r="I17" s="53"/>
      <c r="J17" s="53"/>
    </row>
    <row r="18" spans="1:23">
      <c r="A18" s="54" t="s">
        <v>53</v>
      </c>
      <c r="B18" s="55"/>
      <c r="C18" s="55"/>
      <c r="D18" s="55"/>
      <c r="E18" s="55"/>
      <c r="F18" s="55"/>
      <c r="G18" s="55"/>
      <c r="H18" s="55"/>
      <c r="I18" s="55"/>
      <c r="J18" s="55"/>
    </row>
    <row r="19" spans="1:23" s="51" customFormat="1" ht="25.5" customHeight="1">
      <c r="A19" s="561" t="s">
        <v>54</v>
      </c>
      <c r="B19" s="561"/>
      <c r="C19" s="56" t="s">
        <v>55</v>
      </c>
      <c r="D19" s="56" t="s">
        <v>56</v>
      </c>
      <c r="E19" s="56" t="s">
        <v>57</v>
      </c>
      <c r="F19" s="56" t="s">
        <v>58</v>
      </c>
      <c r="H19" s="54"/>
      <c r="I19" s="57"/>
      <c r="J19" s="54"/>
      <c r="K19" s="57"/>
      <c r="L19" s="57"/>
      <c r="M19" s="57"/>
      <c r="R19" s="57"/>
      <c r="S19" s="57"/>
      <c r="T19" s="57"/>
      <c r="U19" s="57"/>
      <c r="V19" s="57"/>
      <c r="W19" s="57"/>
    </row>
    <row r="20" spans="1:23" s="51" customFormat="1" ht="12.75">
      <c r="A20" s="561"/>
      <c r="B20" s="561"/>
      <c r="C20" s="58">
        <v>220</v>
      </c>
      <c r="D20" s="58">
        <v>10</v>
      </c>
      <c r="E20" s="58">
        <v>25</v>
      </c>
      <c r="F20" s="59">
        <f>ROUND((D20/VLOOKUP(C20,$B$97:$C$103,2,FALSE())+E20/60/VLOOKUP(C20,$B$97:$C$103,2,FALSE())),2)</f>
        <v>1.18</v>
      </c>
      <c r="H20" s="54"/>
      <c r="I20" s="57"/>
      <c r="J20" s="54"/>
      <c r="K20" s="57"/>
      <c r="L20" s="57"/>
      <c r="M20" s="57"/>
      <c r="R20" s="57"/>
      <c r="S20" s="57"/>
      <c r="T20" s="57"/>
      <c r="U20" s="57"/>
      <c r="V20" s="57"/>
      <c r="W20" s="57"/>
    </row>
    <row r="21" spans="1:23" s="51" customFormat="1" ht="15" customHeight="1">
      <c r="A21" s="562" t="s">
        <v>59</v>
      </c>
      <c r="B21" s="562"/>
      <c r="C21" s="562"/>
      <c r="D21" s="562"/>
      <c r="E21" s="562"/>
      <c r="F21" s="562"/>
      <c r="G21" s="14"/>
      <c r="H21" s="14"/>
      <c r="I21" s="14"/>
      <c r="J21" s="54"/>
      <c r="K21" s="57"/>
      <c r="L21" s="57"/>
      <c r="M21" s="57"/>
      <c r="R21" s="57"/>
      <c r="S21" s="57"/>
      <c r="T21" s="57"/>
      <c r="U21" s="57"/>
      <c r="V21" s="57"/>
      <c r="W21" s="57"/>
    </row>
    <row r="22" spans="1:23" s="51" customFormat="1" ht="28.5" customHeight="1">
      <c r="A22" s="562"/>
      <c r="B22" s="562"/>
      <c r="C22" s="562"/>
      <c r="D22" s="562"/>
      <c r="E22" s="562"/>
      <c r="F22" s="562"/>
      <c r="G22" s="14"/>
      <c r="H22" s="14"/>
      <c r="I22" s="14"/>
      <c r="J22" s="54"/>
      <c r="K22" s="57"/>
      <c r="L22" s="57"/>
      <c r="M22" s="57"/>
      <c r="R22" s="57"/>
      <c r="S22" s="57"/>
      <c r="T22" s="57"/>
      <c r="U22" s="57"/>
      <c r="V22" s="57"/>
      <c r="W22" s="57"/>
    </row>
    <row r="23" spans="1:23">
      <c r="A23" s="54" t="s">
        <v>60</v>
      </c>
      <c r="B23" s="53"/>
      <c r="C23" s="53"/>
      <c r="D23" s="53"/>
      <c r="E23" s="53"/>
      <c r="F23" s="53"/>
      <c r="G23" s="53"/>
      <c r="H23" s="53"/>
      <c r="I23" s="53"/>
      <c r="J23" s="53"/>
    </row>
    <row r="24" spans="1:23">
      <c r="A24" s="53"/>
      <c r="B24" s="53"/>
      <c r="C24" s="53"/>
      <c r="D24" s="53"/>
      <c r="E24" s="53"/>
      <c r="F24" s="53"/>
      <c r="G24" s="53"/>
      <c r="H24" s="53"/>
      <c r="I24" s="53"/>
      <c r="J24" s="53"/>
      <c r="N24" s="60"/>
      <c r="O24" s="61"/>
      <c r="P24" s="61"/>
    </row>
    <row r="25" spans="1:23" s="1" customFormat="1" ht="48" customHeight="1">
      <c r="A25" s="563" t="s">
        <v>61</v>
      </c>
      <c r="B25" s="564" t="s">
        <v>62</v>
      </c>
      <c r="C25" s="564"/>
      <c r="D25" s="564"/>
      <c r="E25" s="564"/>
      <c r="F25" s="565" t="s">
        <v>63</v>
      </c>
      <c r="G25" s="565"/>
      <c r="H25" s="565"/>
      <c r="I25" s="566" t="s">
        <v>64</v>
      </c>
      <c r="J25" s="566"/>
      <c r="K25" s="566"/>
      <c r="L25" s="567" t="s">
        <v>65</v>
      </c>
      <c r="M25" s="567"/>
      <c r="N25" s="567"/>
      <c r="O25" s="567"/>
    </row>
    <row r="26" spans="1:23" s="1" customFormat="1" ht="63.75" customHeight="1">
      <c r="A26" s="563"/>
      <c r="B26" s="561" t="s">
        <v>66</v>
      </c>
      <c r="C26" s="561"/>
      <c r="D26" s="561"/>
      <c r="E26" s="56" t="s">
        <v>67</v>
      </c>
      <c r="F26" s="56" t="s">
        <v>68</v>
      </c>
      <c r="G26" s="56" t="s">
        <v>69</v>
      </c>
      <c r="H26" s="65" t="s">
        <v>70</v>
      </c>
      <c r="I26" s="566"/>
      <c r="J26" s="566"/>
      <c r="K26" s="566"/>
      <c r="L26" s="66" t="s">
        <v>71</v>
      </c>
      <c r="M26" s="56" t="s">
        <v>72</v>
      </c>
      <c r="N26" s="56" t="s">
        <v>73</v>
      </c>
      <c r="O26" s="65" t="s">
        <v>74</v>
      </c>
      <c r="V26" s="14"/>
    </row>
    <row r="27" spans="1:23" s="1" customFormat="1" ht="15" customHeight="1">
      <c r="A27" s="67">
        <v>1</v>
      </c>
      <c r="B27" s="568" t="s">
        <v>75</v>
      </c>
      <c r="C27" s="568"/>
      <c r="D27" s="568"/>
      <c r="E27" s="69" t="s">
        <v>76</v>
      </c>
      <c r="F27" s="70"/>
      <c r="G27" s="71">
        <f t="shared" ref="G27:G68" si="1">IF($D$4="PLANILHA PARA LICITAÇÃO (PRECIFICAÇÃO)",L27,0)</f>
        <v>0.33333333333333331</v>
      </c>
      <c r="H27" s="72">
        <f>G27*Mat!F9</f>
        <v>4.0666666666666664</v>
      </c>
      <c r="I27" s="569" t="str">
        <f t="shared" ref="I27:I68" si="2">IF(G27&lt;L27,"Fornecimento inferior ao estimado mensalmente",IF(G27=L27,"Fornecimento igual ao estimado mensalmente",IF(G27&gt;L27,"Fornecimento superior ao estimado mensalmente",)))</f>
        <v>Fornecimento igual ao estimado mensalmente</v>
      </c>
      <c r="J27" s="569"/>
      <c r="K27" s="569"/>
      <c r="L27" s="73">
        <f t="shared" ref="L27:L68" si="3">M27/O27</f>
        <v>0.33333333333333331</v>
      </c>
      <c r="M27" s="74">
        <f>Mat!J9</f>
        <v>1</v>
      </c>
      <c r="N27" s="75" t="str">
        <f>Mat!K9</f>
        <v>Trimestral</v>
      </c>
      <c r="O27" s="76">
        <f t="shared" ref="O27:O68" si="4">IF(N27="MENSAL",1,IF(N27="BIMESTRAL",2,IF(N27="TRIMESTRAL",3,IF(N27="QUADRIMESTRAL",4,IF(N27="SEMESTRAL",6,IF(N27="ANUAL",12,IF(N27="BIENAL",24,"")))))))</f>
        <v>3</v>
      </c>
      <c r="V27" s="57"/>
    </row>
    <row r="28" spans="1:23" s="1" customFormat="1" ht="15" customHeight="1">
      <c r="A28" s="67">
        <v>2</v>
      </c>
      <c r="B28" s="568" t="s">
        <v>77</v>
      </c>
      <c r="C28" s="568"/>
      <c r="D28" s="568"/>
      <c r="E28" s="69" t="s">
        <v>76</v>
      </c>
      <c r="F28" s="77"/>
      <c r="G28" s="71">
        <f t="shared" si="1"/>
        <v>10</v>
      </c>
      <c r="H28" s="72">
        <f>G28*Mat!F10</f>
        <v>100.7</v>
      </c>
      <c r="I28" s="569" t="str">
        <f t="shared" si="2"/>
        <v>Fornecimento igual ao estimado mensalmente</v>
      </c>
      <c r="J28" s="569"/>
      <c r="K28" s="569"/>
      <c r="L28" s="73">
        <f t="shared" si="3"/>
        <v>10</v>
      </c>
      <c r="M28" s="74">
        <f>Mat!J10</f>
        <v>10</v>
      </c>
      <c r="N28" s="75" t="str">
        <f>Mat!K10</f>
        <v>Mensal</v>
      </c>
      <c r="O28" s="76">
        <f t="shared" si="4"/>
        <v>1</v>
      </c>
      <c r="V28" s="57"/>
    </row>
    <row r="29" spans="1:23" s="1" customFormat="1" ht="15" customHeight="1">
      <c r="A29" s="67">
        <v>3</v>
      </c>
      <c r="B29" s="568" t="s">
        <v>78</v>
      </c>
      <c r="C29" s="568"/>
      <c r="D29" s="568"/>
      <c r="E29" s="69" t="s">
        <v>76</v>
      </c>
      <c r="F29" s="70"/>
      <c r="G29" s="71">
        <f t="shared" si="1"/>
        <v>3</v>
      </c>
      <c r="H29" s="72">
        <f>G29*Mat!F11</f>
        <v>36</v>
      </c>
      <c r="I29" s="569" t="str">
        <f t="shared" si="2"/>
        <v>Fornecimento igual ao estimado mensalmente</v>
      </c>
      <c r="J29" s="569"/>
      <c r="K29" s="569"/>
      <c r="L29" s="73">
        <f t="shared" si="3"/>
        <v>3</v>
      </c>
      <c r="M29" s="74">
        <f>Mat!J11</f>
        <v>3</v>
      </c>
      <c r="N29" s="75" t="str">
        <f>Mat!K11</f>
        <v>Mensal</v>
      </c>
      <c r="O29" s="76">
        <f t="shared" si="4"/>
        <v>1</v>
      </c>
      <c r="V29" s="57"/>
    </row>
    <row r="30" spans="1:23" s="1" customFormat="1" ht="15" customHeight="1">
      <c r="A30" s="67">
        <v>4</v>
      </c>
      <c r="B30" s="568" t="s">
        <v>79</v>
      </c>
      <c r="C30" s="568"/>
      <c r="D30" s="568"/>
      <c r="E30" s="69" t="s">
        <v>76</v>
      </c>
      <c r="F30" s="70"/>
      <c r="G30" s="71">
        <f t="shared" si="1"/>
        <v>8.3333333333333329E-2</v>
      </c>
      <c r="H30" s="72">
        <f>G30*Mat!F12</f>
        <v>1.2466666666666666</v>
      </c>
      <c r="I30" s="569" t="str">
        <f t="shared" si="2"/>
        <v>Fornecimento igual ao estimado mensalmente</v>
      </c>
      <c r="J30" s="569"/>
      <c r="K30" s="569"/>
      <c r="L30" s="73">
        <f t="shared" si="3"/>
        <v>8.3333333333333329E-2</v>
      </c>
      <c r="M30" s="74">
        <f>Mat!J12</f>
        <v>1</v>
      </c>
      <c r="N30" s="75" t="str">
        <f>Mat!K12</f>
        <v>Anual</v>
      </c>
      <c r="O30" s="76">
        <f t="shared" si="4"/>
        <v>12</v>
      </c>
      <c r="V30" s="57"/>
    </row>
    <row r="31" spans="1:23" s="1" customFormat="1" ht="15" customHeight="1">
      <c r="A31" s="67">
        <v>5</v>
      </c>
      <c r="B31" s="568" t="s">
        <v>80</v>
      </c>
      <c r="C31" s="568"/>
      <c r="D31" s="568"/>
      <c r="E31" s="69" t="s">
        <v>76</v>
      </c>
      <c r="F31" s="70"/>
      <c r="G31" s="71">
        <f t="shared" si="1"/>
        <v>8.3333333333333329E-2</v>
      </c>
      <c r="H31" s="72">
        <f>G31*Mat!F13</f>
        <v>1.2216666666666667</v>
      </c>
      <c r="I31" s="569" t="str">
        <f t="shared" si="2"/>
        <v>Fornecimento igual ao estimado mensalmente</v>
      </c>
      <c r="J31" s="569"/>
      <c r="K31" s="569"/>
      <c r="L31" s="73">
        <f t="shared" si="3"/>
        <v>8.3333333333333329E-2</v>
      </c>
      <c r="M31" s="74">
        <f>Mat!J13</f>
        <v>1</v>
      </c>
      <c r="N31" s="75" t="str">
        <f>Mat!K13</f>
        <v>Anual</v>
      </c>
      <c r="O31" s="76">
        <f t="shared" si="4"/>
        <v>12</v>
      </c>
      <c r="V31" s="57"/>
    </row>
    <row r="32" spans="1:23" s="1" customFormat="1" ht="15" customHeight="1">
      <c r="A32" s="67">
        <v>6</v>
      </c>
      <c r="B32" s="568" t="s">
        <v>81</v>
      </c>
      <c r="C32" s="568"/>
      <c r="D32" s="568"/>
      <c r="E32" s="69" t="s">
        <v>76</v>
      </c>
      <c r="F32" s="78"/>
      <c r="G32" s="71">
        <f t="shared" si="1"/>
        <v>1</v>
      </c>
      <c r="H32" s="72">
        <f>G32*Mat!F14</f>
        <v>25.57</v>
      </c>
      <c r="I32" s="569" t="str">
        <f t="shared" si="2"/>
        <v>Fornecimento igual ao estimado mensalmente</v>
      </c>
      <c r="J32" s="569"/>
      <c r="K32" s="569"/>
      <c r="L32" s="73">
        <f t="shared" si="3"/>
        <v>1</v>
      </c>
      <c r="M32" s="74">
        <f>Mat!J14</f>
        <v>1</v>
      </c>
      <c r="N32" s="75" t="str">
        <f>Mat!K14</f>
        <v>Mensal</v>
      </c>
      <c r="O32" s="76">
        <f t="shared" si="4"/>
        <v>1</v>
      </c>
      <c r="V32" s="57"/>
    </row>
    <row r="33" spans="1:22" s="1" customFormat="1" ht="15" customHeight="1">
      <c r="A33" s="67">
        <v>7</v>
      </c>
      <c r="B33" s="568" t="s">
        <v>82</v>
      </c>
      <c r="C33" s="568"/>
      <c r="D33" s="568"/>
      <c r="E33" s="69" t="s">
        <v>76</v>
      </c>
      <c r="F33" s="70"/>
      <c r="G33" s="71">
        <f t="shared" si="1"/>
        <v>2</v>
      </c>
      <c r="H33" s="72">
        <f>G33*Mat!F15</f>
        <v>18</v>
      </c>
      <c r="I33" s="569" t="str">
        <f t="shared" si="2"/>
        <v>Fornecimento igual ao estimado mensalmente</v>
      </c>
      <c r="J33" s="569"/>
      <c r="K33" s="569"/>
      <c r="L33" s="73">
        <f t="shared" si="3"/>
        <v>2</v>
      </c>
      <c r="M33" s="74">
        <f>Mat!J15</f>
        <v>2</v>
      </c>
      <c r="N33" s="75" t="str">
        <f>Mat!K15</f>
        <v>Mensal</v>
      </c>
      <c r="O33" s="76">
        <f t="shared" si="4"/>
        <v>1</v>
      </c>
      <c r="V33" s="57"/>
    </row>
    <row r="34" spans="1:22" s="1" customFormat="1" ht="25.5" customHeight="1">
      <c r="A34" s="79">
        <v>8</v>
      </c>
      <c r="B34" s="568" t="s">
        <v>83</v>
      </c>
      <c r="C34" s="568"/>
      <c r="D34" s="568"/>
      <c r="E34" s="69" t="s">
        <v>76</v>
      </c>
      <c r="F34" s="70"/>
      <c r="G34" s="71">
        <f t="shared" si="1"/>
        <v>15</v>
      </c>
      <c r="H34" s="72">
        <f>G34*Mat!F16</f>
        <v>118.35</v>
      </c>
      <c r="I34" s="569" t="str">
        <f t="shared" si="2"/>
        <v>Fornecimento igual ao estimado mensalmente</v>
      </c>
      <c r="J34" s="569"/>
      <c r="K34" s="569"/>
      <c r="L34" s="73">
        <f t="shared" si="3"/>
        <v>15</v>
      </c>
      <c r="M34" s="74">
        <f>Mat!J16</f>
        <v>15</v>
      </c>
      <c r="N34" s="75" t="str">
        <f>Mat!K16</f>
        <v>Mensal</v>
      </c>
      <c r="O34" s="76">
        <f t="shared" si="4"/>
        <v>1</v>
      </c>
      <c r="V34" s="57"/>
    </row>
    <row r="35" spans="1:22" s="1" customFormat="1" ht="15" customHeight="1">
      <c r="A35" s="67">
        <v>9</v>
      </c>
      <c r="B35" s="568" t="s">
        <v>84</v>
      </c>
      <c r="C35" s="568"/>
      <c r="D35" s="568"/>
      <c r="E35" s="69" t="s">
        <v>85</v>
      </c>
      <c r="F35" s="70"/>
      <c r="G35" s="71">
        <f t="shared" si="1"/>
        <v>2</v>
      </c>
      <c r="H35" s="72">
        <f>G35*Mat!F17</f>
        <v>20.3</v>
      </c>
      <c r="I35" s="569" t="str">
        <f t="shared" si="2"/>
        <v>Fornecimento igual ao estimado mensalmente</v>
      </c>
      <c r="J35" s="569"/>
      <c r="K35" s="569"/>
      <c r="L35" s="73">
        <f t="shared" si="3"/>
        <v>2</v>
      </c>
      <c r="M35" s="74">
        <f>Mat!J17</f>
        <v>2</v>
      </c>
      <c r="N35" s="75" t="str">
        <f>Mat!K17</f>
        <v>Mensal</v>
      </c>
      <c r="O35" s="76">
        <f t="shared" si="4"/>
        <v>1</v>
      </c>
      <c r="V35" s="57"/>
    </row>
    <row r="36" spans="1:22" s="1" customFormat="1" ht="15" customHeight="1">
      <c r="A36" s="67">
        <v>10</v>
      </c>
      <c r="B36" s="570" t="s">
        <v>86</v>
      </c>
      <c r="C36" s="570"/>
      <c r="D36" s="570"/>
      <c r="E36" s="69" t="s">
        <v>76</v>
      </c>
      <c r="F36" s="70"/>
      <c r="G36" s="71">
        <f t="shared" si="1"/>
        <v>8</v>
      </c>
      <c r="H36" s="72">
        <f>G36*Mat!F18</f>
        <v>13.76</v>
      </c>
      <c r="I36" s="569" t="str">
        <f t="shared" si="2"/>
        <v>Fornecimento igual ao estimado mensalmente</v>
      </c>
      <c r="J36" s="569"/>
      <c r="K36" s="569"/>
      <c r="L36" s="73">
        <f t="shared" si="3"/>
        <v>8</v>
      </c>
      <c r="M36" s="74">
        <f>Mat!J18</f>
        <v>8</v>
      </c>
      <c r="N36" s="75" t="str">
        <f>Mat!K18</f>
        <v>Mensal</v>
      </c>
      <c r="O36" s="76">
        <f t="shared" si="4"/>
        <v>1</v>
      </c>
      <c r="V36" s="57"/>
    </row>
    <row r="37" spans="1:22" s="1" customFormat="1" ht="15" customHeight="1">
      <c r="A37" s="67">
        <v>11</v>
      </c>
      <c r="B37" s="570" t="s">
        <v>87</v>
      </c>
      <c r="C37" s="570"/>
      <c r="D37" s="570"/>
      <c r="E37" s="69" t="s">
        <v>76</v>
      </c>
      <c r="F37" s="70"/>
      <c r="G37" s="71">
        <f t="shared" si="1"/>
        <v>8.3333333333333329E-2</v>
      </c>
      <c r="H37" s="72">
        <f>G37*Mat!F19</f>
        <v>0.23749999999999999</v>
      </c>
      <c r="I37" s="569" t="str">
        <f t="shared" si="2"/>
        <v>Fornecimento igual ao estimado mensalmente</v>
      </c>
      <c r="J37" s="569"/>
      <c r="K37" s="569"/>
      <c r="L37" s="73">
        <f t="shared" si="3"/>
        <v>8.3333333333333329E-2</v>
      </c>
      <c r="M37" s="74">
        <f>Mat!J19</f>
        <v>1</v>
      </c>
      <c r="N37" s="75" t="str">
        <f>Mat!K19</f>
        <v>Anual</v>
      </c>
      <c r="O37" s="76">
        <f t="shared" si="4"/>
        <v>12</v>
      </c>
      <c r="V37" s="57"/>
    </row>
    <row r="38" spans="1:22" s="1" customFormat="1" ht="15.75" customHeight="1">
      <c r="A38" s="67">
        <v>12</v>
      </c>
      <c r="B38" s="570" t="s">
        <v>88</v>
      </c>
      <c r="C38" s="570"/>
      <c r="D38" s="570"/>
      <c r="E38" s="69" t="s">
        <v>76</v>
      </c>
      <c r="F38" s="70"/>
      <c r="G38" s="71">
        <f t="shared" si="1"/>
        <v>10</v>
      </c>
      <c r="H38" s="72">
        <f>G38*Mat!F20</f>
        <v>11.200000000000001</v>
      </c>
      <c r="I38" s="569" t="str">
        <f t="shared" si="2"/>
        <v>Fornecimento igual ao estimado mensalmente</v>
      </c>
      <c r="J38" s="569"/>
      <c r="K38" s="569"/>
      <c r="L38" s="73">
        <f t="shared" si="3"/>
        <v>10</v>
      </c>
      <c r="M38" s="74">
        <f>Mat!J20</f>
        <v>10</v>
      </c>
      <c r="N38" s="75" t="str">
        <f>Mat!K20</f>
        <v>Mensal</v>
      </c>
      <c r="O38" s="76">
        <f t="shared" si="4"/>
        <v>1</v>
      </c>
      <c r="V38" s="57"/>
    </row>
    <row r="39" spans="1:22" s="1" customFormat="1" ht="15" customHeight="1">
      <c r="A39" s="67">
        <v>13</v>
      </c>
      <c r="B39" s="570" t="s">
        <v>89</v>
      </c>
      <c r="C39" s="570"/>
      <c r="D39" s="570"/>
      <c r="E39" s="69" t="s">
        <v>76</v>
      </c>
      <c r="F39" s="70"/>
      <c r="G39" s="71">
        <f t="shared" si="1"/>
        <v>8.3333333333333329E-2</v>
      </c>
      <c r="H39" s="72">
        <f>G39*Mat!F21</f>
        <v>0.71166666666666656</v>
      </c>
      <c r="I39" s="569" t="str">
        <f t="shared" si="2"/>
        <v>Fornecimento igual ao estimado mensalmente</v>
      </c>
      <c r="J39" s="569"/>
      <c r="K39" s="569"/>
      <c r="L39" s="73">
        <f t="shared" si="3"/>
        <v>8.3333333333333329E-2</v>
      </c>
      <c r="M39" s="74">
        <f>Mat!J21</f>
        <v>1</v>
      </c>
      <c r="N39" s="75" t="str">
        <f>Mat!K21</f>
        <v>Anual</v>
      </c>
      <c r="O39" s="76">
        <f t="shared" si="4"/>
        <v>12</v>
      </c>
      <c r="V39" s="57"/>
    </row>
    <row r="40" spans="1:22" s="1" customFormat="1" ht="15" customHeight="1">
      <c r="A40" s="67">
        <v>14</v>
      </c>
      <c r="B40" s="570" t="s">
        <v>90</v>
      </c>
      <c r="C40" s="570"/>
      <c r="D40" s="570"/>
      <c r="E40" s="69" t="s">
        <v>76</v>
      </c>
      <c r="F40" s="70"/>
      <c r="G40" s="71">
        <f t="shared" si="1"/>
        <v>4</v>
      </c>
      <c r="H40" s="72">
        <f>G40*Mat!F22</f>
        <v>8.8000000000000007</v>
      </c>
      <c r="I40" s="569" t="str">
        <f t="shared" si="2"/>
        <v>Fornecimento igual ao estimado mensalmente</v>
      </c>
      <c r="J40" s="569"/>
      <c r="K40" s="569"/>
      <c r="L40" s="73">
        <f t="shared" si="3"/>
        <v>4</v>
      </c>
      <c r="M40" s="74">
        <f>Mat!J22</f>
        <v>4</v>
      </c>
      <c r="N40" s="75" t="str">
        <f>Mat!K22</f>
        <v>Mensal</v>
      </c>
      <c r="O40" s="76">
        <f t="shared" si="4"/>
        <v>1</v>
      </c>
      <c r="V40" s="57"/>
    </row>
    <row r="41" spans="1:22" s="1" customFormat="1" ht="15" customHeight="1">
      <c r="A41" s="67">
        <v>15</v>
      </c>
      <c r="B41" s="570" t="s">
        <v>91</v>
      </c>
      <c r="C41" s="570"/>
      <c r="D41" s="570"/>
      <c r="E41" s="69" t="s">
        <v>76</v>
      </c>
      <c r="F41" s="80"/>
      <c r="G41" s="71">
        <f t="shared" si="1"/>
        <v>2</v>
      </c>
      <c r="H41" s="72">
        <f>G41*Mat!F23</f>
        <v>6.44</v>
      </c>
      <c r="I41" s="569" t="str">
        <f t="shared" si="2"/>
        <v>Fornecimento igual ao estimado mensalmente</v>
      </c>
      <c r="J41" s="569"/>
      <c r="K41" s="569"/>
      <c r="L41" s="73">
        <f t="shared" si="3"/>
        <v>2</v>
      </c>
      <c r="M41" s="74">
        <f>Mat!J23</f>
        <v>2</v>
      </c>
      <c r="N41" s="75" t="str">
        <f>Mat!K23</f>
        <v>Mensal</v>
      </c>
      <c r="O41" s="76">
        <f t="shared" si="4"/>
        <v>1</v>
      </c>
      <c r="V41" s="57"/>
    </row>
    <row r="42" spans="1:22" s="1" customFormat="1" ht="15" customHeight="1">
      <c r="A42" s="67">
        <v>16</v>
      </c>
      <c r="B42" s="570" t="s">
        <v>92</v>
      </c>
      <c r="C42" s="570"/>
      <c r="D42" s="570"/>
      <c r="E42" s="69" t="s">
        <v>76</v>
      </c>
      <c r="F42" s="81"/>
      <c r="G42" s="71">
        <f t="shared" si="1"/>
        <v>4</v>
      </c>
      <c r="H42" s="72">
        <f>G42*Mat!F24</f>
        <v>22</v>
      </c>
      <c r="I42" s="569" t="str">
        <f t="shared" si="2"/>
        <v>Fornecimento igual ao estimado mensalmente</v>
      </c>
      <c r="J42" s="569"/>
      <c r="K42" s="569"/>
      <c r="L42" s="73">
        <f t="shared" si="3"/>
        <v>4</v>
      </c>
      <c r="M42" s="74">
        <f>Mat!J24</f>
        <v>4</v>
      </c>
      <c r="N42" s="75" t="str">
        <f>Mat!K24</f>
        <v>Mensal</v>
      </c>
      <c r="O42" s="76">
        <f t="shared" si="4"/>
        <v>1</v>
      </c>
      <c r="V42" s="57"/>
    </row>
    <row r="43" spans="1:22" s="1" customFormat="1" ht="15.75" customHeight="1">
      <c r="A43" s="67">
        <v>17</v>
      </c>
      <c r="B43" s="570" t="s">
        <v>93</v>
      </c>
      <c r="C43" s="570"/>
      <c r="D43" s="570"/>
      <c r="E43" s="69" t="s">
        <v>76</v>
      </c>
      <c r="F43" s="70"/>
      <c r="G43" s="71">
        <f t="shared" si="1"/>
        <v>1</v>
      </c>
      <c r="H43" s="72">
        <f>G43*Mat!F25</f>
        <v>2.59</v>
      </c>
      <c r="I43" s="569" t="str">
        <f t="shared" si="2"/>
        <v>Fornecimento igual ao estimado mensalmente</v>
      </c>
      <c r="J43" s="569"/>
      <c r="K43" s="569"/>
      <c r="L43" s="73">
        <f t="shared" si="3"/>
        <v>1</v>
      </c>
      <c r="M43" s="74">
        <f>Mat!J25</f>
        <v>1</v>
      </c>
      <c r="N43" s="75" t="str">
        <f>Mat!K25</f>
        <v>Mensal</v>
      </c>
      <c r="O43" s="76">
        <f t="shared" si="4"/>
        <v>1</v>
      </c>
      <c r="V43" s="57"/>
    </row>
    <row r="44" spans="1:22" s="1" customFormat="1" ht="15" customHeight="1">
      <c r="A44" s="67">
        <v>18</v>
      </c>
      <c r="B44" s="570" t="s">
        <v>94</v>
      </c>
      <c r="C44" s="570"/>
      <c r="D44" s="570"/>
      <c r="E44" s="69" t="s">
        <v>76</v>
      </c>
      <c r="F44" s="70"/>
      <c r="G44" s="71">
        <f t="shared" si="1"/>
        <v>1</v>
      </c>
      <c r="H44" s="72">
        <f>G44*Mat!F26</f>
        <v>3.25</v>
      </c>
      <c r="I44" s="569" t="str">
        <f t="shared" si="2"/>
        <v>Fornecimento igual ao estimado mensalmente</v>
      </c>
      <c r="J44" s="569"/>
      <c r="K44" s="569"/>
      <c r="L44" s="73">
        <f t="shared" si="3"/>
        <v>1</v>
      </c>
      <c r="M44" s="74">
        <f>Mat!J26</f>
        <v>1</v>
      </c>
      <c r="N44" s="75" t="str">
        <f>Mat!K26</f>
        <v>Mensal</v>
      </c>
      <c r="O44" s="76">
        <f t="shared" si="4"/>
        <v>1</v>
      </c>
      <c r="V44" s="57"/>
    </row>
    <row r="45" spans="1:22" s="1" customFormat="1" ht="15" customHeight="1">
      <c r="A45" s="67">
        <v>19</v>
      </c>
      <c r="B45" s="570" t="s">
        <v>95</v>
      </c>
      <c r="C45" s="570"/>
      <c r="D45" s="570"/>
      <c r="E45" s="69" t="s">
        <v>76</v>
      </c>
      <c r="F45" s="81"/>
      <c r="G45" s="71">
        <f t="shared" si="1"/>
        <v>2.5</v>
      </c>
      <c r="H45" s="72">
        <f>G45*Mat!F27</f>
        <v>20</v>
      </c>
      <c r="I45" s="569" t="str">
        <f t="shared" si="2"/>
        <v>Fornecimento igual ao estimado mensalmente</v>
      </c>
      <c r="J45" s="569"/>
      <c r="K45" s="569"/>
      <c r="L45" s="73">
        <f t="shared" si="3"/>
        <v>2.5</v>
      </c>
      <c r="M45" s="74">
        <f>Mat!J27</f>
        <v>5</v>
      </c>
      <c r="N45" s="75" t="str">
        <f>Mat!K27</f>
        <v>Bimestral</v>
      </c>
      <c r="O45" s="76">
        <f t="shared" si="4"/>
        <v>2</v>
      </c>
      <c r="V45" s="57"/>
    </row>
    <row r="46" spans="1:22" s="1" customFormat="1" ht="15" customHeight="1">
      <c r="A46" s="67">
        <v>20</v>
      </c>
      <c r="B46" s="570" t="s">
        <v>96</v>
      </c>
      <c r="C46" s="570"/>
      <c r="D46" s="570"/>
      <c r="E46" s="69" t="s">
        <v>76</v>
      </c>
      <c r="F46" s="70"/>
      <c r="G46" s="71">
        <f t="shared" si="1"/>
        <v>1</v>
      </c>
      <c r="H46" s="72">
        <f>G46*Mat!F28</f>
        <v>3.37</v>
      </c>
      <c r="I46" s="569" t="str">
        <f t="shared" si="2"/>
        <v>Fornecimento igual ao estimado mensalmente</v>
      </c>
      <c r="J46" s="569"/>
      <c r="K46" s="569"/>
      <c r="L46" s="73">
        <f t="shared" si="3"/>
        <v>1</v>
      </c>
      <c r="M46" s="74">
        <f>Mat!J28</f>
        <v>1</v>
      </c>
      <c r="N46" s="75" t="str">
        <f>Mat!K28</f>
        <v>Mensal</v>
      </c>
      <c r="O46" s="76">
        <f t="shared" si="4"/>
        <v>1</v>
      </c>
      <c r="V46" s="57"/>
    </row>
    <row r="47" spans="1:22" s="1" customFormat="1" ht="15.75" customHeight="1">
      <c r="A47" s="67">
        <v>21</v>
      </c>
      <c r="B47" s="568" t="s">
        <v>97</v>
      </c>
      <c r="C47" s="568"/>
      <c r="D47" s="568"/>
      <c r="E47" s="69" t="s">
        <v>98</v>
      </c>
      <c r="F47" s="70"/>
      <c r="G47" s="71">
        <f t="shared" si="1"/>
        <v>3</v>
      </c>
      <c r="H47" s="72">
        <f>G47*Mat!F29</f>
        <v>12.09</v>
      </c>
      <c r="I47" s="569" t="str">
        <f t="shared" si="2"/>
        <v>Fornecimento igual ao estimado mensalmente</v>
      </c>
      <c r="J47" s="569"/>
      <c r="K47" s="569"/>
      <c r="L47" s="73">
        <f t="shared" si="3"/>
        <v>3</v>
      </c>
      <c r="M47" s="74">
        <f>Mat!J29</f>
        <v>3</v>
      </c>
      <c r="N47" s="75" t="str">
        <f>Mat!K29</f>
        <v>Mensal</v>
      </c>
      <c r="O47" s="76">
        <f t="shared" si="4"/>
        <v>1</v>
      </c>
      <c r="V47" s="57"/>
    </row>
    <row r="48" spans="1:22" s="1" customFormat="1" ht="15" customHeight="1">
      <c r="A48" s="67">
        <v>22</v>
      </c>
      <c r="B48" s="568" t="s">
        <v>99</v>
      </c>
      <c r="C48" s="568"/>
      <c r="D48" s="568"/>
      <c r="E48" s="69" t="s">
        <v>85</v>
      </c>
      <c r="F48" s="81"/>
      <c r="G48" s="71">
        <f t="shared" si="1"/>
        <v>0.16666666666666666</v>
      </c>
      <c r="H48" s="72">
        <f>G48*Mat!F30</f>
        <v>2.9766666666666666</v>
      </c>
      <c r="I48" s="569" t="str">
        <f t="shared" si="2"/>
        <v>Fornecimento igual ao estimado mensalmente</v>
      </c>
      <c r="J48" s="569"/>
      <c r="K48" s="569"/>
      <c r="L48" s="73">
        <f t="shared" si="3"/>
        <v>0.16666666666666666</v>
      </c>
      <c r="M48" s="74">
        <f>Mat!J30</f>
        <v>1</v>
      </c>
      <c r="N48" s="75" t="str">
        <f>Mat!K30</f>
        <v>Semestral</v>
      </c>
      <c r="O48" s="76">
        <f t="shared" si="4"/>
        <v>6</v>
      </c>
      <c r="V48" s="57"/>
    </row>
    <row r="49" spans="1:22" s="1" customFormat="1" ht="15" customHeight="1">
      <c r="A49" s="67">
        <v>23</v>
      </c>
      <c r="B49" s="570" t="s">
        <v>100</v>
      </c>
      <c r="C49" s="570"/>
      <c r="D49" s="570"/>
      <c r="E49" s="69" t="s">
        <v>76</v>
      </c>
      <c r="F49" s="81"/>
      <c r="G49" s="71">
        <f t="shared" si="1"/>
        <v>0.16666666666666666</v>
      </c>
      <c r="H49" s="72">
        <f>G49*Mat!F31</f>
        <v>3.7183333333333328</v>
      </c>
      <c r="I49" s="569" t="str">
        <f t="shared" si="2"/>
        <v>Fornecimento igual ao estimado mensalmente</v>
      </c>
      <c r="J49" s="569"/>
      <c r="K49" s="569"/>
      <c r="L49" s="73">
        <f t="shared" si="3"/>
        <v>0.16666666666666666</v>
      </c>
      <c r="M49" s="74">
        <f>Mat!J31</f>
        <v>1</v>
      </c>
      <c r="N49" s="75" t="str">
        <f>Mat!K31</f>
        <v>Semestral</v>
      </c>
      <c r="O49" s="76">
        <f t="shared" si="4"/>
        <v>6</v>
      </c>
      <c r="V49" s="57"/>
    </row>
    <row r="50" spans="1:22" s="1" customFormat="1" ht="15" customHeight="1">
      <c r="A50" s="67">
        <v>24</v>
      </c>
      <c r="B50" s="568" t="s">
        <v>101</v>
      </c>
      <c r="C50" s="568"/>
      <c r="D50" s="568"/>
      <c r="E50" s="69" t="s">
        <v>76</v>
      </c>
      <c r="F50" s="70"/>
      <c r="G50" s="71">
        <f t="shared" si="1"/>
        <v>0.16666666666666666</v>
      </c>
      <c r="H50" s="72">
        <f>G50*Mat!F32</f>
        <v>0.255</v>
      </c>
      <c r="I50" s="569" t="str">
        <f t="shared" si="2"/>
        <v>Fornecimento igual ao estimado mensalmente</v>
      </c>
      <c r="J50" s="569"/>
      <c r="K50" s="569"/>
      <c r="L50" s="73">
        <f t="shared" si="3"/>
        <v>0.16666666666666666</v>
      </c>
      <c r="M50" s="74">
        <f>Mat!J32</f>
        <v>2</v>
      </c>
      <c r="N50" s="75" t="str">
        <f>Mat!K32</f>
        <v>Anual</v>
      </c>
      <c r="O50" s="76">
        <f t="shared" si="4"/>
        <v>12</v>
      </c>
      <c r="V50" s="57"/>
    </row>
    <row r="51" spans="1:22" s="1" customFormat="1" ht="15.75" customHeight="1">
      <c r="A51" s="67">
        <v>25</v>
      </c>
      <c r="B51" s="570" t="s">
        <v>102</v>
      </c>
      <c r="C51" s="570"/>
      <c r="D51" s="570"/>
      <c r="E51" s="69" t="s">
        <v>76</v>
      </c>
      <c r="F51" s="70"/>
      <c r="G51" s="71">
        <f t="shared" si="1"/>
        <v>8.3333333333333329E-2</v>
      </c>
      <c r="H51" s="72">
        <f>G51*Mat!F33</f>
        <v>0.5116666666666666</v>
      </c>
      <c r="I51" s="569" t="str">
        <f t="shared" si="2"/>
        <v>Fornecimento igual ao estimado mensalmente</v>
      </c>
      <c r="J51" s="569"/>
      <c r="K51" s="569"/>
      <c r="L51" s="73">
        <f t="shared" si="3"/>
        <v>8.3333333333333329E-2</v>
      </c>
      <c r="M51" s="74">
        <f>Mat!J33</f>
        <v>1</v>
      </c>
      <c r="N51" s="75" t="str">
        <f>Mat!K33</f>
        <v>Anual</v>
      </c>
      <c r="O51" s="76">
        <f t="shared" si="4"/>
        <v>12</v>
      </c>
      <c r="V51" s="57"/>
    </row>
    <row r="52" spans="1:22" s="1" customFormat="1" ht="15" customHeight="1">
      <c r="A52" s="67">
        <v>26</v>
      </c>
      <c r="B52" s="570" t="s">
        <v>103</v>
      </c>
      <c r="C52" s="570"/>
      <c r="D52" s="570"/>
      <c r="E52" s="69" t="s">
        <v>104</v>
      </c>
      <c r="F52" s="70"/>
      <c r="G52" s="71">
        <f t="shared" si="1"/>
        <v>200</v>
      </c>
      <c r="H52" s="72">
        <f>G52*Mat!F34</f>
        <v>540</v>
      </c>
      <c r="I52" s="569" t="str">
        <f t="shared" si="2"/>
        <v>Fornecimento igual ao estimado mensalmente</v>
      </c>
      <c r="J52" s="569"/>
      <c r="K52" s="569"/>
      <c r="L52" s="73">
        <f t="shared" si="3"/>
        <v>200</v>
      </c>
      <c r="M52" s="74">
        <f>Mat!J34</f>
        <v>200</v>
      </c>
      <c r="N52" s="75" t="str">
        <f>Mat!K34</f>
        <v>Mensal</v>
      </c>
      <c r="O52" s="76">
        <f t="shared" si="4"/>
        <v>1</v>
      </c>
      <c r="V52" s="57"/>
    </row>
    <row r="53" spans="1:22" s="1" customFormat="1" ht="15" customHeight="1">
      <c r="A53" s="67">
        <v>27</v>
      </c>
      <c r="B53" s="570" t="s">
        <v>105</v>
      </c>
      <c r="C53" s="570"/>
      <c r="D53" s="570"/>
      <c r="E53" s="69" t="s">
        <v>104</v>
      </c>
      <c r="F53" s="70"/>
      <c r="G53" s="71">
        <f t="shared" si="1"/>
        <v>20</v>
      </c>
      <c r="H53" s="72">
        <f>G53*Mat!F35</f>
        <v>281.60000000000002</v>
      </c>
      <c r="I53" s="569" t="str">
        <f t="shared" si="2"/>
        <v>Fornecimento igual ao estimado mensalmente</v>
      </c>
      <c r="J53" s="569"/>
      <c r="K53" s="569"/>
      <c r="L53" s="73">
        <f t="shared" si="3"/>
        <v>20</v>
      </c>
      <c r="M53" s="74">
        <f>Mat!J35</f>
        <v>20</v>
      </c>
      <c r="N53" s="75" t="str">
        <f>Mat!K35</f>
        <v>Mensal</v>
      </c>
      <c r="O53" s="76">
        <f t="shared" si="4"/>
        <v>1</v>
      </c>
      <c r="V53" s="57"/>
    </row>
    <row r="54" spans="1:22" s="1" customFormat="1" ht="15" customHeight="1">
      <c r="A54" s="67">
        <v>28</v>
      </c>
      <c r="B54" s="570" t="s">
        <v>106</v>
      </c>
      <c r="C54" s="570"/>
      <c r="D54" s="570"/>
      <c r="E54" s="69" t="s">
        <v>76</v>
      </c>
      <c r="F54" s="70"/>
      <c r="G54" s="71">
        <f t="shared" si="1"/>
        <v>0.16666666666666666</v>
      </c>
      <c r="H54" s="72">
        <f>G54*Mat!F36</f>
        <v>1.6666666666666665</v>
      </c>
      <c r="I54" s="569" t="str">
        <f t="shared" si="2"/>
        <v>Fornecimento igual ao estimado mensalmente</v>
      </c>
      <c r="J54" s="569"/>
      <c r="K54" s="569"/>
      <c r="L54" s="73">
        <f t="shared" si="3"/>
        <v>0.16666666666666666</v>
      </c>
      <c r="M54" s="74">
        <f>Mat!J36</f>
        <v>2</v>
      </c>
      <c r="N54" s="75" t="str">
        <f>Mat!K36</f>
        <v>Anual</v>
      </c>
      <c r="O54" s="76">
        <f t="shared" si="4"/>
        <v>12</v>
      </c>
      <c r="V54" s="57"/>
    </row>
    <row r="55" spans="1:22" s="1" customFormat="1" ht="15" customHeight="1">
      <c r="A55" s="67">
        <v>29</v>
      </c>
      <c r="B55" s="570" t="s">
        <v>107</v>
      </c>
      <c r="C55" s="570"/>
      <c r="D55" s="570"/>
      <c r="E55" s="69" t="s">
        <v>76</v>
      </c>
      <c r="F55" s="70"/>
      <c r="G55" s="71">
        <f t="shared" si="1"/>
        <v>8.3333333333333329E-2</v>
      </c>
      <c r="H55" s="72">
        <f>G55*Mat!F37</f>
        <v>2.7041666666666666</v>
      </c>
      <c r="I55" s="569" t="str">
        <f t="shared" si="2"/>
        <v>Fornecimento igual ao estimado mensalmente</v>
      </c>
      <c r="J55" s="569"/>
      <c r="K55" s="569"/>
      <c r="L55" s="73">
        <f t="shared" si="3"/>
        <v>8.3333333333333329E-2</v>
      </c>
      <c r="M55" s="74">
        <f>Mat!J37</f>
        <v>1</v>
      </c>
      <c r="N55" s="75" t="str">
        <f>Mat!K37</f>
        <v>Anual</v>
      </c>
      <c r="O55" s="76">
        <f t="shared" si="4"/>
        <v>12</v>
      </c>
      <c r="V55" s="57"/>
    </row>
    <row r="56" spans="1:22" s="1" customFormat="1" ht="15" customHeight="1">
      <c r="A56" s="67">
        <v>30</v>
      </c>
      <c r="B56" s="568" t="s">
        <v>108</v>
      </c>
      <c r="C56" s="568"/>
      <c r="D56" s="568"/>
      <c r="E56" s="69" t="s">
        <v>109</v>
      </c>
      <c r="F56" s="70"/>
      <c r="G56" s="71">
        <f t="shared" si="1"/>
        <v>1</v>
      </c>
      <c r="H56" s="72">
        <f>G56*Mat!F38</f>
        <v>10.16</v>
      </c>
      <c r="I56" s="569" t="str">
        <f t="shared" si="2"/>
        <v>Fornecimento igual ao estimado mensalmente</v>
      </c>
      <c r="J56" s="569"/>
      <c r="K56" s="569"/>
      <c r="L56" s="73">
        <f t="shared" si="3"/>
        <v>1</v>
      </c>
      <c r="M56" s="74">
        <f>Mat!J38</f>
        <v>1</v>
      </c>
      <c r="N56" s="75" t="str">
        <f>Mat!K38</f>
        <v>Mensal</v>
      </c>
      <c r="O56" s="76">
        <f t="shared" si="4"/>
        <v>1</v>
      </c>
      <c r="V56" s="57"/>
    </row>
    <row r="57" spans="1:22" s="1" customFormat="1" ht="15" customHeight="1">
      <c r="A57" s="67">
        <v>31</v>
      </c>
      <c r="B57" s="568" t="s">
        <v>110</v>
      </c>
      <c r="C57" s="568"/>
      <c r="D57" s="568"/>
      <c r="E57" s="69" t="s">
        <v>111</v>
      </c>
      <c r="F57" s="81"/>
      <c r="G57" s="71">
        <f t="shared" si="1"/>
        <v>1</v>
      </c>
      <c r="H57" s="72">
        <f>G57*Mat!F39</f>
        <v>5.36</v>
      </c>
      <c r="I57" s="569" t="str">
        <f t="shared" si="2"/>
        <v>Fornecimento igual ao estimado mensalmente</v>
      </c>
      <c r="J57" s="569"/>
      <c r="K57" s="569"/>
      <c r="L57" s="73">
        <f t="shared" si="3"/>
        <v>1</v>
      </c>
      <c r="M57" s="74">
        <f>Mat!J39</f>
        <v>1</v>
      </c>
      <c r="N57" s="75" t="str">
        <f>Mat!K39</f>
        <v>Mensal</v>
      </c>
      <c r="O57" s="76">
        <f t="shared" si="4"/>
        <v>1</v>
      </c>
      <c r="V57" s="57"/>
    </row>
    <row r="58" spans="1:22" s="1" customFormat="1" ht="15" customHeight="1">
      <c r="A58" s="67">
        <v>32</v>
      </c>
      <c r="B58" s="568" t="s">
        <v>112</v>
      </c>
      <c r="C58" s="568"/>
      <c r="D58" s="568"/>
      <c r="E58" s="69" t="s">
        <v>109</v>
      </c>
      <c r="F58" s="70"/>
      <c r="G58" s="71">
        <f t="shared" si="1"/>
        <v>0.33333333333333331</v>
      </c>
      <c r="H58" s="72">
        <f>G58*Mat!F40</f>
        <v>7.5</v>
      </c>
      <c r="I58" s="569" t="str">
        <f t="shared" si="2"/>
        <v>Fornecimento igual ao estimado mensalmente</v>
      </c>
      <c r="J58" s="569"/>
      <c r="K58" s="569"/>
      <c r="L58" s="73">
        <f t="shared" si="3"/>
        <v>0.33333333333333331</v>
      </c>
      <c r="M58" s="74">
        <f>Mat!J40</f>
        <v>1</v>
      </c>
      <c r="N58" s="75" t="str">
        <f>Mat!K40</f>
        <v>Trimestral</v>
      </c>
      <c r="O58" s="76">
        <f t="shared" si="4"/>
        <v>3</v>
      </c>
      <c r="V58" s="57"/>
    </row>
    <row r="59" spans="1:22" s="1" customFormat="1" ht="15" customHeight="1">
      <c r="A59" s="67">
        <v>33</v>
      </c>
      <c r="B59" s="570" t="s">
        <v>113</v>
      </c>
      <c r="C59" s="570"/>
      <c r="D59" s="570"/>
      <c r="E59" s="69" t="s">
        <v>76</v>
      </c>
      <c r="F59" s="70"/>
      <c r="G59" s="71">
        <f t="shared" si="1"/>
        <v>2</v>
      </c>
      <c r="H59" s="72">
        <f>G59*Mat!F41</f>
        <v>13.56</v>
      </c>
      <c r="I59" s="569" t="str">
        <f t="shared" si="2"/>
        <v>Fornecimento igual ao estimado mensalmente</v>
      </c>
      <c r="J59" s="569"/>
      <c r="K59" s="569"/>
      <c r="L59" s="73">
        <f t="shared" si="3"/>
        <v>2</v>
      </c>
      <c r="M59" s="74">
        <f>Mat!J41</f>
        <v>2</v>
      </c>
      <c r="N59" s="75" t="str">
        <f>Mat!K41</f>
        <v>Mensal</v>
      </c>
      <c r="O59" s="76">
        <f t="shared" si="4"/>
        <v>1</v>
      </c>
      <c r="V59" s="57"/>
    </row>
    <row r="60" spans="1:22" s="1" customFormat="1" ht="15" customHeight="1">
      <c r="A60" s="67">
        <v>34</v>
      </c>
      <c r="B60" s="570" t="s">
        <v>114</v>
      </c>
      <c r="C60" s="570"/>
      <c r="D60" s="570"/>
      <c r="E60" s="69" t="s">
        <v>76</v>
      </c>
      <c r="F60" s="70"/>
      <c r="G60" s="71">
        <f t="shared" si="1"/>
        <v>1.5</v>
      </c>
      <c r="H60" s="72">
        <f>G60*Mat!F42</f>
        <v>8.6999999999999993</v>
      </c>
      <c r="I60" s="569" t="str">
        <f t="shared" si="2"/>
        <v>Fornecimento igual ao estimado mensalmente</v>
      </c>
      <c r="J60" s="569"/>
      <c r="K60" s="569"/>
      <c r="L60" s="73">
        <f t="shared" si="3"/>
        <v>1.5</v>
      </c>
      <c r="M60" s="74">
        <f>Mat!J42</f>
        <v>3</v>
      </c>
      <c r="N60" s="75" t="str">
        <f>Mat!K42</f>
        <v>Bimestral</v>
      </c>
      <c r="O60" s="76">
        <f t="shared" si="4"/>
        <v>2</v>
      </c>
      <c r="V60" s="57"/>
    </row>
    <row r="61" spans="1:22" s="1" customFormat="1" ht="15" customHeight="1">
      <c r="A61" s="82">
        <v>35</v>
      </c>
      <c r="B61" s="570" t="s">
        <v>115</v>
      </c>
      <c r="C61" s="570"/>
      <c r="D61" s="570"/>
      <c r="E61" s="69" t="s">
        <v>76</v>
      </c>
      <c r="F61" s="70"/>
      <c r="G61" s="71">
        <f t="shared" si="1"/>
        <v>2</v>
      </c>
      <c r="H61" s="72">
        <f>G61*Mat!F43</f>
        <v>24.52</v>
      </c>
      <c r="I61" s="569" t="str">
        <f t="shared" si="2"/>
        <v>Fornecimento igual ao estimado mensalmente</v>
      </c>
      <c r="J61" s="569"/>
      <c r="K61" s="569"/>
      <c r="L61" s="73">
        <f t="shared" si="3"/>
        <v>2</v>
      </c>
      <c r="M61" s="74">
        <f>Mat!J43</f>
        <v>2</v>
      </c>
      <c r="N61" s="75" t="str">
        <f>Mat!K43</f>
        <v>Mensal</v>
      </c>
      <c r="O61" s="76">
        <f t="shared" si="4"/>
        <v>1</v>
      </c>
      <c r="V61" s="57"/>
    </row>
    <row r="62" spans="1:22" s="1" customFormat="1" ht="15" customHeight="1">
      <c r="A62" s="82">
        <v>36</v>
      </c>
      <c r="B62" s="570" t="s">
        <v>116</v>
      </c>
      <c r="C62" s="570"/>
      <c r="D62" s="570"/>
      <c r="E62" s="69" t="s">
        <v>76</v>
      </c>
      <c r="F62" s="70"/>
      <c r="G62" s="71">
        <f t="shared" si="1"/>
        <v>0.5</v>
      </c>
      <c r="H62" s="72">
        <f>G62*Mat!F44</f>
        <v>19.75</v>
      </c>
      <c r="I62" s="569" t="str">
        <f t="shared" si="2"/>
        <v>Fornecimento igual ao estimado mensalmente</v>
      </c>
      <c r="J62" s="569"/>
      <c r="K62" s="569"/>
      <c r="L62" s="73">
        <f t="shared" si="3"/>
        <v>0.5</v>
      </c>
      <c r="M62" s="74">
        <f>Mat!J44</f>
        <v>1</v>
      </c>
      <c r="N62" s="75" t="str">
        <f>Mat!K44</f>
        <v>Bimestral</v>
      </c>
      <c r="O62" s="76">
        <f t="shared" si="4"/>
        <v>2</v>
      </c>
      <c r="V62" s="57"/>
    </row>
    <row r="63" spans="1:22" s="1" customFormat="1" ht="15" customHeight="1">
      <c r="A63" s="82">
        <v>37</v>
      </c>
      <c r="B63" s="570" t="s">
        <v>117</v>
      </c>
      <c r="C63" s="570"/>
      <c r="D63" s="570"/>
      <c r="E63" s="69" t="s">
        <v>118</v>
      </c>
      <c r="F63" s="70"/>
      <c r="G63" s="71">
        <f t="shared" si="1"/>
        <v>18</v>
      </c>
      <c r="H63" s="72">
        <f>G63*Mat!F45</f>
        <v>46.98</v>
      </c>
      <c r="I63" s="569" t="str">
        <f t="shared" si="2"/>
        <v>Fornecimento igual ao estimado mensalmente</v>
      </c>
      <c r="J63" s="569"/>
      <c r="K63" s="569"/>
      <c r="L63" s="73">
        <f t="shared" si="3"/>
        <v>18</v>
      </c>
      <c r="M63" s="74">
        <f>Mat!J45</f>
        <v>18</v>
      </c>
      <c r="N63" s="75" t="str">
        <f>Mat!K45</f>
        <v>Mensal</v>
      </c>
      <c r="O63" s="76">
        <f t="shared" si="4"/>
        <v>1</v>
      </c>
      <c r="V63" s="57"/>
    </row>
    <row r="64" spans="1:22" s="1" customFormat="1" ht="15" customHeight="1">
      <c r="A64" s="82">
        <v>38</v>
      </c>
      <c r="B64" s="570" t="s">
        <v>119</v>
      </c>
      <c r="C64" s="570"/>
      <c r="D64" s="570"/>
      <c r="E64" s="69" t="s">
        <v>76</v>
      </c>
      <c r="F64" s="70"/>
      <c r="G64" s="71">
        <f t="shared" si="1"/>
        <v>1</v>
      </c>
      <c r="H64" s="72">
        <f>G64*Mat!F46</f>
        <v>13.29</v>
      </c>
      <c r="I64" s="569" t="str">
        <f t="shared" si="2"/>
        <v>Fornecimento igual ao estimado mensalmente</v>
      </c>
      <c r="J64" s="569"/>
      <c r="K64" s="569"/>
      <c r="L64" s="73">
        <f t="shared" si="3"/>
        <v>1</v>
      </c>
      <c r="M64" s="74">
        <f>Mat!J46</f>
        <v>1</v>
      </c>
      <c r="N64" s="75" t="str">
        <f>Mat!K46</f>
        <v>Mensal</v>
      </c>
      <c r="O64" s="76">
        <f t="shared" si="4"/>
        <v>1</v>
      </c>
      <c r="V64" s="57"/>
    </row>
    <row r="65" spans="1:22" s="1" customFormat="1" ht="15" customHeight="1">
      <c r="A65" s="82">
        <v>39</v>
      </c>
      <c r="B65" s="570" t="s">
        <v>120</v>
      </c>
      <c r="C65" s="570"/>
      <c r="D65" s="570"/>
      <c r="E65" s="69" t="s">
        <v>76</v>
      </c>
      <c r="F65" s="70"/>
      <c r="G65" s="71">
        <f t="shared" si="1"/>
        <v>0.5</v>
      </c>
      <c r="H65" s="72">
        <f>G65*Mat!F47</f>
        <v>11.76</v>
      </c>
      <c r="I65" s="569" t="str">
        <f t="shared" si="2"/>
        <v>Fornecimento igual ao estimado mensalmente</v>
      </c>
      <c r="J65" s="569"/>
      <c r="K65" s="569"/>
      <c r="L65" s="73">
        <f t="shared" si="3"/>
        <v>0.5</v>
      </c>
      <c r="M65" s="74">
        <f>Mat!J47</f>
        <v>1</v>
      </c>
      <c r="N65" s="75" t="str">
        <f>Mat!K47</f>
        <v>Bimestral</v>
      </c>
      <c r="O65" s="76">
        <f t="shared" si="4"/>
        <v>2</v>
      </c>
      <c r="V65" s="57"/>
    </row>
    <row r="66" spans="1:22" s="1" customFormat="1" ht="15" customHeight="1">
      <c r="A66" s="82">
        <v>40</v>
      </c>
      <c r="B66" s="570" t="s">
        <v>121</v>
      </c>
      <c r="C66" s="570"/>
      <c r="D66" s="570"/>
      <c r="E66" s="69" t="s">
        <v>76</v>
      </c>
      <c r="F66" s="70"/>
      <c r="G66" s="71">
        <f t="shared" si="1"/>
        <v>1</v>
      </c>
      <c r="H66" s="72">
        <f>G66*Mat!F48</f>
        <v>12.14</v>
      </c>
      <c r="I66" s="569" t="str">
        <f t="shared" si="2"/>
        <v>Fornecimento igual ao estimado mensalmente</v>
      </c>
      <c r="J66" s="569"/>
      <c r="K66" s="569"/>
      <c r="L66" s="73">
        <f t="shared" si="3"/>
        <v>1</v>
      </c>
      <c r="M66" s="74">
        <f>Mat!J48</f>
        <v>1</v>
      </c>
      <c r="N66" s="75" t="str">
        <f>Mat!K48</f>
        <v>Mensal</v>
      </c>
      <c r="O66" s="76">
        <f t="shared" si="4"/>
        <v>1</v>
      </c>
      <c r="V66" s="57"/>
    </row>
    <row r="67" spans="1:22" s="1" customFormat="1" ht="15" customHeight="1">
      <c r="A67" s="82">
        <v>41</v>
      </c>
      <c r="B67" s="570" t="s">
        <v>122</v>
      </c>
      <c r="C67" s="570"/>
      <c r="D67" s="570"/>
      <c r="E67" s="69" t="s">
        <v>76</v>
      </c>
      <c r="F67" s="70"/>
      <c r="G67" s="71">
        <f t="shared" si="1"/>
        <v>0.66666666666666663</v>
      </c>
      <c r="H67" s="72">
        <f>G67*Mat!F49</f>
        <v>8.9066666666666663</v>
      </c>
      <c r="I67" s="569" t="str">
        <f t="shared" si="2"/>
        <v>Fornecimento igual ao estimado mensalmente</v>
      </c>
      <c r="J67" s="569"/>
      <c r="K67" s="569"/>
      <c r="L67" s="73">
        <f t="shared" si="3"/>
        <v>0.66666666666666663</v>
      </c>
      <c r="M67" s="74">
        <f>Mat!J49</f>
        <v>2</v>
      </c>
      <c r="N67" s="75" t="str">
        <f>Mat!K49</f>
        <v>Trimestral</v>
      </c>
      <c r="O67" s="76">
        <f t="shared" si="4"/>
        <v>3</v>
      </c>
      <c r="V67" s="57"/>
    </row>
    <row r="68" spans="1:22" s="1" customFormat="1" ht="15" customHeight="1">
      <c r="A68" s="82">
        <v>42</v>
      </c>
      <c r="B68" s="570" t="s">
        <v>123</v>
      </c>
      <c r="C68" s="570"/>
      <c r="D68" s="570"/>
      <c r="E68" s="69" t="s">
        <v>76</v>
      </c>
      <c r="F68" s="70"/>
      <c r="G68" s="71">
        <f t="shared" si="1"/>
        <v>0.5</v>
      </c>
      <c r="H68" s="72">
        <f>G68*Mat!F50</f>
        <v>1.2250000000000001</v>
      </c>
      <c r="I68" s="571" t="str">
        <f t="shared" si="2"/>
        <v>Fornecimento igual ao estimado mensalmente</v>
      </c>
      <c r="J68" s="571"/>
      <c r="K68" s="571"/>
      <c r="L68" s="83">
        <f t="shared" si="3"/>
        <v>0.5</v>
      </c>
      <c r="M68" s="84">
        <f>Mat!J50</f>
        <v>1</v>
      </c>
      <c r="N68" s="85" t="str">
        <f>Mat!K50</f>
        <v>Bimestral</v>
      </c>
      <c r="O68" s="86">
        <f t="shared" si="4"/>
        <v>2</v>
      </c>
      <c r="V68" s="57"/>
    </row>
    <row r="69" spans="1:22" ht="15" customHeight="1">
      <c r="A69" s="572" t="s">
        <v>124</v>
      </c>
      <c r="B69" s="572"/>
      <c r="C69" s="572"/>
      <c r="D69" s="572"/>
      <c r="E69" s="572"/>
      <c r="F69" s="572"/>
      <c r="G69" s="572"/>
      <c r="H69" s="87">
        <f>ROUND(SUM(H27:H68),2)</f>
        <v>1447.19</v>
      </c>
      <c r="I69" s="51"/>
      <c r="J69" s="51"/>
      <c r="K69" s="1"/>
      <c r="L69" s="1"/>
      <c r="M69" s="1"/>
      <c r="N69" s="61"/>
      <c r="O69" s="61"/>
      <c r="P69" s="61"/>
    </row>
    <row r="70" spans="1:22" ht="15" customHeight="1">
      <c r="A70" s="573" t="s">
        <v>125</v>
      </c>
      <c r="B70" s="573"/>
      <c r="C70" s="573"/>
      <c r="D70" s="573"/>
      <c r="E70" s="573"/>
      <c r="F70" s="573"/>
      <c r="G70" s="88">
        <f>Dados!$G$45</f>
        <v>0.03</v>
      </c>
      <c r="H70" s="89">
        <f>ROUND((H69*G70),2)</f>
        <v>43.42</v>
      </c>
      <c r="I70" s="51"/>
      <c r="J70" s="51"/>
      <c r="K70" s="1"/>
      <c r="L70" s="1"/>
      <c r="M70" s="1"/>
      <c r="N70" s="61"/>
      <c r="O70" s="61"/>
      <c r="P70" s="61"/>
    </row>
    <row r="71" spans="1:22" ht="15" customHeight="1">
      <c r="A71" s="573" t="s">
        <v>126</v>
      </c>
      <c r="B71" s="573"/>
      <c r="C71" s="573"/>
      <c r="D71" s="573"/>
      <c r="E71" s="573"/>
      <c r="F71" s="573"/>
      <c r="G71" s="88">
        <f>Dados!$G$46</f>
        <v>6.7900000000000002E-2</v>
      </c>
      <c r="H71" s="89">
        <f>ROUND((SUM(H69:H70)*G71),2)</f>
        <v>101.21</v>
      </c>
      <c r="I71" s="51"/>
      <c r="J71" s="51"/>
      <c r="K71" s="1"/>
      <c r="L71" s="1"/>
      <c r="M71" s="1"/>
      <c r="N71" s="61"/>
      <c r="O71" s="61"/>
      <c r="P71" s="61"/>
    </row>
    <row r="72" spans="1:22" ht="15" customHeight="1">
      <c r="A72" s="573" t="s">
        <v>127</v>
      </c>
      <c r="B72" s="573"/>
      <c r="C72" s="573"/>
      <c r="D72" s="573"/>
      <c r="E72" s="573"/>
      <c r="F72" s="573"/>
      <c r="G72" s="88">
        <f>Dados!$G$57</f>
        <v>0.1125</v>
      </c>
      <c r="H72" s="89">
        <f>ROUND((H73*G72),2)</f>
        <v>201.78</v>
      </c>
      <c r="I72" s="51"/>
      <c r="J72" s="51"/>
      <c r="K72" s="1"/>
      <c r="L72" s="1"/>
      <c r="M72" s="1"/>
      <c r="N72" s="61"/>
      <c r="O72" s="61"/>
      <c r="P72" s="61"/>
    </row>
    <row r="73" spans="1:22" ht="15.75" customHeight="1">
      <c r="A73" s="574" t="s">
        <v>128</v>
      </c>
      <c r="B73" s="574"/>
      <c r="C73" s="574"/>
      <c r="D73" s="574"/>
      <c r="E73" s="574"/>
      <c r="F73" s="574"/>
      <c r="G73" s="574"/>
      <c r="H73" s="90">
        <f>ROUND((SUM(H69:H71)/(1-G72)),2)</f>
        <v>1793.6</v>
      </c>
      <c r="I73" s="51"/>
      <c r="J73" s="51"/>
      <c r="K73" s="1"/>
      <c r="L73" s="1"/>
      <c r="M73" s="1"/>
      <c r="N73" s="61"/>
      <c r="O73" s="61"/>
      <c r="P73" s="61"/>
    </row>
    <row r="74" spans="1:22">
      <c r="A74" s="57"/>
      <c r="B74" s="61"/>
      <c r="C74" s="61"/>
      <c r="D74" s="61"/>
      <c r="E74" s="61"/>
      <c r="F74" s="61"/>
      <c r="G74" s="57"/>
      <c r="H74" s="61"/>
      <c r="I74" s="61"/>
      <c r="J74" s="61"/>
      <c r="K74" s="1"/>
      <c r="L74" s="1"/>
      <c r="M74" s="1"/>
      <c r="N74" s="61"/>
      <c r="O74" s="61"/>
      <c r="P74" s="61"/>
    </row>
    <row r="75" spans="1:22" s="1" customFormat="1" ht="40.5" customHeight="1">
      <c r="A75" s="563" t="s">
        <v>61</v>
      </c>
      <c r="B75" s="575" t="s">
        <v>129</v>
      </c>
      <c r="C75" s="575"/>
      <c r="D75" s="575"/>
      <c r="E75" s="575"/>
      <c r="F75" s="576" t="s">
        <v>63</v>
      </c>
      <c r="G75" s="576"/>
      <c r="H75" s="576"/>
      <c r="I75" s="566" t="s">
        <v>64</v>
      </c>
      <c r="J75" s="566"/>
      <c r="K75" s="566"/>
      <c r="L75" s="567" t="s">
        <v>65</v>
      </c>
      <c r="M75" s="567"/>
      <c r="N75" s="567"/>
      <c r="O75" s="567"/>
    </row>
    <row r="76" spans="1:22" s="1" customFormat="1" ht="51" customHeight="1">
      <c r="A76" s="563"/>
      <c r="B76" s="561" t="s">
        <v>66</v>
      </c>
      <c r="C76" s="561"/>
      <c r="D76" s="561"/>
      <c r="E76" s="56" t="s">
        <v>67</v>
      </c>
      <c r="F76" s="56" t="s">
        <v>68</v>
      </c>
      <c r="G76" s="56" t="s">
        <v>69</v>
      </c>
      <c r="H76" s="65" t="s">
        <v>70</v>
      </c>
      <c r="I76" s="566"/>
      <c r="J76" s="566"/>
      <c r="K76" s="566"/>
      <c r="L76" s="62" t="s">
        <v>71</v>
      </c>
      <c r="M76" s="63" t="s">
        <v>72</v>
      </c>
      <c r="N76" s="63" t="s">
        <v>73</v>
      </c>
      <c r="O76" s="64" t="s">
        <v>74</v>
      </c>
    </row>
    <row r="77" spans="1:22" s="1" customFormat="1">
      <c r="A77" s="91">
        <v>1</v>
      </c>
      <c r="B77" s="570" t="s">
        <v>130</v>
      </c>
      <c r="C77" s="570"/>
      <c r="D77" s="570"/>
      <c r="E77" s="92" t="s">
        <v>76</v>
      </c>
      <c r="F77" s="93"/>
      <c r="G77" s="71">
        <f t="shared" ref="G77:G82" si="5">IF($D$4="PLANILHA PARA LICITAÇÃO (PRECIFICAÇÃO)",L77,0)</f>
        <v>0.33333333333333331</v>
      </c>
      <c r="H77" s="72">
        <f>G77*Mat!F57</f>
        <v>2.44</v>
      </c>
      <c r="I77" s="569" t="str">
        <f t="shared" ref="I77:I82" si="6">IF(G77&lt;L77,"Fornecimento inferior ao estimado mensalmente",IF(G77=L77,"Fornecimento igual ao estimado mensalmente",IF(G77&gt;L77,"Fornecimento superior ao estimado mensalmente",)))</f>
        <v>Fornecimento igual ao estimado mensalmente</v>
      </c>
      <c r="J77" s="569"/>
      <c r="K77" s="569"/>
      <c r="L77" s="94">
        <f t="shared" ref="L77:L82" si="7">M77/O77</f>
        <v>0.33333333333333331</v>
      </c>
      <c r="M77" s="95">
        <f>Mat!J57</f>
        <v>2</v>
      </c>
      <c r="N77" s="96" t="str">
        <f>Mat!K57</f>
        <v>Semestral</v>
      </c>
      <c r="O77" s="76">
        <f t="shared" ref="O77:O82" si="8">IF(N77="MENSAL",1,IF(N77="BIMESTRAL",2,IF(N77="TRIMESTRAL",3,IF(N77="QUADRIMESTRAL",4,IF(N77="SEMESTRAL",6,IF(N77="ANUAL",12,IF(N77="BIENAL",24,"")))))))</f>
        <v>6</v>
      </c>
      <c r="V77" s="3"/>
    </row>
    <row r="78" spans="1:22" s="1" customFormat="1" ht="14.25" customHeight="1">
      <c r="A78" s="91">
        <v>2</v>
      </c>
      <c r="B78" s="568" t="s">
        <v>131</v>
      </c>
      <c r="C78" s="568"/>
      <c r="D78" s="568"/>
      <c r="E78" s="92" t="s">
        <v>76</v>
      </c>
      <c r="F78" s="93"/>
      <c r="G78" s="71">
        <f t="shared" si="5"/>
        <v>0.16666666666666666</v>
      </c>
      <c r="H78" s="72">
        <f>G78*Mat!F58</f>
        <v>2.8516666666666666</v>
      </c>
      <c r="I78" s="569" t="str">
        <f t="shared" si="6"/>
        <v>Fornecimento igual ao estimado mensalmente</v>
      </c>
      <c r="J78" s="569"/>
      <c r="K78" s="569"/>
      <c r="L78" s="94">
        <f t="shared" si="7"/>
        <v>0.16666666666666666</v>
      </c>
      <c r="M78" s="95">
        <f>Mat!J58</f>
        <v>1</v>
      </c>
      <c r="N78" s="96" t="str">
        <f>Mat!K58</f>
        <v>Semestral</v>
      </c>
      <c r="O78" s="76">
        <f t="shared" si="8"/>
        <v>6</v>
      </c>
      <c r="V78" s="3"/>
    </row>
    <row r="79" spans="1:22" s="1" customFormat="1">
      <c r="A79" s="91">
        <v>3</v>
      </c>
      <c r="B79" s="570" t="s">
        <v>132</v>
      </c>
      <c r="C79" s="570"/>
      <c r="D79" s="570"/>
      <c r="E79" s="92" t="s">
        <v>98</v>
      </c>
      <c r="F79" s="93"/>
      <c r="G79" s="71">
        <f t="shared" si="5"/>
        <v>6</v>
      </c>
      <c r="H79" s="72">
        <f>G79*Mat!F59</f>
        <v>15.059999999999999</v>
      </c>
      <c r="I79" s="569" t="str">
        <f t="shared" si="6"/>
        <v>Fornecimento igual ao estimado mensalmente</v>
      </c>
      <c r="J79" s="569"/>
      <c r="K79" s="569"/>
      <c r="L79" s="94">
        <f t="shared" si="7"/>
        <v>6</v>
      </c>
      <c r="M79" s="95">
        <f>Mat!J59</f>
        <v>6</v>
      </c>
      <c r="N79" s="96" t="str">
        <f>Mat!K59</f>
        <v>Mensal</v>
      </c>
      <c r="O79" s="76">
        <f t="shared" si="8"/>
        <v>1</v>
      </c>
      <c r="V79" s="3"/>
    </row>
    <row r="80" spans="1:22" s="1" customFormat="1">
      <c r="A80" s="91">
        <v>4</v>
      </c>
      <c r="B80" s="570" t="s">
        <v>133</v>
      </c>
      <c r="C80" s="570"/>
      <c r="D80" s="570"/>
      <c r="E80" s="92" t="s">
        <v>76</v>
      </c>
      <c r="F80" s="93"/>
      <c r="G80" s="71">
        <f t="shared" si="5"/>
        <v>8.3333333333333329E-2</v>
      </c>
      <c r="H80" s="72">
        <f>G80*Mat!F60</f>
        <v>1.855</v>
      </c>
      <c r="I80" s="569" t="str">
        <f t="shared" si="6"/>
        <v>Fornecimento igual ao estimado mensalmente</v>
      </c>
      <c r="J80" s="569"/>
      <c r="K80" s="569"/>
      <c r="L80" s="94">
        <f t="shared" si="7"/>
        <v>8.3333333333333329E-2</v>
      </c>
      <c r="M80" s="95">
        <f>Mat!J60</f>
        <v>1</v>
      </c>
      <c r="N80" s="96" t="str">
        <f>Mat!K60</f>
        <v>Anual</v>
      </c>
      <c r="O80" s="76">
        <f t="shared" si="8"/>
        <v>12</v>
      </c>
      <c r="V80" s="3"/>
    </row>
    <row r="81" spans="1:23" s="1" customFormat="1">
      <c r="A81" s="91">
        <v>5</v>
      </c>
      <c r="B81" s="570" t="s">
        <v>134</v>
      </c>
      <c r="C81" s="570"/>
      <c r="D81" s="570"/>
      <c r="E81" s="92" t="s">
        <v>76</v>
      </c>
      <c r="F81" s="93"/>
      <c r="G81" s="71">
        <f t="shared" si="5"/>
        <v>0.66666666666666663</v>
      </c>
      <c r="H81" s="72">
        <f>G81*Mat!F61</f>
        <v>2.8866666666666667</v>
      </c>
      <c r="I81" s="569" t="str">
        <f t="shared" si="6"/>
        <v>Fornecimento igual ao estimado mensalmente</v>
      </c>
      <c r="J81" s="569"/>
      <c r="K81" s="569"/>
      <c r="L81" s="94">
        <f t="shared" si="7"/>
        <v>0.66666666666666663</v>
      </c>
      <c r="M81" s="95">
        <f>Mat!J61</f>
        <v>2</v>
      </c>
      <c r="N81" s="96" t="str">
        <f>Mat!K61</f>
        <v>Trimestral</v>
      </c>
      <c r="O81" s="76">
        <f t="shared" si="8"/>
        <v>3</v>
      </c>
      <c r="V81" s="3"/>
    </row>
    <row r="82" spans="1:23" s="1" customFormat="1">
      <c r="A82" s="91">
        <v>6</v>
      </c>
      <c r="B82" s="578" t="s">
        <v>135</v>
      </c>
      <c r="C82" s="578"/>
      <c r="D82" s="578"/>
      <c r="E82" s="92" t="s">
        <v>98</v>
      </c>
      <c r="F82" s="97"/>
      <c r="G82" s="71">
        <f t="shared" si="5"/>
        <v>8.3333333333333329E-2</v>
      </c>
      <c r="H82" s="72">
        <f>G82*Mat!F62</f>
        <v>0.80833333333333324</v>
      </c>
      <c r="I82" s="571" t="str">
        <f t="shared" si="6"/>
        <v>Fornecimento igual ao estimado mensalmente</v>
      </c>
      <c r="J82" s="571"/>
      <c r="K82" s="571"/>
      <c r="L82" s="98">
        <f t="shared" si="7"/>
        <v>8.3333333333333329E-2</v>
      </c>
      <c r="M82" s="99">
        <f>Mat!J62</f>
        <v>1</v>
      </c>
      <c r="N82" s="100" t="str">
        <f>Mat!K62</f>
        <v>Anual</v>
      </c>
      <c r="O82" s="86">
        <f t="shared" si="8"/>
        <v>12</v>
      </c>
      <c r="V82" s="3"/>
    </row>
    <row r="83" spans="1:23" ht="15" customHeight="1">
      <c r="A83" s="563" t="s">
        <v>124</v>
      </c>
      <c r="B83" s="563"/>
      <c r="C83" s="563"/>
      <c r="D83" s="563"/>
      <c r="E83" s="563"/>
      <c r="F83" s="563"/>
      <c r="G83" s="563"/>
      <c r="H83" s="101">
        <f>SUM(H77:H82)</f>
        <v>25.901666666666667</v>
      </c>
      <c r="I83" s="51"/>
      <c r="J83" s="51"/>
      <c r="K83" s="1"/>
      <c r="L83" s="61"/>
      <c r="M83" s="61"/>
      <c r="N83" s="61"/>
      <c r="P83" s="3"/>
      <c r="Q83" s="3"/>
      <c r="V83" s="1"/>
      <c r="W83" s="1"/>
    </row>
    <row r="84" spans="1:23" ht="15" customHeight="1">
      <c r="A84" s="573" t="s">
        <v>125</v>
      </c>
      <c r="B84" s="573"/>
      <c r="C84" s="573"/>
      <c r="D84" s="573"/>
      <c r="E84" s="573"/>
      <c r="F84" s="573"/>
      <c r="G84" s="88">
        <f>Dados!$G$45</f>
        <v>0.03</v>
      </c>
      <c r="H84" s="89">
        <f>ROUND((H83*G84),2)</f>
        <v>0.78</v>
      </c>
      <c r="I84" s="61"/>
      <c r="J84" s="61"/>
      <c r="K84" s="1"/>
      <c r="L84" s="61"/>
      <c r="M84" s="61"/>
      <c r="N84" s="61"/>
      <c r="P84" s="3"/>
      <c r="Q84" s="3"/>
      <c r="V84" s="1"/>
      <c r="W84" s="1"/>
    </row>
    <row r="85" spans="1:23" ht="15" customHeight="1">
      <c r="A85" s="573" t="s">
        <v>126</v>
      </c>
      <c r="B85" s="573"/>
      <c r="C85" s="573"/>
      <c r="D85" s="573"/>
      <c r="E85" s="573"/>
      <c r="F85" s="573"/>
      <c r="G85" s="88">
        <f>Dados!$G$46</f>
        <v>6.7900000000000002E-2</v>
      </c>
      <c r="H85" s="89">
        <f>ROUND((SUM(H83:H84)*G85),2)</f>
        <v>1.81</v>
      </c>
      <c r="I85" s="61"/>
      <c r="J85" s="61"/>
      <c r="K85" s="1"/>
      <c r="L85" s="61"/>
      <c r="M85" s="61"/>
      <c r="N85" s="61"/>
      <c r="P85" s="3"/>
      <c r="Q85" s="3"/>
      <c r="V85" s="1"/>
      <c r="W85" s="1"/>
    </row>
    <row r="86" spans="1:23" ht="15" customHeight="1">
      <c r="A86" s="573" t="s">
        <v>127</v>
      </c>
      <c r="B86" s="573"/>
      <c r="C86" s="573"/>
      <c r="D86" s="573"/>
      <c r="E86" s="573"/>
      <c r="F86" s="573"/>
      <c r="G86" s="88">
        <f>Dados!$G$57</f>
        <v>0.1125</v>
      </c>
      <c r="H86" s="89">
        <f>ROUND((H87*G86),2)</f>
        <v>3.61</v>
      </c>
      <c r="I86" s="61"/>
      <c r="J86" s="61"/>
      <c r="K86" s="1"/>
      <c r="L86" s="61"/>
      <c r="M86" s="61"/>
      <c r="N86" s="61"/>
      <c r="P86" s="3"/>
      <c r="Q86" s="3"/>
      <c r="V86" s="1"/>
      <c r="W86" s="1"/>
    </row>
    <row r="87" spans="1:23" ht="15.75" customHeight="1">
      <c r="A87" s="574" t="s">
        <v>136</v>
      </c>
      <c r="B87" s="574"/>
      <c r="C87" s="574"/>
      <c r="D87" s="574"/>
      <c r="E87" s="574"/>
      <c r="F87" s="574"/>
      <c r="G87" s="574"/>
      <c r="H87" s="90">
        <f>ROUND((SUM(H83:H85)/(1-G86)),2)</f>
        <v>32.1</v>
      </c>
      <c r="I87" s="61"/>
      <c r="J87" s="61"/>
      <c r="K87" s="1"/>
      <c r="L87" s="61"/>
      <c r="M87" s="61"/>
      <c r="N87" s="61"/>
      <c r="P87" s="3"/>
      <c r="Q87" s="3"/>
      <c r="V87" s="1"/>
      <c r="W87" s="1"/>
    </row>
    <row r="88" spans="1:23">
      <c r="A88" s="57"/>
      <c r="B88" s="61"/>
      <c r="C88" s="61"/>
      <c r="D88" s="61"/>
      <c r="E88" s="61"/>
      <c r="F88" s="61"/>
      <c r="G88" s="57"/>
      <c r="H88" s="61"/>
      <c r="I88" s="61"/>
      <c r="J88" s="61"/>
      <c r="K88" s="1"/>
      <c r="L88" s="61"/>
      <c r="M88" s="61"/>
      <c r="N88" s="61"/>
      <c r="P88" s="3"/>
      <c r="Q88" s="3"/>
      <c r="V88" s="1"/>
      <c r="W88" s="1"/>
    </row>
    <row r="89" spans="1:23">
      <c r="A89" s="57"/>
      <c r="B89" s="61"/>
      <c r="C89" s="61"/>
      <c r="D89" s="61"/>
      <c r="E89" s="61"/>
      <c r="F89" s="61"/>
      <c r="G89" s="57"/>
      <c r="H89" s="61"/>
      <c r="I89" s="61"/>
      <c r="J89" s="61"/>
      <c r="K89" s="1"/>
      <c r="L89" s="61"/>
      <c r="M89" s="61"/>
      <c r="N89" s="61"/>
      <c r="P89" s="3"/>
      <c r="Q89" s="3"/>
      <c r="V89" s="1"/>
    </row>
    <row r="90" spans="1:23" hidden="1"/>
    <row r="91" spans="1:23" hidden="1">
      <c r="B91" s="577" t="s">
        <v>137</v>
      </c>
      <c r="C91" s="577"/>
    </row>
    <row r="92" spans="1:23" hidden="1">
      <c r="B92" s="102" t="s">
        <v>138</v>
      </c>
      <c r="C92" s="103">
        <v>22</v>
      </c>
      <c r="D92" s="1" t="s">
        <v>139</v>
      </c>
    </row>
    <row r="93" spans="1:23" hidden="1">
      <c r="B93" s="102" t="s">
        <v>5</v>
      </c>
      <c r="C93" s="104">
        <v>30</v>
      </c>
      <c r="D93" s="1" t="s">
        <v>140</v>
      </c>
    </row>
    <row r="94" spans="1:23" hidden="1">
      <c r="B94" s="102" t="s">
        <v>141</v>
      </c>
      <c r="C94" s="104" t="s">
        <v>142</v>
      </c>
      <c r="D94" s="1" t="s">
        <v>143</v>
      </c>
    </row>
    <row r="95" spans="1:23" hidden="1"/>
    <row r="96" spans="1:23" hidden="1">
      <c r="B96" s="102" t="s">
        <v>144</v>
      </c>
      <c r="C96" s="102" t="s">
        <v>145</v>
      </c>
    </row>
    <row r="97" spans="2:3" hidden="1">
      <c r="B97" s="102">
        <v>220</v>
      </c>
      <c r="C97" s="102">
        <v>8.8000000000000007</v>
      </c>
    </row>
    <row r="98" spans="2:3" hidden="1">
      <c r="B98" s="102">
        <v>200</v>
      </c>
      <c r="C98" s="102">
        <v>8</v>
      </c>
    </row>
    <row r="99" spans="2:3" hidden="1">
      <c r="B99" s="102">
        <v>180</v>
      </c>
      <c r="C99" s="102">
        <v>7.2</v>
      </c>
    </row>
    <row r="100" spans="2:3" hidden="1">
      <c r="B100" s="102">
        <v>150</v>
      </c>
      <c r="C100" s="102">
        <v>6</v>
      </c>
    </row>
    <row r="101" spans="2:3" hidden="1">
      <c r="B101" s="102">
        <v>120</v>
      </c>
      <c r="C101" s="102">
        <v>4.8</v>
      </c>
    </row>
    <row r="102" spans="2:3" hidden="1">
      <c r="B102" s="102">
        <v>100</v>
      </c>
      <c r="C102" s="102">
        <v>4</v>
      </c>
    </row>
    <row r="103" spans="2:3" hidden="1">
      <c r="B103" s="102">
        <v>75</v>
      </c>
      <c r="C103" s="102">
        <v>3</v>
      </c>
    </row>
    <row r="104" spans="2:3" hidden="1"/>
    <row r="105" spans="2:3" hidden="1">
      <c r="B105" s="102" t="s">
        <v>146</v>
      </c>
    </row>
    <row r="106" spans="2:3" hidden="1">
      <c r="B106" s="105">
        <v>0</v>
      </c>
    </row>
    <row r="107" spans="2:3" hidden="1">
      <c r="B107" s="105">
        <v>1</v>
      </c>
    </row>
    <row r="108" spans="2:3" hidden="1">
      <c r="B108" s="105">
        <v>2</v>
      </c>
    </row>
    <row r="109" spans="2:3" hidden="1"/>
  </sheetData>
  <sheetProtection algorithmName="SHA-512" hashValue="wkZ2JOYtS/CMDKUEuAcPt+Na+fmxD0WzjlI1v5Y3nn0GQPMOpeT9mGAk2jjx3cwVkTy2SlygRGOceiR62bT/xA==" saltValue="jXd6KG2g5R64WQKReSwRDw==" spinCount="100000" sheet="1" objects="1" scenarios="1"/>
  <mergeCells count="146">
    <mergeCell ref="A84:F84"/>
    <mergeCell ref="A85:F85"/>
    <mergeCell ref="A86:F86"/>
    <mergeCell ref="A87:G87"/>
    <mergeCell ref="B91:C91"/>
    <mergeCell ref="B79:D79"/>
    <mergeCell ref="I79:K79"/>
    <mergeCell ref="B80:D80"/>
    <mergeCell ref="I80:K80"/>
    <mergeCell ref="B81:D81"/>
    <mergeCell ref="I81:K81"/>
    <mergeCell ref="B82:D82"/>
    <mergeCell ref="I82:K82"/>
    <mergeCell ref="A83:G83"/>
    <mergeCell ref="A75:A76"/>
    <mergeCell ref="B75:E75"/>
    <mergeCell ref="F75:H75"/>
    <mergeCell ref="I75:K76"/>
    <mergeCell ref="L75:O75"/>
    <mergeCell ref="B76:D76"/>
    <mergeCell ref="B77:D77"/>
    <mergeCell ref="I77:K77"/>
    <mergeCell ref="B78:D78"/>
    <mergeCell ref="I78:K78"/>
    <mergeCell ref="B67:D67"/>
    <mergeCell ref="I67:K67"/>
    <mergeCell ref="B68:D68"/>
    <mergeCell ref="I68:K68"/>
    <mergeCell ref="A69:G69"/>
    <mergeCell ref="A70:F70"/>
    <mergeCell ref="A71:F71"/>
    <mergeCell ref="A72:F72"/>
    <mergeCell ref="A73:G73"/>
    <mergeCell ref="B62:D62"/>
    <mergeCell ref="I62:K62"/>
    <mergeCell ref="B63:D63"/>
    <mergeCell ref="I63:K63"/>
    <mergeCell ref="B64:D64"/>
    <mergeCell ref="I64:K64"/>
    <mergeCell ref="B65:D65"/>
    <mergeCell ref="I65:K65"/>
    <mergeCell ref="B66:D66"/>
    <mergeCell ref="I66:K66"/>
    <mergeCell ref="B57:D57"/>
    <mergeCell ref="I57:K57"/>
    <mergeCell ref="B58:D58"/>
    <mergeCell ref="I58:K58"/>
    <mergeCell ref="B59:D59"/>
    <mergeCell ref="I59:K59"/>
    <mergeCell ref="B60:D60"/>
    <mergeCell ref="I60:K60"/>
    <mergeCell ref="B61:D61"/>
    <mergeCell ref="I61:K61"/>
    <mergeCell ref="B52:D52"/>
    <mergeCell ref="I52:K52"/>
    <mergeCell ref="B53:D53"/>
    <mergeCell ref="I53:K53"/>
    <mergeCell ref="B54:D54"/>
    <mergeCell ref="I54:K54"/>
    <mergeCell ref="B55:D55"/>
    <mergeCell ref="I55:K55"/>
    <mergeCell ref="B56:D56"/>
    <mergeCell ref="I56:K56"/>
    <mergeCell ref="B47:D47"/>
    <mergeCell ref="I47:K47"/>
    <mergeCell ref="B48:D48"/>
    <mergeCell ref="I48:K48"/>
    <mergeCell ref="B49:D49"/>
    <mergeCell ref="I49:K49"/>
    <mergeCell ref="B50:D50"/>
    <mergeCell ref="I50:K50"/>
    <mergeCell ref="B51:D51"/>
    <mergeCell ref="I51:K51"/>
    <mergeCell ref="B42:D42"/>
    <mergeCell ref="I42:K42"/>
    <mergeCell ref="B43:D43"/>
    <mergeCell ref="I43:K43"/>
    <mergeCell ref="B44:D44"/>
    <mergeCell ref="I44:K44"/>
    <mergeCell ref="B45:D45"/>
    <mergeCell ref="I45:K45"/>
    <mergeCell ref="B46:D46"/>
    <mergeCell ref="I46:K46"/>
    <mergeCell ref="B37:D37"/>
    <mergeCell ref="I37:K37"/>
    <mergeCell ref="B38:D38"/>
    <mergeCell ref="I38:K38"/>
    <mergeCell ref="B39:D39"/>
    <mergeCell ref="I39:K39"/>
    <mergeCell ref="B40:D40"/>
    <mergeCell ref="I40:K40"/>
    <mergeCell ref="B41:D41"/>
    <mergeCell ref="I41:K41"/>
    <mergeCell ref="B32:D32"/>
    <mergeCell ref="I32:K32"/>
    <mergeCell ref="B33:D33"/>
    <mergeCell ref="I33:K33"/>
    <mergeCell ref="B34:D34"/>
    <mergeCell ref="I34:K34"/>
    <mergeCell ref="B35:D35"/>
    <mergeCell ref="I35:K35"/>
    <mergeCell ref="B36:D36"/>
    <mergeCell ref="I36:K36"/>
    <mergeCell ref="B27:D27"/>
    <mergeCell ref="I27:K27"/>
    <mergeCell ref="B28:D28"/>
    <mergeCell ref="I28:K28"/>
    <mergeCell ref="B29:D29"/>
    <mergeCell ref="I29:K29"/>
    <mergeCell ref="B30:D30"/>
    <mergeCell ref="I30:K30"/>
    <mergeCell ref="B31:D31"/>
    <mergeCell ref="I31:K31"/>
    <mergeCell ref="T7:W9"/>
    <mergeCell ref="A16:G16"/>
    <mergeCell ref="I16:J16"/>
    <mergeCell ref="A19:B20"/>
    <mergeCell ref="A21:F22"/>
    <mergeCell ref="A25:A26"/>
    <mergeCell ref="B25:E25"/>
    <mergeCell ref="F25:H25"/>
    <mergeCell ref="I25:K26"/>
    <mergeCell ref="L25:O25"/>
    <mergeCell ref="B26:D26"/>
    <mergeCell ref="C2:S2"/>
    <mergeCell ref="C3:S3"/>
    <mergeCell ref="A4:C4"/>
    <mergeCell ref="D4:E4"/>
    <mergeCell ref="A5:C5"/>
    <mergeCell ref="A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</mergeCells>
  <conditionalFormatting sqref="I27:I68 I77:I82">
    <cfRule type="containsText" dxfId="1" priority="2" operator="containsText" text="inferior">
      <formula>NOT(ISERROR(SEARCH("inferior",I27)))</formula>
    </cfRule>
    <cfRule type="containsText" dxfId="0" priority="3" operator="containsText" text="superior">
      <formula>NOT(ISERROR(SEARCH("superior",I27)))</formula>
    </cfRule>
  </conditionalFormatting>
  <dataValidations count="6">
    <dataValidation type="list" allowBlank="1" showInputMessage="1" showErrorMessage="1" sqref="N27:N68 N77:N82" xr:uid="{00000000-0002-0000-0000-000000000000}">
      <formula1>"Mensal,Bimestral,Trimestral,Quadrimestral,Semestral,Anual,Bienal"</formula1>
      <formula2>0</formula2>
    </dataValidation>
    <dataValidation type="list" allowBlank="1" showInputMessage="1" showErrorMessage="1" sqref="C20" xr:uid="{00000000-0002-0000-0000-000001000000}">
      <formula1>$B$97:$B$103</formula1>
      <formula2>0</formula2>
    </dataValidation>
    <dataValidation type="list" allowBlank="1" showInputMessage="1" showErrorMessage="1" sqref="D4:E4" xr:uid="{00000000-0002-0000-0000-000002000000}">
      <formula1>"PLANILHA PARA LICITAÇÃO (PRECIFICAÇÃO),PLANILHA PARA FATURAMENTO"</formula1>
      <formula2>0</formula2>
    </dataValidation>
    <dataValidation type="list" allowBlank="1" showInputMessage="1" showErrorMessage="1" sqref="D5" xr:uid="{00000000-0002-0000-0000-000003000000}">
      <formula1>$B$92:$B$94</formula1>
      <formula2>0</formula2>
    </dataValidation>
    <dataValidation type="list" allowBlank="1" showInputMessage="1" showErrorMessage="1" sqref="E11:E15" xr:uid="{00000000-0002-0000-0000-000004000000}">
      <formula1>"SIM,NÃO"</formula1>
      <formula2>0</formula2>
    </dataValidation>
    <dataValidation type="list" allowBlank="1" showInputMessage="1" showErrorMessage="1" sqref="D11:D15" xr:uid="{00000000-0002-0000-0000-000005000000}">
      <formula1>$B$106:$B$107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J47"/>
  <sheetViews>
    <sheetView showGridLines="0" zoomScaleNormal="100" workbookViewId="0">
      <selection activeCell="H28" sqref="H28"/>
    </sheetView>
  </sheetViews>
  <sheetFormatPr defaultColWidth="9.140625" defaultRowHeight="15"/>
  <cols>
    <col min="1" max="1" width="10.5703125" style="61" customWidth="1"/>
    <col min="2" max="2" width="27.7109375" style="61" customWidth="1"/>
    <col min="3" max="3" width="14.42578125" style="61" customWidth="1"/>
    <col min="4" max="5" width="15" style="61" customWidth="1"/>
    <col min="6" max="6" width="16.7109375" style="478" customWidth="1"/>
    <col min="7" max="8" width="13.140625" style="478" customWidth="1"/>
    <col min="9" max="10" width="12.5703125" style="478" customWidth="1"/>
    <col min="11" max="257" width="9.140625" style="61"/>
    <col min="258" max="258" width="10.5703125" style="61" customWidth="1"/>
    <col min="259" max="259" width="27.7109375" style="61" customWidth="1"/>
    <col min="260" max="260" width="14.42578125" style="61" customWidth="1"/>
    <col min="261" max="262" width="15" style="61" customWidth="1"/>
    <col min="263" max="263" width="16.7109375" style="61" customWidth="1"/>
    <col min="264" max="264" width="13.140625" style="61" customWidth="1"/>
    <col min="265" max="266" width="12.5703125" style="61" customWidth="1"/>
    <col min="267" max="513" width="9.140625" style="61"/>
    <col min="514" max="514" width="10.5703125" style="61" customWidth="1"/>
    <col min="515" max="515" width="27.7109375" style="61" customWidth="1"/>
    <col min="516" max="516" width="14.42578125" style="61" customWidth="1"/>
    <col min="517" max="518" width="15" style="61" customWidth="1"/>
    <col min="519" max="519" width="16.7109375" style="61" customWidth="1"/>
    <col min="520" max="520" width="13.140625" style="61" customWidth="1"/>
    <col min="521" max="522" width="12.5703125" style="61" customWidth="1"/>
    <col min="523" max="769" width="9.140625" style="61"/>
    <col min="770" max="770" width="10.5703125" style="61" customWidth="1"/>
    <col min="771" max="771" width="27.7109375" style="61" customWidth="1"/>
    <col min="772" max="772" width="14.42578125" style="61" customWidth="1"/>
    <col min="773" max="774" width="15" style="61" customWidth="1"/>
    <col min="775" max="775" width="16.7109375" style="61" customWidth="1"/>
    <col min="776" max="776" width="13.140625" style="61" customWidth="1"/>
    <col min="777" max="778" width="12.5703125" style="61" customWidth="1"/>
    <col min="779" max="1024" width="9.140625" style="61"/>
  </cols>
  <sheetData>
    <row r="1" spans="1:10">
      <c r="A1" s="479"/>
      <c r="B1" s="108" t="str">
        <f>INSTRUÇÕES!B1</f>
        <v>Tribunal Regional Federal da 6ª Região</v>
      </c>
      <c r="C1" s="480"/>
      <c r="D1" s="480"/>
      <c r="E1" s="480"/>
      <c r="F1" s="481"/>
      <c r="G1" s="482"/>
      <c r="H1" s="482"/>
      <c r="I1" s="481"/>
      <c r="J1" s="483"/>
    </row>
    <row r="2" spans="1:10">
      <c r="A2" s="484"/>
      <c r="B2" s="110" t="str">
        <f>INSTRUÇÕES!B2</f>
        <v>Seção Judiciária de Minas Gerais</v>
      </c>
      <c r="C2" s="51"/>
      <c r="D2" s="51"/>
      <c r="E2" s="51"/>
      <c r="F2" s="485"/>
      <c r="I2" s="485"/>
      <c r="J2" s="486"/>
    </row>
    <row r="3" spans="1:10">
      <c r="A3" s="185"/>
      <c r="B3" s="362" t="str">
        <f>INSTRUÇÕES!B3</f>
        <v>Subseção Judiciária de Pouso Alegre</v>
      </c>
      <c r="C3" s="51"/>
      <c r="D3" s="51"/>
      <c r="E3" s="51"/>
      <c r="F3" s="485"/>
      <c r="I3" s="485"/>
      <c r="J3" s="486"/>
    </row>
    <row r="4" spans="1:10" ht="19.5" customHeight="1">
      <c r="A4" s="676" t="s">
        <v>590</v>
      </c>
      <c r="B4" s="676"/>
      <c r="C4" s="676"/>
      <c r="D4" s="676"/>
      <c r="E4" s="676"/>
      <c r="F4" s="676"/>
      <c r="G4" s="676"/>
      <c r="H4" s="676"/>
      <c r="I4" s="676"/>
      <c r="J4" s="676"/>
    </row>
    <row r="5" spans="1:10" ht="19.5" customHeight="1">
      <c r="A5" s="679" t="s">
        <v>350</v>
      </c>
      <c r="B5" s="679"/>
      <c r="C5" s="679"/>
      <c r="D5" s="679"/>
      <c r="E5" s="679"/>
      <c r="F5" s="679"/>
      <c r="G5" s="679"/>
      <c r="H5" s="679"/>
      <c r="I5" s="679"/>
      <c r="J5" s="679"/>
    </row>
    <row r="6" spans="1:10" ht="36" customHeight="1">
      <c r="A6" s="680" t="str">
        <f>Dados!A4</f>
        <v>Sindicato utilizado - SEAC/MG. Vigência: 01/01/2024 à 31/12/2024. Sendo a data base da categoria 01º Janeiro. Com número de registro no MTE MG000705/2024.</v>
      </c>
      <c r="B6" s="680"/>
      <c r="C6" s="680"/>
      <c r="D6" s="680"/>
      <c r="E6" s="680"/>
      <c r="F6" s="680"/>
      <c r="G6" s="680"/>
      <c r="H6" s="680"/>
      <c r="I6" s="680"/>
      <c r="J6" s="680"/>
    </row>
    <row r="7" spans="1:10" ht="19.5" customHeight="1">
      <c r="A7" s="681" t="str">
        <f>Dados!C11</f>
        <v>Copeira</v>
      </c>
      <c r="B7" s="681"/>
      <c r="C7" s="681"/>
      <c r="D7" s="681"/>
      <c r="E7" s="681"/>
      <c r="F7" s="682" t="s">
        <v>591</v>
      </c>
      <c r="G7" s="682" t="s">
        <v>592</v>
      </c>
      <c r="H7" s="682" t="s">
        <v>593</v>
      </c>
      <c r="I7" s="682" t="s">
        <v>594</v>
      </c>
      <c r="J7" s="682" t="s">
        <v>595</v>
      </c>
    </row>
    <row r="8" spans="1:10" ht="19.5" customHeight="1">
      <c r="A8" s="683" t="s">
        <v>596</v>
      </c>
      <c r="B8" s="683"/>
      <c r="C8" s="683"/>
      <c r="D8" s="683"/>
      <c r="E8" s="487" t="s">
        <v>450</v>
      </c>
      <c r="F8" s="682"/>
      <c r="G8" s="682"/>
      <c r="H8" s="682"/>
      <c r="I8" s="682"/>
      <c r="J8" s="682"/>
    </row>
    <row r="9" spans="1:10" ht="19.5" customHeight="1">
      <c r="A9" s="684" t="s">
        <v>597</v>
      </c>
      <c r="B9" s="684"/>
      <c r="C9" s="684"/>
      <c r="D9" s="684"/>
      <c r="E9" s="684"/>
      <c r="F9" s="684"/>
      <c r="G9" s="684"/>
      <c r="H9" s="684"/>
      <c r="I9" s="684"/>
      <c r="J9" s="684"/>
    </row>
    <row r="10" spans="1:10" ht="24" customHeight="1">
      <c r="A10" s="190" t="s">
        <v>451</v>
      </c>
      <c r="B10" s="685" t="s">
        <v>598</v>
      </c>
      <c r="C10" s="685"/>
      <c r="D10" s="488" t="s">
        <v>599</v>
      </c>
      <c r="E10" s="489" t="s">
        <v>600</v>
      </c>
      <c r="F10" s="686" t="s">
        <v>454</v>
      </c>
      <c r="G10" s="686"/>
      <c r="H10" s="686"/>
      <c r="I10" s="686"/>
      <c r="J10" s="686"/>
    </row>
    <row r="11" spans="1:10" ht="19.5" customHeight="1">
      <c r="A11" s="687">
        <v>1</v>
      </c>
      <c r="B11" s="648" t="str">
        <f>A7</f>
        <v>Copeira</v>
      </c>
      <c r="C11" s="648"/>
      <c r="D11" s="490">
        <f>Dados!D11</f>
        <v>150</v>
      </c>
      <c r="E11" s="491">
        <f>Dados!E11</f>
        <v>1491.84</v>
      </c>
      <c r="F11" s="238">
        <f>ROUND(E11/220*D11,2)</f>
        <v>1017.16</v>
      </c>
      <c r="G11" s="238">
        <f>F11</f>
        <v>1017.16</v>
      </c>
      <c r="H11" s="238"/>
      <c r="I11" s="238"/>
      <c r="J11" s="492"/>
    </row>
    <row r="12" spans="1:10" ht="19.5" customHeight="1">
      <c r="A12" s="687"/>
      <c r="B12" s="648" t="s">
        <v>601</v>
      </c>
      <c r="C12" s="648"/>
      <c r="D12" s="493">
        <f>Dados!G11</f>
        <v>0</v>
      </c>
      <c r="E12" s="491">
        <f>Dados!$G$28</f>
        <v>1412</v>
      </c>
      <c r="F12" s="238">
        <f>D12*E12</f>
        <v>0</v>
      </c>
      <c r="G12" s="238">
        <f>F12</f>
        <v>0</v>
      </c>
      <c r="H12" s="238"/>
      <c r="I12" s="238"/>
      <c r="J12" s="492">
        <f>F12</f>
        <v>0</v>
      </c>
    </row>
    <row r="13" spans="1:10" ht="22.5" customHeight="1">
      <c r="A13" s="687"/>
      <c r="B13" s="494" t="s">
        <v>602</v>
      </c>
      <c r="C13" s="495">
        <f>Dados!$I$11</f>
        <v>0</v>
      </c>
      <c r="D13" s="495">
        <f>Dados!$J$11</f>
        <v>0</v>
      </c>
      <c r="E13" s="496">
        <f>Dados!$K$11</f>
        <v>0</v>
      </c>
      <c r="F13" s="497">
        <f>ROUND((E13*D13*C13),2)</f>
        <v>0</v>
      </c>
      <c r="G13" s="497">
        <f>F13</f>
        <v>0</v>
      </c>
      <c r="H13" s="497"/>
      <c r="I13" s="497"/>
      <c r="J13" s="498"/>
    </row>
    <row r="14" spans="1:10" ht="19.5" customHeight="1">
      <c r="A14" s="687"/>
      <c r="B14" s="688" t="s">
        <v>603</v>
      </c>
      <c r="C14" s="688"/>
      <c r="D14" s="688"/>
      <c r="E14" s="688"/>
      <c r="F14" s="499">
        <f>SUM(F11:F13)</f>
        <v>1017.16</v>
      </c>
      <c r="G14" s="499">
        <f>SUM(G11:G13)</f>
        <v>1017.16</v>
      </c>
      <c r="H14" s="499">
        <f>SUM(H11:H13)</f>
        <v>0</v>
      </c>
      <c r="I14" s="499">
        <f>SUM(I11:I13)</f>
        <v>0</v>
      </c>
      <c r="J14" s="500">
        <f>SUM(J11:J13)</f>
        <v>0</v>
      </c>
    </row>
    <row r="15" spans="1:10" ht="19.5" customHeight="1">
      <c r="A15" s="687"/>
      <c r="B15" s="689" t="s">
        <v>604</v>
      </c>
      <c r="C15" s="689"/>
      <c r="D15" s="689"/>
      <c r="E15" s="501">
        <f>Encargos!$C$57</f>
        <v>0.79049999999999998</v>
      </c>
      <c r="F15" s="238">
        <f>ROUND((E15*F14),2)</f>
        <v>804.06</v>
      </c>
      <c r="G15" s="238">
        <f>F15</f>
        <v>804.06</v>
      </c>
      <c r="H15" s="238"/>
      <c r="I15" s="238"/>
      <c r="J15" s="492">
        <f>ROUND((E15*J14),2)</f>
        <v>0</v>
      </c>
    </row>
    <row r="16" spans="1:10" ht="19.5" customHeight="1">
      <c r="A16" s="690" t="s">
        <v>605</v>
      </c>
      <c r="B16" s="690"/>
      <c r="C16" s="690"/>
      <c r="D16" s="690"/>
      <c r="E16" s="690"/>
      <c r="F16" s="502">
        <f>SUM(F14:F15)</f>
        <v>1821.2199999999998</v>
      </c>
      <c r="G16" s="502">
        <f>SUM(G14:G15)</f>
        <v>1821.2199999999998</v>
      </c>
      <c r="H16" s="502">
        <f>SUM(H14:H15)</f>
        <v>0</v>
      </c>
      <c r="I16" s="502">
        <f>SUM(I14:I15)</f>
        <v>0</v>
      </c>
      <c r="J16" s="503">
        <f>SUM(J14:J15)</f>
        <v>0</v>
      </c>
    </row>
    <row r="17" spans="1:12" ht="19.5" customHeight="1">
      <c r="A17" s="691" t="s">
        <v>606</v>
      </c>
      <c r="B17" s="691"/>
      <c r="C17" s="691"/>
      <c r="D17" s="691"/>
      <c r="E17" s="691"/>
      <c r="F17" s="691"/>
      <c r="G17" s="691"/>
      <c r="H17" s="691"/>
      <c r="I17" s="691"/>
      <c r="J17" s="691"/>
    </row>
    <row r="18" spans="1:12" ht="19.5" customHeight="1">
      <c r="A18" s="692" t="s">
        <v>607</v>
      </c>
      <c r="B18" s="692"/>
      <c r="C18" s="37" t="s">
        <v>453</v>
      </c>
      <c r="D18" s="693" t="s">
        <v>608</v>
      </c>
      <c r="E18" s="693"/>
      <c r="F18" s="694" t="s">
        <v>454</v>
      </c>
      <c r="G18" s="694"/>
      <c r="H18" s="694"/>
      <c r="I18" s="694"/>
      <c r="J18" s="694"/>
    </row>
    <row r="19" spans="1:12" ht="19.5" customHeight="1">
      <c r="A19" s="695" t="s">
        <v>609</v>
      </c>
      <c r="B19" s="695"/>
      <c r="C19" s="505"/>
      <c r="D19" s="505"/>
      <c r="E19" s="505"/>
      <c r="F19" s="238">
        <f>Dados!N11</f>
        <v>43.82</v>
      </c>
      <c r="G19" s="238">
        <f>F19</f>
        <v>43.82</v>
      </c>
      <c r="H19" s="238"/>
      <c r="I19" s="238"/>
      <c r="J19" s="492"/>
    </row>
    <row r="20" spans="1:12" ht="19.5" customHeight="1">
      <c r="A20" s="695" t="s">
        <v>610</v>
      </c>
      <c r="B20" s="695"/>
      <c r="C20" s="505"/>
      <c r="D20" s="505"/>
      <c r="E20" s="505"/>
      <c r="F20" s="238">
        <f>Dados!G31</f>
        <v>16.75</v>
      </c>
      <c r="G20" s="238">
        <f>F20</f>
        <v>16.75</v>
      </c>
      <c r="H20" s="238"/>
      <c r="I20" s="238"/>
      <c r="J20" s="492"/>
    </row>
    <row r="21" spans="1:12" ht="23.25" customHeight="1">
      <c r="A21" s="696" t="s">
        <v>279</v>
      </c>
      <c r="B21" s="696"/>
      <c r="C21" s="505"/>
      <c r="D21" s="505"/>
      <c r="E21" s="505"/>
      <c r="F21" s="238">
        <f>Dados!G32</f>
        <v>48.43</v>
      </c>
      <c r="G21" s="238">
        <f>F21</f>
        <v>48.43</v>
      </c>
      <c r="H21" s="238"/>
      <c r="I21" s="238"/>
      <c r="J21" s="492"/>
    </row>
    <row r="22" spans="1:12" ht="19.5" customHeight="1">
      <c r="A22" s="695" t="s">
        <v>280</v>
      </c>
      <c r="B22" s="695"/>
      <c r="C22" s="506">
        <f>Dados!$G$35</f>
        <v>22</v>
      </c>
      <c r="D22" s="506">
        <f>Dados!$G$34</f>
        <v>2</v>
      </c>
      <c r="E22" s="505">
        <f>Dados!$G$33</f>
        <v>3</v>
      </c>
      <c r="F22" s="238">
        <f>IF(ROUND((E22*D22*C22)-(F11*Dados!G36),2)&lt;0,0,ROUND((E22*D22*C22)-(F11*Dados!G36),2))</f>
        <v>70.97</v>
      </c>
      <c r="G22" s="238">
        <f>F22</f>
        <v>70.97</v>
      </c>
      <c r="H22" s="238"/>
      <c r="I22" s="238">
        <f>F22</f>
        <v>70.97</v>
      </c>
      <c r="J22" s="492"/>
    </row>
    <row r="23" spans="1:12" ht="19.5" customHeight="1">
      <c r="A23" s="695" t="s">
        <v>289</v>
      </c>
      <c r="B23" s="695"/>
      <c r="C23" s="506">
        <f>Dados!G39</f>
        <v>22</v>
      </c>
      <c r="D23" s="507">
        <f>Dados!G40</f>
        <v>0.2</v>
      </c>
      <c r="E23" s="505">
        <f>Dados!G38</f>
        <v>0</v>
      </c>
      <c r="F23" s="508">
        <f>ROUND((IF(D11&lt;200,((C23*E23)-(C23*(D23*E23))),0)),2)</f>
        <v>0</v>
      </c>
      <c r="G23" s="238">
        <f>F23</f>
        <v>0</v>
      </c>
      <c r="H23" s="238">
        <f>$F$23</f>
        <v>0</v>
      </c>
      <c r="I23" s="508"/>
      <c r="J23" s="492"/>
    </row>
    <row r="24" spans="1:12" ht="19.5" customHeight="1">
      <c r="A24" s="695" t="s">
        <v>293</v>
      </c>
      <c r="B24" s="695"/>
      <c r="C24" s="506"/>
      <c r="D24" s="506"/>
      <c r="E24" s="505"/>
      <c r="F24" s="508">
        <f>Dados!G41</f>
        <v>0</v>
      </c>
      <c r="G24" s="238"/>
      <c r="H24" s="238"/>
      <c r="I24" s="508"/>
      <c r="J24" s="492"/>
    </row>
    <row r="25" spans="1:12" ht="19.5" customHeight="1">
      <c r="A25" s="695" t="s">
        <v>293</v>
      </c>
      <c r="B25" s="695"/>
      <c r="C25" s="506"/>
      <c r="D25" s="506"/>
      <c r="E25" s="505"/>
      <c r="F25" s="508">
        <f>Dados!G42</f>
        <v>0</v>
      </c>
      <c r="G25" s="238"/>
      <c r="H25" s="238"/>
      <c r="I25" s="508"/>
      <c r="J25" s="492"/>
    </row>
    <row r="26" spans="1:12" ht="19.5" customHeight="1">
      <c r="A26" s="695" t="s">
        <v>611</v>
      </c>
      <c r="B26" s="695"/>
      <c r="C26" s="506"/>
      <c r="D26" s="505"/>
      <c r="E26" s="505"/>
      <c r="F26" s="238"/>
      <c r="G26" s="238"/>
      <c r="H26" s="238"/>
      <c r="I26" s="238"/>
      <c r="J26" s="492"/>
      <c r="L26" s="51"/>
    </row>
    <row r="27" spans="1:12" ht="19.5" customHeight="1">
      <c r="A27" s="504" t="s">
        <v>612</v>
      </c>
      <c r="B27" s="369"/>
      <c r="C27" s="506"/>
      <c r="D27" s="505"/>
      <c r="E27" s="505"/>
      <c r="F27" s="238">
        <f>Dados!P11</f>
        <v>25.9</v>
      </c>
      <c r="G27" s="238"/>
      <c r="H27" s="238"/>
      <c r="I27" s="238"/>
      <c r="J27" s="492"/>
    </row>
    <row r="28" spans="1:12" ht="19.5" customHeight="1">
      <c r="A28" s="697" t="s">
        <v>613</v>
      </c>
      <c r="B28" s="697"/>
      <c r="C28" s="509"/>
      <c r="D28" s="510"/>
      <c r="E28" s="510"/>
      <c r="F28" s="497">
        <f>Dados!Q11</f>
        <v>0</v>
      </c>
      <c r="G28" s="497">
        <f>F28</f>
        <v>0</v>
      </c>
      <c r="H28" s="497"/>
      <c r="I28" s="497"/>
      <c r="J28" s="498"/>
    </row>
    <row r="29" spans="1:12" ht="19.5" customHeight="1">
      <c r="A29" s="698" t="s">
        <v>614</v>
      </c>
      <c r="B29" s="698"/>
      <c r="C29" s="698"/>
      <c r="D29" s="698"/>
      <c r="E29" s="698"/>
      <c r="F29" s="502">
        <f>SUM(F19:F28)</f>
        <v>205.87</v>
      </c>
      <c r="G29" s="502">
        <f>SUM(G19:G28)</f>
        <v>179.97</v>
      </c>
      <c r="H29" s="502">
        <f>SUM(H19:H28)</f>
        <v>0</v>
      </c>
      <c r="I29" s="502">
        <f>SUM(I19:I28)</f>
        <v>70.97</v>
      </c>
      <c r="J29" s="503">
        <f>SUM(J19:J28)</f>
        <v>0</v>
      </c>
    </row>
    <row r="30" spans="1:12" ht="19.5" customHeight="1">
      <c r="A30" s="698" t="s">
        <v>615</v>
      </c>
      <c r="B30" s="698"/>
      <c r="C30" s="698"/>
      <c r="D30" s="698"/>
      <c r="E30" s="698"/>
      <c r="F30" s="502">
        <f>F16+F29</f>
        <v>2027.0899999999997</v>
      </c>
      <c r="G30" s="502">
        <f>G16+G29</f>
        <v>2001.1899999999998</v>
      </c>
      <c r="H30" s="502">
        <f>H16+H29</f>
        <v>0</v>
      </c>
      <c r="I30" s="502">
        <f>I16+I29</f>
        <v>70.97</v>
      </c>
      <c r="J30" s="503">
        <f>J16+J29</f>
        <v>0</v>
      </c>
    </row>
    <row r="31" spans="1:12" ht="19.5" customHeight="1">
      <c r="A31" s="684" t="s">
        <v>616</v>
      </c>
      <c r="B31" s="684"/>
      <c r="C31" s="684"/>
      <c r="D31" s="684"/>
      <c r="E31" s="684"/>
      <c r="F31" s="684"/>
      <c r="G31" s="684"/>
      <c r="H31" s="684"/>
      <c r="I31" s="684"/>
      <c r="J31" s="684"/>
    </row>
    <row r="32" spans="1:12" ht="19.5" customHeight="1">
      <c r="A32" s="692" t="s">
        <v>617</v>
      </c>
      <c r="B32" s="692"/>
      <c r="C32" s="692"/>
      <c r="D32" s="75" t="s">
        <v>518</v>
      </c>
      <c r="E32" s="699" t="s">
        <v>454</v>
      </c>
      <c r="F32" s="699"/>
      <c r="G32" s="699"/>
      <c r="H32" s="699"/>
      <c r="I32" s="699"/>
      <c r="J32" s="699"/>
    </row>
    <row r="33" spans="1:12" ht="19.5" customHeight="1">
      <c r="A33" s="511" t="s">
        <v>618</v>
      </c>
      <c r="B33" s="512"/>
      <c r="C33" s="512"/>
      <c r="D33" s="370">
        <f>Dados!$G$45</f>
        <v>0.03</v>
      </c>
      <c r="E33" s="513"/>
      <c r="F33" s="238">
        <f>ROUND((F30*$D$33),2)</f>
        <v>60.81</v>
      </c>
      <c r="G33" s="238">
        <f>ROUND((G30*$D$33),2)</f>
        <v>60.04</v>
      </c>
      <c r="H33" s="238">
        <f>ROUND((H30*$D$33),2)</f>
        <v>0</v>
      </c>
      <c r="I33" s="238">
        <f>ROUND((I30*$D$33),2)</f>
        <v>2.13</v>
      </c>
      <c r="J33" s="492">
        <f>ROUND((J30*$D$33),2)</f>
        <v>0</v>
      </c>
    </row>
    <row r="34" spans="1:12" ht="19.5" customHeight="1">
      <c r="A34" s="700" t="s">
        <v>619</v>
      </c>
      <c r="B34" s="700"/>
      <c r="C34" s="700"/>
      <c r="D34" s="370"/>
      <c r="E34" s="513"/>
      <c r="F34" s="238">
        <f>F30+F33</f>
        <v>2087.8999999999996</v>
      </c>
      <c r="G34" s="238">
        <f>G30+G33</f>
        <v>2061.23</v>
      </c>
      <c r="H34" s="238">
        <f>H30+H33</f>
        <v>0</v>
      </c>
      <c r="I34" s="238">
        <f>I30+I33</f>
        <v>73.099999999999994</v>
      </c>
      <c r="J34" s="492">
        <f>J30+J33</f>
        <v>0</v>
      </c>
    </row>
    <row r="35" spans="1:12" ht="19.5" customHeight="1">
      <c r="A35" s="514" t="s">
        <v>298</v>
      </c>
      <c r="B35" s="515"/>
      <c r="C35" s="515"/>
      <c r="D35" s="516">
        <f>Dados!$G$46</f>
        <v>6.7900000000000002E-2</v>
      </c>
      <c r="E35" s="517"/>
      <c r="F35" s="497">
        <f>ROUND((F34*$D$35),2)</f>
        <v>141.77000000000001</v>
      </c>
      <c r="G35" s="497">
        <f>ROUND((G34*$D$35),2)</f>
        <v>139.96</v>
      </c>
      <c r="H35" s="497">
        <f>ROUND((H34*$D$35),2)</f>
        <v>0</v>
      </c>
      <c r="I35" s="497">
        <f>ROUND((I34*$D$35),2)</f>
        <v>4.96</v>
      </c>
      <c r="J35" s="498">
        <f>ROUND((J34*$D$35),2)</f>
        <v>0</v>
      </c>
    </row>
    <row r="36" spans="1:12" ht="19.5" customHeight="1">
      <c r="A36" s="518" t="s">
        <v>620</v>
      </c>
      <c r="B36" s="519"/>
      <c r="C36" s="519"/>
      <c r="D36" s="520">
        <f>SUM(D33:D35)</f>
        <v>9.7900000000000001E-2</v>
      </c>
      <c r="E36" s="521"/>
      <c r="F36" s="502">
        <f>F33+F35</f>
        <v>202.58</v>
      </c>
      <c r="G36" s="502">
        <f>G33+G35</f>
        <v>200</v>
      </c>
      <c r="H36" s="502">
        <f>H33+H35</f>
        <v>0</v>
      </c>
      <c r="I36" s="502">
        <f>I33+I35</f>
        <v>7.09</v>
      </c>
      <c r="J36" s="503">
        <f>J33+J35</f>
        <v>0</v>
      </c>
    </row>
    <row r="37" spans="1:12" ht="19.5" customHeight="1">
      <c r="A37" s="701" t="s">
        <v>621</v>
      </c>
      <c r="B37" s="701"/>
      <c r="C37" s="701"/>
      <c r="D37" s="701"/>
      <c r="E37" s="701"/>
      <c r="F37" s="522">
        <f>F30+F36</f>
        <v>2229.6699999999996</v>
      </c>
      <c r="G37" s="522">
        <f>G30+G36</f>
        <v>2201.1899999999996</v>
      </c>
      <c r="H37" s="522">
        <f>H30+H36</f>
        <v>0</v>
      </c>
      <c r="I37" s="522">
        <f>I30+I36</f>
        <v>78.06</v>
      </c>
      <c r="J37" s="523">
        <f>J30+J36</f>
        <v>0</v>
      </c>
    </row>
    <row r="38" spans="1:12" ht="19.5" customHeight="1">
      <c r="A38" s="702" t="s">
        <v>622</v>
      </c>
      <c r="B38" s="702"/>
      <c r="C38" s="702"/>
      <c r="D38" s="702"/>
      <c r="E38" s="702"/>
      <c r="F38" s="702"/>
      <c r="G38" s="702"/>
      <c r="H38" s="702"/>
      <c r="I38" s="702"/>
      <c r="J38" s="702"/>
    </row>
    <row r="39" spans="1:12" ht="19.5" customHeight="1">
      <c r="A39" s="695" t="s">
        <v>304</v>
      </c>
      <c r="B39" s="695"/>
      <c r="C39" s="695"/>
      <c r="D39" s="370">
        <f>Dados!G53</f>
        <v>7.5999999999999998E-2</v>
      </c>
      <c r="E39" s="238"/>
      <c r="F39" s="238">
        <f>ROUND(($F$45*D39),2)</f>
        <v>190.93</v>
      </c>
      <c r="G39" s="238">
        <f>ROUND((G45*$D$39),2)</f>
        <v>188.5</v>
      </c>
      <c r="H39" s="238">
        <f>ROUND((H45*$D$39),2)</f>
        <v>0</v>
      </c>
      <c r="I39" s="238">
        <f>ROUND((I45*$D$39),2)</f>
        <v>6.68</v>
      </c>
      <c r="J39" s="492">
        <f>ROUND((J45*$D$39),2)</f>
        <v>0</v>
      </c>
    </row>
    <row r="40" spans="1:12" ht="19.5" customHeight="1">
      <c r="A40" s="695" t="s">
        <v>306</v>
      </c>
      <c r="B40" s="695"/>
      <c r="C40" s="695"/>
      <c r="D40" s="370">
        <f>Dados!G54</f>
        <v>1.6500000000000001E-2</v>
      </c>
      <c r="E40" s="238"/>
      <c r="F40" s="238">
        <f>ROUND((F45*$D$40),2)</f>
        <v>41.45</v>
      </c>
      <c r="G40" s="238">
        <f>ROUND((G45*$D$40),2)</f>
        <v>40.92</v>
      </c>
      <c r="H40" s="238">
        <f>ROUND((H45*$D$40),2)</f>
        <v>0</v>
      </c>
      <c r="I40" s="238">
        <f>ROUND((I45*$D$40),2)</f>
        <v>1.45</v>
      </c>
      <c r="J40" s="492">
        <f>ROUND((J45*$D$40),2)</f>
        <v>0</v>
      </c>
    </row>
    <row r="41" spans="1:12" ht="19.5" customHeight="1">
      <c r="A41" s="695" t="s">
        <v>307</v>
      </c>
      <c r="B41" s="695"/>
      <c r="C41" s="695"/>
      <c r="D41" s="370">
        <f>Dados!G55</f>
        <v>0.02</v>
      </c>
      <c r="E41" s="238"/>
      <c r="F41" s="238">
        <f>ROUND((F45*$D$41),2)</f>
        <v>50.25</v>
      </c>
      <c r="G41" s="238">
        <f>ROUND((G45*$D$41),2)</f>
        <v>49.6</v>
      </c>
      <c r="H41" s="238">
        <f>ROUND((H45*$D$41),2)</f>
        <v>0</v>
      </c>
      <c r="I41" s="238">
        <f>ROUND((I45*$D$41),2)</f>
        <v>1.76</v>
      </c>
      <c r="J41" s="492">
        <f>ROUND((J45*$D$41),2)</f>
        <v>0</v>
      </c>
    </row>
    <row r="42" spans="1:12" ht="19.5" customHeight="1">
      <c r="A42" s="695" t="s">
        <v>293</v>
      </c>
      <c r="B42" s="695"/>
      <c r="C42" s="695"/>
      <c r="D42" s="370">
        <f>Dados!G56</f>
        <v>0</v>
      </c>
      <c r="E42" s="238"/>
      <c r="F42" s="238">
        <f>ROUND((F45*$D$42),2)</f>
        <v>0</v>
      </c>
      <c r="G42" s="238">
        <f>ROUND((G45*$D$42),2)</f>
        <v>0</v>
      </c>
      <c r="H42" s="238">
        <f>ROUND((H45*$D$42),2)</f>
        <v>0</v>
      </c>
      <c r="I42" s="238">
        <f>ROUND((I45*$D$42),2)</f>
        <v>0</v>
      </c>
      <c r="J42" s="492">
        <f>ROUND((J45*$D$42),2)</f>
        <v>0</v>
      </c>
    </row>
    <row r="43" spans="1:12" ht="19.5" customHeight="1">
      <c r="A43" s="704" t="s">
        <v>623</v>
      </c>
      <c r="B43" s="704"/>
      <c r="C43" s="704"/>
      <c r="D43" s="524">
        <f>SUM(D39:D42)</f>
        <v>0.1125</v>
      </c>
      <c r="E43" s="525"/>
      <c r="F43" s="526">
        <f>SUM(F39:F42)</f>
        <v>282.63</v>
      </c>
      <c r="G43" s="526">
        <f>SUM(G39:G42)</f>
        <v>279.02000000000004</v>
      </c>
      <c r="H43" s="526">
        <f>SUM(H39:H42)</f>
        <v>0</v>
      </c>
      <c r="I43" s="526">
        <f>SUM(I39:I42)</f>
        <v>9.8899999999999988</v>
      </c>
      <c r="J43" s="527">
        <f>SUM(J39:J41)</f>
        <v>0</v>
      </c>
    </row>
    <row r="44" spans="1:12" ht="19.5" customHeight="1">
      <c r="A44" s="705" t="str">
        <f>CONCATENATE("Custo Mensal - ",A7)</f>
        <v>Custo Mensal - Copeira</v>
      </c>
      <c r="B44" s="705"/>
      <c r="C44" s="705"/>
      <c r="D44" s="705"/>
      <c r="E44" s="705"/>
      <c r="F44" s="528">
        <f>ROUND(F37/(1-D43),2)</f>
        <v>2512.3000000000002</v>
      </c>
      <c r="G44" s="528">
        <f>ROUND(G37/(1-D43),2)</f>
        <v>2480.21</v>
      </c>
      <c r="H44" s="528">
        <f>ROUND(H37/(1-D43),2)</f>
        <v>0</v>
      </c>
      <c r="I44" s="528">
        <f>ROUND(I37/(1-D43),2)</f>
        <v>87.95</v>
      </c>
      <c r="J44" s="529">
        <f>ROUND(J37/(1-D43),2)</f>
        <v>0</v>
      </c>
    </row>
    <row r="45" spans="1:12" ht="19.5" customHeight="1">
      <c r="A45" s="706" t="str">
        <f>CONCATENATE("Valor do Custo Mensal - ",A7)</f>
        <v>Valor do Custo Mensal - Copeira</v>
      </c>
      <c r="B45" s="706"/>
      <c r="C45" s="706"/>
      <c r="D45" s="706"/>
      <c r="E45" s="706"/>
      <c r="F45" s="528">
        <f>F44</f>
        <v>2512.3000000000002</v>
      </c>
      <c r="G45" s="528">
        <f>G44</f>
        <v>2480.21</v>
      </c>
      <c r="H45" s="528">
        <f>H44</f>
        <v>0</v>
      </c>
      <c r="I45" s="528">
        <f>I44</f>
        <v>87.95</v>
      </c>
      <c r="J45" s="529">
        <f>J44</f>
        <v>0</v>
      </c>
      <c r="K45" s="530"/>
      <c r="L45" s="530"/>
    </row>
    <row r="46" spans="1:12" ht="27.75" customHeight="1">
      <c r="A46" s="707" t="s">
        <v>624</v>
      </c>
      <c r="B46" s="707"/>
      <c r="C46" s="707"/>
      <c r="D46" s="707"/>
      <c r="E46" s="707"/>
      <c r="F46" s="531">
        <f>(F45/F14)</f>
        <v>2.4699162373667862</v>
      </c>
      <c r="G46" s="531">
        <f>(G45/G14)</f>
        <v>2.4383676117818238</v>
      </c>
      <c r="H46" s="703" t="s">
        <v>625</v>
      </c>
      <c r="I46" s="703"/>
      <c r="J46" s="532">
        <v>0</v>
      </c>
    </row>
    <row r="47" spans="1:12" ht="19.5" customHeight="1"/>
  </sheetData>
  <sheetProtection algorithmName="SHA-512" hashValue="JslAPIBwSHZNcDjAfkofb3wdpLtyDEBZddXvcXfvPPEqQxq2Hnf0E+hq2bUP568nila6hX4qQcYCCqN6B3aGLw==" saltValue="xAJFBluaXh2Npud2kQ73Kw==" spinCount="100000" sheet="1" objects="1" scenarios="1"/>
  <mergeCells count="49">
    <mergeCell ref="H46:I46"/>
    <mergeCell ref="A42:C42"/>
    <mergeCell ref="A43:C43"/>
    <mergeCell ref="A44:E44"/>
    <mergeCell ref="A45:E45"/>
    <mergeCell ref="A46:E46"/>
    <mergeCell ref="A37:E37"/>
    <mergeCell ref="A38:J38"/>
    <mergeCell ref="A39:C39"/>
    <mergeCell ref="A40:C40"/>
    <mergeCell ref="A41:C41"/>
    <mergeCell ref="A30:E30"/>
    <mergeCell ref="A31:J31"/>
    <mergeCell ref="A32:C32"/>
    <mergeCell ref="E32:J32"/>
    <mergeCell ref="A34:C34"/>
    <mergeCell ref="A24:B24"/>
    <mergeCell ref="A25:B25"/>
    <mergeCell ref="A26:B26"/>
    <mergeCell ref="A28:B28"/>
    <mergeCell ref="A29:E29"/>
    <mergeCell ref="A19:B19"/>
    <mergeCell ref="A20:B20"/>
    <mergeCell ref="A21:B21"/>
    <mergeCell ref="A22:B22"/>
    <mergeCell ref="A23:B23"/>
    <mergeCell ref="A16:E16"/>
    <mergeCell ref="A17:J17"/>
    <mergeCell ref="A18:B18"/>
    <mergeCell ref="D18:E18"/>
    <mergeCell ref="F18:J18"/>
    <mergeCell ref="A9:J9"/>
    <mergeCell ref="B10:C10"/>
    <mergeCell ref="F10:J10"/>
    <mergeCell ref="A11:A15"/>
    <mergeCell ref="B11:C11"/>
    <mergeCell ref="B12:C12"/>
    <mergeCell ref="B14:E14"/>
    <mergeCell ref="B15:D15"/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J47"/>
  <sheetViews>
    <sheetView showGridLines="0" zoomScaleNormal="100" workbookViewId="0">
      <selection activeCell="J44" sqref="J44"/>
    </sheetView>
  </sheetViews>
  <sheetFormatPr defaultColWidth="9.140625" defaultRowHeight="15"/>
  <cols>
    <col min="1" max="1" width="10.5703125" style="61" customWidth="1"/>
    <col min="2" max="2" width="27.7109375" style="61" customWidth="1"/>
    <col min="3" max="3" width="14.42578125" style="61" customWidth="1"/>
    <col min="4" max="5" width="15" style="61" customWidth="1"/>
    <col min="6" max="6" width="16.7109375" style="478" customWidth="1"/>
    <col min="7" max="8" width="13.140625" style="478" customWidth="1"/>
    <col min="9" max="10" width="12.5703125" style="478" customWidth="1"/>
    <col min="11" max="257" width="9.140625" style="61"/>
    <col min="258" max="258" width="10.5703125" style="61" customWidth="1"/>
    <col min="259" max="259" width="27.7109375" style="61" customWidth="1"/>
    <col min="260" max="260" width="14.42578125" style="61" customWidth="1"/>
    <col min="261" max="262" width="15" style="61" customWidth="1"/>
    <col min="263" max="263" width="16.7109375" style="61" customWidth="1"/>
    <col min="264" max="264" width="13.140625" style="61" customWidth="1"/>
    <col min="265" max="266" width="12.5703125" style="61" customWidth="1"/>
    <col min="267" max="513" width="9.140625" style="61"/>
    <col min="514" max="514" width="10.5703125" style="61" customWidth="1"/>
    <col min="515" max="515" width="27.7109375" style="61" customWidth="1"/>
    <col min="516" max="516" width="14.42578125" style="61" customWidth="1"/>
    <col min="517" max="518" width="15" style="61" customWidth="1"/>
    <col min="519" max="519" width="16.7109375" style="61" customWidth="1"/>
    <col min="520" max="520" width="13.140625" style="61" customWidth="1"/>
    <col min="521" max="522" width="12.5703125" style="61" customWidth="1"/>
    <col min="523" max="769" width="9.140625" style="61"/>
    <col min="770" max="770" width="10.5703125" style="61" customWidth="1"/>
    <col min="771" max="771" width="27.7109375" style="61" customWidth="1"/>
    <col min="772" max="772" width="14.42578125" style="61" customWidth="1"/>
    <col min="773" max="774" width="15" style="61" customWidth="1"/>
    <col min="775" max="775" width="16.7109375" style="61" customWidth="1"/>
    <col min="776" max="776" width="13.140625" style="61" customWidth="1"/>
    <col min="777" max="778" width="12.5703125" style="61" customWidth="1"/>
    <col min="779" max="1024" width="9.140625" style="61"/>
  </cols>
  <sheetData>
    <row r="1" spans="1:10">
      <c r="A1" s="479"/>
      <c r="B1" s="108" t="str">
        <f>INSTRUÇÕES!B1</f>
        <v>Tribunal Regional Federal da 6ª Região</v>
      </c>
      <c r="C1" s="480"/>
      <c r="D1" s="480"/>
      <c r="E1" s="480"/>
      <c r="F1" s="481"/>
      <c r="G1" s="482"/>
      <c r="H1" s="482"/>
      <c r="I1" s="481"/>
      <c r="J1" s="483"/>
    </row>
    <row r="2" spans="1:10">
      <c r="A2" s="484"/>
      <c r="B2" s="110" t="str">
        <f>INSTRUÇÕES!B2</f>
        <v>Seção Judiciária de Minas Gerais</v>
      </c>
      <c r="C2" s="51"/>
      <c r="D2" s="51"/>
      <c r="E2" s="51"/>
      <c r="F2" s="485"/>
      <c r="I2" s="485"/>
      <c r="J2" s="486"/>
    </row>
    <row r="3" spans="1:10">
      <c r="A3" s="185"/>
      <c r="B3" s="362" t="str">
        <f>INSTRUÇÕES!B3</f>
        <v>Subseção Judiciária de Pouso Alegre</v>
      </c>
      <c r="C3" s="51"/>
      <c r="D3" s="51"/>
      <c r="E3" s="51"/>
      <c r="F3" s="485"/>
      <c r="I3" s="485"/>
      <c r="J3" s="486"/>
    </row>
    <row r="4" spans="1:10" ht="19.5" customHeight="1">
      <c r="A4" s="676" t="s">
        <v>590</v>
      </c>
      <c r="B4" s="676"/>
      <c r="C4" s="676"/>
      <c r="D4" s="676"/>
      <c r="E4" s="676"/>
      <c r="F4" s="676"/>
      <c r="G4" s="676"/>
      <c r="H4" s="676"/>
      <c r="I4" s="676"/>
      <c r="J4" s="676"/>
    </row>
    <row r="5" spans="1:10" ht="19.5" customHeight="1">
      <c r="A5" s="679" t="s">
        <v>350</v>
      </c>
      <c r="B5" s="679"/>
      <c r="C5" s="679"/>
      <c r="D5" s="679"/>
      <c r="E5" s="679"/>
      <c r="F5" s="679"/>
      <c r="G5" s="679"/>
      <c r="H5" s="679"/>
      <c r="I5" s="679"/>
      <c r="J5" s="679"/>
    </row>
    <row r="6" spans="1:10" ht="36" customHeight="1">
      <c r="A6" s="680" t="str">
        <f>Dados!A4</f>
        <v>Sindicato utilizado - SEAC/MG. Vigência: 01/01/2024 à 31/12/2024. Sendo a data base da categoria 01º Janeiro. Com número de registro no MTE MG000705/2024.</v>
      </c>
      <c r="B6" s="680"/>
      <c r="C6" s="680"/>
      <c r="D6" s="680"/>
      <c r="E6" s="680"/>
      <c r="F6" s="680"/>
      <c r="G6" s="680"/>
      <c r="H6" s="680"/>
      <c r="I6" s="680"/>
      <c r="J6" s="680"/>
    </row>
    <row r="7" spans="1:10" ht="19.5" customHeight="1">
      <c r="A7" s="681" t="str">
        <f>Dados!C10</f>
        <v>Auxiliar de Manutenção Predial</v>
      </c>
      <c r="B7" s="681"/>
      <c r="C7" s="681"/>
      <c r="D7" s="681"/>
      <c r="E7" s="681"/>
      <c r="F7" s="682" t="s">
        <v>591</v>
      </c>
      <c r="G7" s="682" t="s">
        <v>592</v>
      </c>
      <c r="H7" s="682" t="s">
        <v>593</v>
      </c>
      <c r="I7" s="682" t="s">
        <v>594</v>
      </c>
      <c r="J7" s="682" t="s">
        <v>595</v>
      </c>
    </row>
    <row r="8" spans="1:10" ht="19.5" customHeight="1">
      <c r="A8" s="683" t="s">
        <v>596</v>
      </c>
      <c r="B8" s="683"/>
      <c r="C8" s="683"/>
      <c r="D8" s="683"/>
      <c r="E8" s="487" t="s">
        <v>450</v>
      </c>
      <c r="F8" s="682"/>
      <c r="G8" s="682"/>
      <c r="H8" s="682"/>
      <c r="I8" s="682"/>
      <c r="J8" s="682"/>
    </row>
    <row r="9" spans="1:10" ht="19.5" customHeight="1">
      <c r="A9" s="684" t="s">
        <v>597</v>
      </c>
      <c r="B9" s="684"/>
      <c r="C9" s="684"/>
      <c r="D9" s="684"/>
      <c r="E9" s="684"/>
      <c r="F9" s="684"/>
      <c r="G9" s="684"/>
      <c r="H9" s="684"/>
      <c r="I9" s="684"/>
      <c r="J9" s="684"/>
    </row>
    <row r="10" spans="1:10" ht="24" customHeight="1">
      <c r="A10" s="190" t="s">
        <v>451</v>
      </c>
      <c r="B10" s="685" t="s">
        <v>598</v>
      </c>
      <c r="C10" s="685"/>
      <c r="D10" s="488" t="s">
        <v>599</v>
      </c>
      <c r="E10" s="489" t="s">
        <v>600</v>
      </c>
      <c r="F10" s="686" t="s">
        <v>454</v>
      </c>
      <c r="G10" s="686"/>
      <c r="H10" s="686"/>
      <c r="I10" s="686"/>
      <c r="J10" s="686"/>
    </row>
    <row r="11" spans="1:10" ht="19.5" customHeight="1">
      <c r="A11" s="687">
        <v>1</v>
      </c>
      <c r="B11" s="648" t="str">
        <f>A7</f>
        <v>Auxiliar de Manutenção Predial</v>
      </c>
      <c r="C11" s="648"/>
      <c r="D11" s="490">
        <f>Dados!D10</f>
        <v>150</v>
      </c>
      <c r="E11" s="491">
        <f>Dados!$E$10</f>
        <v>2274.8200000000002</v>
      </c>
      <c r="F11" s="238">
        <f>ROUND(E11/220*D11,2)</f>
        <v>1551.01</v>
      </c>
      <c r="G11" s="238">
        <f>F11</f>
        <v>1551.01</v>
      </c>
      <c r="H11" s="238"/>
      <c r="I11" s="238"/>
      <c r="J11" s="492"/>
    </row>
    <row r="12" spans="1:10" ht="19.5" customHeight="1">
      <c r="A12" s="687"/>
      <c r="B12" s="648" t="s">
        <v>601</v>
      </c>
      <c r="C12" s="648"/>
      <c r="D12" s="493">
        <f>Dados!G10</f>
        <v>0</v>
      </c>
      <c r="E12" s="491">
        <f>Dados!$G$28</f>
        <v>1412</v>
      </c>
      <c r="F12" s="238">
        <f>D12*E12</f>
        <v>0</v>
      </c>
      <c r="G12" s="238">
        <f>F12</f>
        <v>0</v>
      </c>
      <c r="H12" s="238"/>
      <c r="I12" s="238"/>
      <c r="J12" s="492">
        <f>F12</f>
        <v>0</v>
      </c>
    </row>
    <row r="13" spans="1:10" ht="22.5" customHeight="1">
      <c r="A13" s="687"/>
      <c r="B13" s="494" t="s">
        <v>602</v>
      </c>
      <c r="C13" s="495">
        <f>Dados!$I$10</f>
        <v>0</v>
      </c>
      <c r="D13" s="495">
        <f>Dados!$J$10</f>
        <v>0</v>
      </c>
      <c r="E13" s="496">
        <f>Dados!$K$10</f>
        <v>0</v>
      </c>
      <c r="F13" s="497">
        <f>ROUND((E13*D13*C13),2)</f>
        <v>0</v>
      </c>
      <c r="G13" s="497">
        <f>F13</f>
        <v>0</v>
      </c>
      <c r="H13" s="497"/>
      <c r="I13" s="497"/>
      <c r="J13" s="498"/>
    </row>
    <row r="14" spans="1:10" ht="19.5" customHeight="1">
      <c r="A14" s="687"/>
      <c r="B14" s="688" t="s">
        <v>603</v>
      </c>
      <c r="C14" s="688"/>
      <c r="D14" s="688"/>
      <c r="E14" s="688"/>
      <c r="F14" s="499">
        <f>SUM(F11:F13)</f>
        <v>1551.01</v>
      </c>
      <c r="G14" s="499">
        <f>SUM(G11:G13)</f>
        <v>1551.01</v>
      </c>
      <c r="H14" s="499">
        <f>SUM(H11:H13)</f>
        <v>0</v>
      </c>
      <c r="I14" s="499">
        <f>SUM(I11:I13)</f>
        <v>0</v>
      </c>
      <c r="J14" s="500">
        <f>SUM(J11:J13)</f>
        <v>0</v>
      </c>
    </row>
    <row r="15" spans="1:10" ht="19.5" customHeight="1">
      <c r="A15" s="687"/>
      <c r="B15" s="689" t="s">
        <v>604</v>
      </c>
      <c r="C15" s="689"/>
      <c r="D15" s="689"/>
      <c r="E15" s="501">
        <f>Encargos!$C$57</f>
        <v>0.79049999999999998</v>
      </c>
      <c r="F15" s="238">
        <f>ROUND((E15*F14),2)</f>
        <v>1226.07</v>
      </c>
      <c r="G15" s="238">
        <f>F15</f>
        <v>1226.07</v>
      </c>
      <c r="H15" s="238"/>
      <c r="I15" s="238"/>
      <c r="J15" s="492">
        <f>ROUND((E15*J14),2)</f>
        <v>0</v>
      </c>
    </row>
    <row r="16" spans="1:10" ht="19.5" customHeight="1">
      <c r="A16" s="690" t="s">
        <v>605</v>
      </c>
      <c r="B16" s="690"/>
      <c r="C16" s="690"/>
      <c r="D16" s="690"/>
      <c r="E16" s="690"/>
      <c r="F16" s="502">
        <f>SUM(F14:F15)</f>
        <v>2777.08</v>
      </c>
      <c r="G16" s="502">
        <f>SUM(G14:G15)</f>
        <v>2777.08</v>
      </c>
      <c r="H16" s="502">
        <f>SUM(H14:H15)</f>
        <v>0</v>
      </c>
      <c r="I16" s="502">
        <f>SUM(I14:I15)</f>
        <v>0</v>
      </c>
      <c r="J16" s="503">
        <f>SUM(J14:J15)</f>
        <v>0</v>
      </c>
    </row>
    <row r="17" spans="1:12" ht="19.5" customHeight="1">
      <c r="A17" s="691" t="s">
        <v>606</v>
      </c>
      <c r="B17" s="691"/>
      <c r="C17" s="691"/>
      <c r="D17" s="691"/>
      <c r="E17" s="691"/>
      <c r="F17" s="691"/>
      <c r="G17" s="691"/>
      <c r="H17" s="691"/>
      <c r="I17" s="691"/>
      <c r="J17" s="691"/>
    </row>
    <row r="18" spans="1:12" ht="19.5" customHeight="1">
      <c r="A18" s="692" t="s">
        <v>607</v>
      </c>
      <c r="B18" s="692"/>
      <c r="C18" s="37" t="s">
        <v>453</v>
      </c>
      <c r="D18" s="693" t="s">
        <v>608</v>
      </c>
      <c r="E18" s="693"/>
      <c r="F18" s="694" t="s">
        <v>454</v>
      </c>
      <c r="G18" s="694"/>
      <c r="H18" s="694"/>
      <c r="I18" s="694"/>
      <c r="J18" s="694"/>
    </row>
    <row r="19" spans="1:12" ht="19.5" customHeight="1">
      <c r="A19" s="695" t="s">
        <v>609</v>
      </c>
      <c r="B19" s="695"/>
      <c r="C19" s="505"/>
      <c r="D19" s="505"/>
      <c r="E19" s="505"/>
      <c r="F19" s="238">
        <f>Dados!N10</f>
        <v>53.42</v>
      </c>
      <c r="G19" s="238">
        <f>F19</f>
        <v>53.42</v>
      </c>
      <c r="H19" s="238"/>
      <c r="I19" s="238"/>
      <c r="J19" s="492"/>
    </row>
    <row r="20" spans="1:12" ht="19.5" customHeight="1">
      <c r="A20" s="695" t="s">
        <v>610</v>
      </c>
      <c r="B20" s="695"/>
      <c r="C20" s="505"/>
      <c r="D20" s="505"/>
      <c r="E20" s="505"/>
      <c r="F20" s="238">
        <f>Dados!G31</f>
        <v>16.75</v>
      </c>
      <c r="G20" s="238">
        <f>F20</f>
        <v>16.75</v>
      </c>
      <c r="H20" s="238"/>
      <c r="I20" s="238"/>
      <c r="J20" s="492"/>
    </row>
    <row r="21" spans="1:12" ht="23.25" customHeight="1">
      <c r="A21" s="696" t="s">
        <v>279</v>
      </c>
      <c r="B21" s="696"/>
      <c r="C21" s="505"/>
      <c r="D21" s="505"/>
      <c r="E21" s="505"/>
      <c r="F21" s="238">
        <f>Dados!G32</f>
        <v>48.43</v>
      </c>
      <c r="G21" s="238">
        <f>F21</f>
        <v>48.43</v>
      </c>
      <c r="H21" s="238"/>
      <c r="I21" s="238"/>
      <c r="J21" s="492"/>
    </row>
    <row r="22" spans="1:12" ht="19.5" customHeight="1">
      <c r="A22" s="695" t="s">
        <v>280</v>
      </c>
      <c r="B22" s="695"/>
      <c r="C22" s="506">
        <f>Dados!$G$35</f>
        <v>22</v>
      </c>
      <c r="D22" s="506">
        <f>Dados!$G$34</f>
        <v>2</v>
      </c>
      <c r="E22" s="505">
        <f>Dados!$G$33</f>
        <v>3</v>
      </c>
      <c r="F22" s="238">
        <f>IF(ROUND((E22*D22*C22)-(F11*Dados!G36),2)&lt;0,0,ROUND((E22*D22*C22)-(F11*Dados!G36),2))</f>
        <v>38.94</v>
      </c>
      <c r="G22" s="238">
        <f>F22</f>
        <v>38.94</v>
      </c>
      <c r="H22" s="238"/>
      <c r="I22" s="238">
        <f>F22</f>
        <v>38.94</v>
      </c>
      <c r="J22" s="492"/>
    </row>
    <row r="23" spans="1:12" ht="19.5" customHeight="1">
      <c r="A23" s="695" t="s">
        <v>289</v>
      </c>
      <c r="B23" s="695"/>
      <c r="C23" s="506">
        <f>Dados!G39</f>
        <v>22</v>
      </c>
      <c r="D23" s="507">
        <f>Dados!G40</f>
        <v>0.2</v>
      </c>
      <c r="E23" s="505">
        <f>Dados!G38</f>
        <v>0</v>
      </c>
      <c r="F23" s="508">
        <f>ROUND((IF(D11&lt;200,((C23*E23)-(C23*(D23*E23))),0)),2)</f>
        <v>0</v>
      </c>
      <c r="G23" s="238">
        <f>F23</f>
        <v>0</v>
      </c>
      <c r="H23" s="238">
        <f>$F$23</f>
        <v>0</v>
      </c>
      <c r="I23" s="508"/>
      <c r="J23" s="492"/>
    </row>
    <row r="24" spans="1:12" ht="19.5" customHeight="1">
      <c r="A24" s="695" t="s">
        <v>293</v>
      </c>
      <c r="B24" s="695"/>
      <c r="C24" s="506"/>
      <c r="D24" s="506"/>
      <c r="E24" s="505"/>
      <c r="F24" s="508">
        <f>Dados!G41</f>
        <v>0</v>
      </c>
      <c r="G24" s="238"/>
      <c r="H24" s="238"/>
      <c r="I24" s="508"/>
      <c r="J24" s="492"/>
    </row>
    <row r="25" spans="1:12" ht="19.5" customHeight="1">
      <c r="A25" s="695" t="s">
        <v>293</v>
      </c>
      <c r="B25" s="695"/>
      <c r="C25" s="506"/>
      <c r="D25" s="506"/>
      <c r="E25" s="505"/>
      <c r="F25" s="508">
        <f>Dados!G42</f>
        <v>0</v>
      </c>
      <c r="G25" s="238"/>
      <c r="H25" s="238"/>
      <c r="I25" s="508"/>
      <c r="J25" s="492"/>
    </row>
    <row r="26" spans="1:12" ht="19.5" customHeight="1">
      <c r="A26" s="695" t="s">
        <v>611</v>
      </c>
      <c r="B26" s="695"/>
      <c r="C26" s="506"/>
      <c r="D26" s="505"/>
      <c r="E26" s="505"/>
      <c r="F26" s="238"/>
      <c r="G26" s="238"/>
      <c r="H26" s="238"/>
      <c r="I26" s="238"/>
      <c r="J26" s="492"/>
      <c r="L26" s="51"/>
    </row>
    <row r="27" spans="1:12" ht="19.5" customHeight="1">
      <c r="A27" s="504" t="s">
        <v>612</v>
      </c>
      <c r="B27" s="369"/>
      <c r="C27" s="506"/>
      <c r="D27" s="505"/>
      <c r="E27" s="505"/>
      <c r="F27" s="238"/>
      <c r="G27" s="238"/>
      <c r="H27" s="238"/>
      <c r="I27" s="238"/>
      <c r="J27" s="492"/>
    </row>
    <row r="28" spans="1:12" ht="19.5" customHeight="1">
      <c r="A28" s="697" t="s">
        <v>613</v>
      </c>
      <c r="B28" s="697"/>
      <c r="C28" s="509"/>
      <c r="D28" s="510"/>
      <c r="E28" s="510"/>
      <c r="F28" s="497">
        <f>Dados!Q10</f>
        <v>5.12</v>
      </c>
      <c r="G28" s="497">
        <f>F28</f>
        <v>5.12</v>
      </c>
      <c r="H28" s="497"/>
      <c r="I28" s="497"/>
      <c r="J28" s="498"/>
    </row>
    <row r="29" spans="1:12" ht="19.5" customHeight="1">
      <c r="A29" s="698" t="s">
        <v>614</v>
      </c>
      <c r="B29" s="698"/>
      <c r="C29" s="698"/>
      <c r="D29" s="698"/>
      <c r="E29" s="698"/>
      <c r="F29" s="502">
        <f>SUM(F19:F28)</f>
        <v>162.66</v>
      </c>
      <c r="G29" s="502">
        <f>SUM(G19:G28)</f>
        <v>162.66</v>
      </c>
      <c r="H29" s="502">
        <f>SUM(H19:H28)</f>
        <v>0</v>
      </c>
      <c r="I29" s="502">
        <f>SUM(I19:I28)</f>
        <v>38.94</v>
      </c>
      <c r="J29" s="503">
        <f>SUM(J19:J28)</f>
        <v>0</v>
      </c>
    </row>
    <row r="30" spans="1:12" ht="19.5" customHeight="1">
      <c r="A30" s="698" t="s">
        <v>615</v>
      </c>
      <c r="B30" s="698"/>
      <c r="C30" s="698"/>
      <c r="D30" s="698"/>
      <c r="E30" s="698"/>
      <c r="F30" s="502">
        <f>F16+F29</f>
        <v>2939.74</v>
      </c>
      <c r="G30" s="502">
        <f>G16+G29</f>
        <v>2939.74</v>
      </c>
      <c r="H30" s="502">
        <f>H16+H29</f>
        <v>0</v>
      </c>
      <c r="I30" s="502">
        <f>I16+I29</f>
        <v>38.94</v>
      </c>
      <c r="J30" s="503">
        <f>J16+J29</f>
        <v>0</v>
      </c>
    </row>
    <row r="31" spans="1:12" ht="19.5" customHeight="1">
      <c r="A31" s="684" t="s">
        <v>616</v>
      </c>
      <c r="B31" s="684"/>
      <c r="C31" s="684"/>
      <c r="D31" s="684"/>
      <c r="E31" s="684"/>
      <c r="F31" s="684"/>
      <c r="G31" s="684"/>
      <c r="H31" s="684"/>
      <c r="I31" s="684"/>
      <c r="J31" s="684"/>
    </row>
    <row r="32" spans="1:12" ht="19.5" customHeight="1">
      <c r="A32" s="692" t="s">
        <v>617</v>
      </c>
      <c r="B32" s="692"/>
      <c r="C32" s="692"/>
      <c r="D32" s="75" t="s">
        <v>518</v>
      </c>
      <c r="E32" s="699" t="s">
        <v>454</v>
      </c>
      <c r="F32" s="699"/>
      <c r="G32" s="699"/>
      <c r="H32" s="699"/>
      <c r="I32" s="699"/>
      <c r="J32" s="699"/>
    </row>
    <row r="33" spans="1:12" ht="19.5" customHeight="1">
      <c r="A33" s="511" t="s">
        <v>618</v>
      </c>
      <c r="B33" s="512"/>
      <c r="C33" s="512"/>
      <c r="D33" s="370">
        <f>Dados!$G$45</f>
        <v>0.03</v>
      </c>
      <c r="E33" s="513"/>
      <c r="F33" s="238">
        <f>ROUND((F30*$D$33),2)</f>
        <v>88.19</v>
      </c>
      <c r="G33" s="238">
        <f>ROUND((G30*$D$33),2)</f>
        <v>88.19</v>
      </c>
      <c r="H33" s="238">
        <f>ROUND((H30*$D$33),2)</f>
        <v>0</v>
      </c>
      <c r="I33" s="238">
        <f>ROUND((I30*$D$33),2)</f>
        <v>1.17</v>
      </c>
      <c r="J33" s="492">
        <f>ROUND((J30*$D$33),2)</f>
        <v>0</v>
      </c>
    </row>
    <row r="34" spans="1:12" ht="19.5" customHeight="1">
      <c r="A34" s="700" t="s">
        <v>619</v>
      </c>
      <c r="B34" s="700"/>
      <c r="C34" s="700"/>
      <c r="D34" s="370"/>
      <c r="E34" s="513"/>
      <c r="F34" s="238">
        <f>F30+F33</f>
        <v>3027.93</v>
      </c>
      <c r="G34" s="238">
        <f>G30+G33</f>
        <v>3027.93</v>
      </c>
      <c r="H34" s="238">
        <f>H30+H33</f>
        <v>0</v>
      </c>
      <c r="I34" s="238">
        <f>I30+I33</f>
        <v>40.11</v>
      </c>
      <c r="J34" s="492">
        <f>J30+J33</f>
        <v>0</v>
      </c>
    </row>
    <row r="35" spans="1:12" ht="19.5" customHeight="1">
      <c r="A35" s="514" t="s">
        <v>298</v>
      </c>
      <c r="B35" s="515"/>
      <c r="C35" s="515"/>
      <c r="D35" s="516">
        <f>Dados!$G$46</f>
        <v>6.7900000000000002E-2</v>
      </c>
      <c r="E35" s="517"/>
      <c r="F35" s="497">
        <f>ROUND((F34*$D$35),2)</f>
        <v>205.6</v>
      </c>
      <c r="G35" s="497">
        <f>ROUND((G34*$D$35),2)</f>
        <v>205.6</v>
      </c>
      <c r="H35" s="497">
        <f>ROUND((H34*$D$35),2)</f>
        <v>0</v>
      </c>
      <c r="I35" s="497">
        <f>ROUND((I34*$D$35),2)</f>
        <v>2.72</v>
      </c>
      <c r="J35" s="498">
        <f>ROUND((J34*$D$35),2)</f>
        <v>0</v>
      </c>
    </row>
    <row r="36" spans="1:12" ht="19.5" customHeight="1">
      <c r="A36" s="518" t="s">
        <v>620</v>
      </c>
      <c r="B36" s="519"/>
      <c r="C36" s="519"/>
      <c r="D36" s="520">
        <f>SUM(D33:D35)</f>
        <v>9.7900000000000001E-2</v>
      </c>
      <c r="E36" s="521"/>
      <c r="F36" s="502">
        <f>F33+F35</f>
        <v>293.78999999999996</v>
      </c>
      <c r="G36" s="502">
        <f>G33+G35</f>
        <v>293.78999999999996</v>
      </c>
      <c r="H36" s="502">
        <f>H33+H35</f>
        <v>0</v>
      </c>
      <c r="I36" s="502">
        <f>I33+I35</f>
        <v>3.89</v>
      </c>
      <c r="J36" s="503">
        <f>J33+J35</f>
        <v>0</v>
      </c>
    </row>
    <row r="37" spans="1:12" ht="19.5" customHeight="1">
      <c r="A37" s="701" t="s">
        <v>621</v>
      </c>
      <c r="B37" s="701"/>
      <c r="C37" s="701"/>
      <c r="D37" s="701"/>
      <c r="E37" s="701"/>
      <c r="F37" s="522">
        <f>F30+F36</f>
        <v>3233.5299999999997</v>
      </c>
      <c r="G37" s="522">
        <f>G30+G36</f>
        <v>3233.5299999999997</v>
      </c>
      <c r="H37" s="522">
        <f>H30+H36</f>
        <v>0</v>
      </c>
      <c r="I37" s="522">
        <f>I30+I36</f>
        <v>42.83</v>
      </c>
      <c r="J37" s="523">
        <f>J30+J36</f>
        <v>0</v>
      </c>
    </row>
    <row r="38" spans="1:12" ht="19.5" customHeight="1">
      <c r="A38" s="702" t="s">
        <v>622</v>
      </c>
      <c r="B38" s="702"/>
      <c r="C38" s="702"/>
      <c r="D38" s="702"/>
      <c r="E38" s="702"/>
      <c r="F38" s="702"/>
      <c r="G38" s="702"/>
      <c r="H38" s="702"/>
      <c r="I38" s="702"/>
      <c r="J38" s="702"/>
    </row>
    <row r="39" spans="1:12" ht="19.5" customHeight="1">
      <c r="A39" s="695" t="s">
        <v>304</v>
      </c>
      <c r="B39" s="695"/>
      <c r="C39" s="695"/>
      <c r="D39" s="370">
        <f>Dados!G53</f>
        <v>7.5999999999999998E-2</v>
      </c>
      <c r="E39" s="238"/>
      <c r="F39" s="238">
        <f>ROUND(($F$45*D39),2)</f>
        <v>276.89999999999998</v>
      </c>
      <c r="G39" s="238">
        <f>ROUND((G45*$D$39),2)</f>
        <v>276.89999999999998</v>
      </c>
      <c r="H39" s="238">
        <f>ROUND((H45*$D$39),2)</f>
        <v>0</v>
      </c>
      <c r="I39" s="238">
        <f>ROUND((I45*$D$39),2)</f>
        <v>3.67</v>
      </c>
      <c r="J39" s="492">
        <f>ROUND((J45*$D$39),2)</f>
        <v>0</v>
      </c>
    </row>
    <row r="40" spans="1:12" ht="19.5" customHeight="1">
      <c r="A40" s="695" t="s">
        <v>306</v>
      </c>
      <c r="B40" s="695"/>
      <c r="C40" s="695"/>
      <c r="D40" s="370">
        <f>Dados!G54</f>
        <v>1.6500000000000001E-2</v>
      </c>
      <c r="E40" s="238"/>
      <c r="F40" s="238">
        <f>ROUND((F45*$D$40),2)</f>
        <v>60.12</v>
      </c>
      <c r="G40" s="238">
        <f>ROUND((G45*$D$40),2)</f>
        <v>60.12</v>
      </c>
      <c r="H40" s="238">
        <f>ROUND((H45*$D$40),2)</f>
        <v>0</v>
      </c>
      <c r="I40" s="238">
        <f>ROUND((I45*$D$40),2)</f>
        <v>0.8</v>
      </c>
      <c r="J40" s="492">
        <f>ROUND((J45*$D$40),2)</f>
        <v>0</v>
      </c>
    </row>
    <row r="41" spans="1:12" ht="19.5" customHeight="1">
      <c r="A41" s="695" t="s">
        <v>307</v>
      </c>
      <c r="B41" s="695"/>
      <c r="C41" s="695"/>
      <c r="D41" s="370">
        <f>Dados!G55</f>
        <v>0.02</v>
      </c>
      <c r="E41" s="238"/>
      <c r="F41" s="238">
        <f>ROUND((F45*$D$41),2)</f>
        <v>72.87</v>
      </c>
      <c r="G41" s="238">
        <f>ROUND((G45*$D$41),2)</f>
        <v>72.87</v>
      </c>
      <c r="H41" s="238">
        <f>ROUND((H45*$D$41),2)</f>
        <v>0</v>
      </c>
      <c r="I41" s="238">
        <f>ROUND((I45*$D$41),2)</f>
        <v>0.97</v>
      </c>
      <c r="J41" s="492">
        <f>ROUND((J45*$D$41),2)</f>
        <v>0</v>
      </c>
    </row>
    <row r="42" spans="1:12" ht="19.5" customHeight="1">
      <c r="A42" s="695" t="s">
        <v>293</v>
      </c>
      <c r="B42" s="695"/>
      <c r="C42" s="695"/>
      <c r="D42" s="370">
        <f>Dados!G56</f>
        <v>0</v>
      </c>
      <c r="E42" s="238"/>
      <c r="F42" s="238">
        <f>ROUND((F45*$D$42),2)</f>
        <v>0</v>
      </c>
      <c r="G42" s="238">
        <f>ROUND((G45*$D$42),2)</f>
        <v>0</v>
      </c>
      <c r="H42" s="238">
        <f>ROUND((H45*$D$42),2)</f>
        <v>0</v>
      </c>
      <c r="I42" s="238">
        <f>ROUND((I45*$D$42),2)</f>
        <v>0</v>
      </c>
      <c r="J42" s="492">
        <f>ROUND((J45*$D$42),2)</f>
        <v>0</v>
      </c>
    </row>
    <row r="43" spans="1:12" ht="19.5" customHeight="1">
      <c r="A43" s="704" t="s">
        <v>623</v>
      </c>
      <c r="B43" s="704"/>
      <c r="C43" s="704"/>
      <c r="D43" s="524">
        <f>SUM(D39:D42)</f>
        <v>0.1125</v>
      </c>
      <c r="E43" s="525"/>
      <c r="F43" s="526">
        <f>SUM(F39:F42)</f>
        <v>409.89</v>
      </c>
      <c r="G43" s="526">
        <f>SUM(G39:G42)</f>
        <v>409.89</v>
      </c>
      <c r="H43" s="526">
        <f>SUM(H39:H42)</f>
        <v>0</v>
      </c>
      <c r="I43" s="526">
        <f>SUM(I39:I42)</f>
        <v>5.4399999999999995</v>
      </c>
      <c r="J43" s="527">
        <f>SUM(J39:J41)</f>
        <v>0</v>
      </c>
    </row>
    <row r="44" spans="1:12" ht="19.5" customHeight="1">
      <c r="A44" s="705" t="str">
        <f>CONCATENATE("Custo Mensal - ",A7)</f>
        <v>Custo Mensal - Auxiliar de Manutenção Predial</v>
      </c>
      <c r="B44" s="705"/>
      <c r="C44" s="705"/>
      <c r="D44" s="705"/>
      <c r="E44" s="705"/>
      <c r="F44" s="528">
        <f>ROUND(F37/(1-D43),2)</f>
        <v>3643.41</v>
      </c>
      <c r="G44" s="528">
        <f>ROUND(G37/(1-D43),2)</f>
        <v>3643.41</v>
      </c>
      <c r="H44" s="528">
        <f>ROUND(H37/(1-D43),2)</f>
        <v>0</v>
      </c>
      <c r="I44" s="528">
        <f>ROUND(I37/(1-D43),2)</f>
        <v>48.26</v>
      </c>
      <c r="J44" s="529">
        <f>ROUND(J37/(1-D43),2)</f>
        <v>0</v>
      </c>
    </row>
    <row r="45" spans="1:12" ht="19.5" customHeight="1">
      <c r="A45" s="706" t="str">
        <f>CONCATENATE("Valor do Custo Mensal - ",A7)</f>
        <v>Valor do Custo Mensal - Auxiliar de Manutenção Predial</v>
      </c>
      <c r="B45" s="706"/>
      <c r="C45" s="706"/>
      <c r="D45" s="706"/>
      <c r="E45" s="706"/>
      <c r="F45" s="528">
        <f>F44</f>
        <v>3643.41</v>
      </c>
      <c r="G45" s="528">
        <f>G44</f>
        <v>3643.41</v>
      </c>
      <c r="H45" s="528">
        <f>H44</f>
        <v>0</v>
      </c>
      <c r="I45" s="528">
        <f>I44</f>
        <v>48.26</v>
      </c>
      <c r="J45" s="529">
        <f>J44</f>
        <v>0</v>
      </c>
      <c r="K45" s="530"/>
      <c r="L45" s="530"/>
    </row>
    <row r="46" spans="1:12" ht="27.75" customHeight="1">
      <c r="A46" s="707" t="s">
        <v>624</v>
      </c>
      <c r="B46" s="707"/>
      <c r="C46" s="707"/>
      <c r="D46" s="707"/>
      <c r="E46" s="707"/>
      <c r="F46" s="531">
        <f>(F45/F14)</f>
        <v>2.349056421299669</v>
      </c>
      <c r="G46" s="531">
        <f>(G45/G14)</f>
        <v>2.349056421299669</v>
      </c>
      <c r="H46" s="703" t="s">
        <v>625</v>
      </c>
      <c r="I46" s="703"/>
      <c r="J46" s="532">
        <v>0</v>
      </c>
    </row>
    <row r="47" spans="1:12" ht="19.5" customHeight="1"/>
  </sheetData>
  <sheetProtection algorithmName="SHA-512" hashValue="9wUxIgj42dwwwo5s2BPTmop8xWhN33k56dMRzhElkws/RV8g8LurNO1LuF1W/OAJQfM5an4OFQaTSJF33bqs6Q==" saltValue="erGcQyDbPNgXqzApBLSg8w==" spinCount="100000" sheet="1" objects="1" scenarios="1"/>
  <mergeCells count="49">
    <mergeCell ref="H46:I46"/>
    <mergeCell ref="A42:C42"/>
    <mergeCell ref="A43:C43"/>
    <mergeCell ref="A44:E44"/>
    <mergeCell ref="A45:E45"/>
    <mergeCell ref="A46:E46"/>
    <mergeCell ref="A37:E37"/>
    <mergeCell ref="A38:J38"/>
    <mergeCell ref="A39:C39"/>
    <mergeCell ref="A40:C40"/>
    <mergeCell ref="A41:C41"/>
    <mergeCell ref="A30:E30"/>
    <mergeCell ref="A31:J31"/>
    <mergeCell ref="A32:C32"/>
    <mergeCell ref="E32:J32"/>
    <mergeCell ref="A34:C34"/>
    <mergeCell ref="A24:B24"/>
    <mergeCell ref="A25:B25"/>
    <mergeCell ref="A26:B26"/>
    <mergeCell ref="A28:B28"/>
    <mergeCell ref="A29:E29"/>
    <mergeCell ref="A19:B19"/>
    <mergeCell ref="A20:B20"/>
    <mergeCell ref="A21:B21"/>
    <mergeCell ref="A22:B22"/>
    <mergeCell ref="A23:B23"/>
    <mergeCell ref="A16:E16"/>
    <mergeCell ref="A17:J17"/>
    <mergeCell ref="A18:B18"/>
    <mergeCell ref="D18:E18"/>
    <mergeCell ref="F18:J18"/>
    <mergeCell ref="A9:J9"/>
    <mergeCell ref="B10:C10"/>
    <mergeCell ref="F10:J10"/>
    <mergeCell ref="A11:A15"/>
    <mergeCell ref="B11:C11"/>
    <mergeCell ref="B12:C12"/>
    <mergeCell ref="B14:E14"/>
    <mergeCell ref="B15:D15"/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J47"/>
  <sheetViews>
    <sheetView showGridLines="0" zoomScaleNormal="100" workbookViewId="0">
      <selection activeCell="J44" sqref="J44"/>
    </sheetView>
  </sheetViews>
  <sheetFormatPr defaultColWidth="9.140625" defaultRowHeight="15"/>
  <cols>
    <col min="1" max="1" width="10.5703125" style="61" customWidth="1"/>
    <col min="2" max="2" width="27.7109375" style="61" customWidth="1"/>
    <col min="3" max="3" width="14.42578125" style="61" customWidth="1"/>
    <col min="4" max="5" width="15" style="61" customWidth="1"/>
    <col min="6" max="6" width="16.7109375" style="478" customWidth="1"/>
    <col min="7" max="8" width="13.140625" style="478" customWidth="1"/>
    <col min="9" max="10" width="12.5703125" style="478" customWidth="1"/>
    <col min="11" max="257" width="9.140625" style="61"/>
    <col min="258" max="258" width="10.5703125" style="61" customWidth="1"/>
    <col min="259" max="259" width="27.7109375" style="61" customWidth="1"/>
    <col min="260" max="260" width="14.42578125" style="61" customWidth="1"/>
    <col min="261" max="262" width="15" style="61" customWidth="1"/>
    <col min="263" max="263" width="16.7109375" style="61" customWidth="1"/>
    <col min="264" max="264" width="13.140625" style="61" customWidth="1"/>
    <col min="265" max="266" width="12.5703125" style="61" customWidth="1"/>
    <col min="267" max="513" width="9.140625" style="61"/>
    <col min="514" max="514" width="10.5703125" style="61" customWidth="1"/>
    <col min="515" max="515" width="27.7109375" style="61" customWidth="1"/>
    <col min="516" max="516" width="14.42578125" style="61" customWidth="1"/>
    <col min="517" max="518" width="15" style="61" customWidth="1"/>
    <col min="519" max="519" width="16.7109375" style="61" customWidth="1"/>
    <col min="520" max="520" width="13.140625" style="61" customWidth="1"/>
    <col min="521" max="522" width="12.5703125" style="61" customWidth="1"/>
    <col min="523" max="769" width="9.140625" style="61"/>
    <col min="770" max="770" width="10.5703125" style="61" customWidth="1"/>
    <col min="771" max="771" width="27.7109375" style="61" customWidth="1"/>
    <col min="772" max="772" width="14.42578125" style="61" customWidth="1"/>
    <col min="773" max="774" width="15" style="61" customWidth="1"/>
    <col min="775" max="775" width="16.7109375" style="61" customWidth="1"/>
    <col min="776" max="776" width="13.140625" style="61" customWidth="1"/>
    <col min="777" max="778" width="12.5703125" style="61" customWidth="1"/>
    <col min="779" max="1024" width="9.140625" style="61"/>
  </cols>
  <sheetData>
    <row r="1" spans="1:10">
      <c r="A1" s="479"/>
      <c r="B1" s="108" t="str">
        <f>INSTRUÇÕES!B1</f>
        <v>Tribunal Regional Federal da 6ª Região</v>
      </c>
      <c r="C1" s="480"/>
      <c r="D1" s="480"/>
      <c r="E1" s="480"/>
      <c r="F1" s="481"/>
      <c r="G1" s="482"/>
      <c r="H1" s="482"/>
      <c r="I1" s="481"/>
      <c r="J1" s="483"/>
    </row>
    <row r="2" spans="1:10">
      <c r="A2" s="484"/>
      <c r="B2" s="110" t="str">
        <f>INSTRUÇÕES!B2</f>
        <v>Seção Judiciária de Minas Gerais</v>
      </c>
      <c r="C2" s="51"/>
      <c r="D2" s="51"/>
      <c r="E2" s="51"/>
      <c r="F2" s="485"/>
      <c r="I2" s="485"/>
      <c r="J2" s="486"/>
    </row>
    <row r="3" spans="1:10">
      <c r="A3" s="185"/>
      <c r="B3" s="362" t="str">
        <f>INSTRUÇÕES!B3</f>
        <v>Subseção Judiciária de Pouso Alegre</v>
      </c>
      <c r="C3" s="51"/>
      <c r="D3" s="51"/>
      <c r="E3" s="51"/>
      <c r="F3" s="485"/>
      <c r="I3" s="485"/>
      <c r="J3" s="486"/>
    </row>
    <row r="4" spans="1:10" ht="19.5" customHeight="1">
      <c r="A4" s="676" t="s">
        <v>590</v>
      </c>
      <c r="B4" s="676"/>
      <c r="C4" s="676"/>
      <c r="D4" s="676"/>
      <c r="E4" s="676"/>
      <c r="F4" s="676"/>
      <c r="G4" s="676"/>
      <c r="H4" s="676"/>
      <c r="I4" s="676"/>
      <c r="J4" s="676"/>
    </row>
    <row r="5" spans="1:10" ht="19.5" customHeight="1">
      <c r="A5" s="679" t="s">
        <v>350</v>
      </c>
      <c r="B5" s="679"/>
      <c r="C5" s="679"/>
      <c r="D5" s="679"/>
      <c r="E5" s="679"/>
      <c r="F5" s="679"/>
      <c r="G5" s="679"/>
      <c r="H5" s="679"/>
      <c r="I5" s="679"/>
      <c r="J5" s="679"/>
    </row>
    <row r="6" spans="1:10" ht="36" customHeight="1">
      <c r="A6" s="680" t="str">
        <f>Dados!A4</f>
        <v>Sindicato utilizado - SEAC/MG. Vigência: 01/01/2024 à 31/12/2024. Sendo a data base da categoria 01º Janeiro. Com número de registro no MTE MG000705/2024.</v>
      </c>
      <c r="B6" s="680"/>
      <c r="C6" s="680"/>
      <c r="D6" s="680"/>
      <c r="E6" s="680"/>
      <c r="F6" s="680"/>
      <c r="G6" s="680"/>
      <c r="H6" s="680"/>
      <c r="I6" s="680"/>
      <c r="J6" s="680"/>
    </row>
    <row r="7" spans="1:10" ht="19.5" customHeight="1">
      <c r="A7" s="681" t="str">
        <f>Dados!C7</f>
        <v>Assistente Administrativo</v>
      </c>
      <c r="B7" s="681"/>
      <c r="C7" s="681"/>
      <c r="D7" s="681"/>
      <c r="E7" s="681"/>
      <c r="F7" s="682" t="s">
        <v>591</v>
      </c>
      <c r="G7" s="682" t="s">
        <v>592</v>
      </c>
      <c r="H7" s="682" t="s">
        <v>593</v>
      </c>
      <c r="I7" s="682" t="s">
        <v>594</v>
      </c>
      <c r="J7" s="682" t="s">
        <v>595</v>
      </c>
    </row>
    <row r="8" spans="1:10" ht="19.5" customHeight="1">
      <c r="A8" s="683" t="s">
        <v>596</v>
      </c>
      <c r="B8" s="683"/>
      <c r="C8" s="683"/>
      <c r="D8" s="683"/>
      <c r="E8" s="487" t="s">
        <v>450</v>
      </c>
      <c r="F8" s="682"/>
      <c r="G8" s="682"/>
      <c r="H8" s="682"/>
      <c r="I8" s="682"/>
      <c r="J8" s="682"/>
    </row>
    <row r="9" spans="1:10" ht="19.5" customHeight="1">
      <c r="A9" s="684" t="s">
        <v>597</v>
      </c>
      <c r="B9" s="684"/>
      <c r="C9" s="684"/>
      <c r="D9" s="684"/>
      <c r="E9" s="684"/>
      <c r="F9" s="684"/>
      <c r="G9" s="684"/>
      <c r="H9" s="684"/>
      <c r="I9" s="684"/>
      <c r="J9" s="684"/>
    </row>
    <row r="10" spans="1:10" ht="24" customHeight="1">
      <c r="A10" s="190" t="s">
        <v>451</v>
      </c>
      <c r="B10" s="685" t="s">
        <v>598</v>
      </c>
      <c r="C10" s="685"/>
      <c r="D10" s="488" t="s">
        <v>599</v>
      </c>
      <c r="E10" s="489" t="s">
        <v>600</v>
      </c>
      <c r="F10" s="686" t="s">
        <v>454</v>
      </c>
      <c r="G10" s="686"/>
      <c r="H10" s="686"/>
      <c r="I10" s="686"/>
      <c r="J10" s="686"/>
    </row>
    <row r="11" spans="1:10" ht="19.5" customHeight="1">
      <c r="A11" s="687">
        <v>1</v>
      </c>
      <c r="B11" s="648" t="str">
        <f>A7</f>
        <v>Assistente Administrativo</v>
      </c>
      <c r="C11" s="648"/>
      <c r="D11" s="490">
        <f>Dados!D7</f>
        <v>150</v>
      </c>
      <c r="E11" s="491">
        <f>Dados!$E$7</f>
        <v>2267.85</v>
      </c>
      <c r="F11" s="238">
        <f>ROUND(E11/220*D11,2)</f>
        <v>1546.26</v>
      </c>
      <c r="G11" s="238">
        <f>F11</f>
        <v>1546.26</v>
      </c>
      <c r="H11" s="238"/>
      <c r="I11" s="238"/>
      <c r="J11" s="492"/>
    </row>
    <row r="12" spans="1:10" ht="19.5" customHeight="1">
      <c r="A12" s="687"/>
      <c r="B12" s="648" t="s">
        <v>601</v>
      </c>
      <c r="C12" s="648"/>
      <c r="D12" s="493">
        <f>Dados!G7</f>
        <v>0</v>
      </c>
      <c r="E12" s="491">
        <f>Dados!$G$28</f>
        <v>1412</v>
      </c>
      <c r="F12" s="238">
        <f>D12*E12</f>
        <v>0</v>
      </c>
      <c r="G12" s="238">
        <f>F12</f>
        <v>0</v>
      </c>
      <c r="H12" s="238"/>
      <c r="I12" s="238"/>
      <c r="J12" s="492">
        <f>F12</f>
        <v>0</v>
      </c>
    </row>
    <row r="13" spans="1:10" ht="22.5" customHeight="1">
      <c r="A13" s="687"/>
      <c r="B13" s="494" t="s">
        <v>602</v>
      </c>
      <c r="C13" s="495">
        <f>Dados!$I$7</f>
        <v>0</v>
      </c>
      <c r="D13" s="495">
        <f>Dados!$J$7</f>
        <v>0</v>
      </c>
      <c r="E13" s="496">
        <f>Dados!$K$7</f>
        <v>0</v>
      </c>
      <c r="F13" s="497">
        <f>ROUND((E13*D13*C13),2)</f>
        <v>0</v>
      </c>
      <c r="G13" s="497">
        <f>F13</f>
        <v>0</v>
      </c>
      <c r="H13" s="497"/>
      <c r="I13" s="497"/>
      <c r="J13" s="498"/>
    </row>
    <row r="14" spans="1:10" ht="19.5" customHeight="1">
      <c r="A14" s="687"/>
      <c r="B14" s="688" t="s">
        <v>603</v>
      </c>
      <c r="C14" s="688"/>
      <c r="D14" s="688"/>
      <c r="E14" s="688"/>
      <c r="F14" s="499">
        <f>SUM(F11:F13)</f>
        <v>1546.26</v>
      </c>
      <c r="G14" s="499">
        <f>SUM(G11:G13)</f>
        <v>1546.26</v>
      </c>
      <c r="H14" s="499">
        <f>SUM(H11:H13)</f>
        <v>0</v>
      </c>
      <c r="I14" s="499">
        <f>SUM(I11:I13)</f>
        <v>0</v>
      </c>
      <c r="J14" s="500">
        <f>SUM(J11:J13)</f>
        <v>0</v>
      </c>
    </row>
    <row r="15" spans="1:10" ht="19.5" customHeight="1">
      <c r="A15" s="687"/>
      <c r="B15" s="689" t="s">
        <v>604</v>
      </c>
      <c r="C15" s="689"/>
      <c r="D15" s="689"/>
      <c r="E15" s="501">
        <f>Encargos!$C$57</f>
        <v>0.79049999999999998</v>
      </c>
      <c r="F15" s="238">
        <f>ROUND((E15*F14),2)</f>
        <v>1222.32</v>
      </c>
      <c r="G15" s="238">
        <f>F15</f>
        <v>1222.32</v>
      </c>
      <c r="H15" s="238"/>
      <c r="I15" s="238"/>
      <c r="J15" s="492">
        <f>ROUND((E15*J14),2)</f>
        <v>0</v>
      </c>
    </row>
    <row r="16" spans="1:10" ht="19.5" customHeight="1">
      <c r="A16" s="690" t="s">
        <v>605</v>
      </c>
      <c r="B16" s="690"/>
      <c r="C16" s="690"/>
      <c r="D16" s="690"/>
      <c r="E16" s="690"/>
      <c r="F16" s="502">
        <f>SUM(F14:F15)</f>
        <v>2768.58</v>
      </c>
      <c r="G16" s="502">
        <f>SUM(G14:G15)</f>
        <v>2768.58</v>
      </c>
      <c r="H16" s="502">
        <f>SUM(H14:H15)</f>
        <v>0</v>
      </c>
      <c r="I16" s="502">
        <f>SUM(I14:I15)</f>
        <v>0</v>
      </c>
      <c r="J16" s="503">
        <f>SUM(J14:J15)</f>
        <v>0</v>
      </c>
    </row>
    <row r="17" spans="1:12" ht="19.5" customHeight="1">
      <c r="A17" s="691" t="s">
        <v>606</v>
      </c>
      <c r="B17" s="691"/>
      <c r="C17" s="691"/>
      <c r="D17" s="691"/>
      <c r="E17" s="691"/>
      <c r="F17" s="691"/>
      <c r="G17" s="691"/>
      <c r="H17" s="691"/>
      <c r="I17" s="691"/>
      <c r="J17" s="691"/>
    </row>
    <row r="18" spans="1:12" ht="19.5" customHeight="1">
      <c r="A18" s="692" t="s">
        <v>607</v>
      </c>
      <c r="B18" s="692"/>
      <c r="C18" s="37" t="s">
        <v>453</v>
      </c>
      <c r="D18" s="693" t="s">
        <v>608</v>
      </c>
      <c r="E18" s="693"/>
      <c r="F18" s="694" t="s">
        <v>454</v>
      </c>
      <c r="G18" s="694"/>
      <c r="H18" s="694"/>
      <c r="I18" s="694"/>
      <c r="J18" s="694"/>
    </row>
    <row r="19" spans="1:12" ht="19.5" customHeight="1">
      <c r="A19" s="695" t="s">
        <v>609</v>
      </c>
      <c r="B19" s="695"/>
      <c r="C19" s="505"/>
      <c r="D19" s="505"/>
      <c r="E19" s="505"/>
      <c r="F19" s="238">
        <f>Dados!N7</f>
        <v>50.93</v>
      </c>
      <c r="G19" s="238">
        <f>F19</f>
        <v>50.93</v>
      </c>
      <c r="H19" s="238"/>
      <c r="I19" s="238"/>
      <c r="J19" s="492"/>
    </row>
    <row r="20" spans="1:12" ht="19.5" customHeight="1">
      <c r="A20" s="695" t="s">
        <v>610</v>
      </c>
      <c r="B20" s="695"/>
      <c r="C20" s="505"/>
      <c r="D20" s="505"/>
      <c r="E20" s="505"/>
      <c r="F20" s="238">
        <f>Dados!G31</f>
        <v>16.75</v>
      </c>
      <c r="G20" s="238">
        <f>F20</f>
        <v>16.75</v>
      </c>
      <c r="H20" s="238"/>
      <c r="I20" s="238"/>
      <c r="J20" s="492"/>
    </row>
    <row r="21" spans="1:12" ht="23.25" customHeight="1">
      <c r="A21" s="696" t="s">
        <v>279</v>
      </c>
      <c r="B21" s="696"/>
      <c r="C21" s="505"/>
      <c r="D21" s="505"/>
      <c r="E21" s="505"/>
      <c r="F21" s="238">
        <f>Dados!G32</f>
        <v>48.43</v>
      </c>
      <c r="G21" s="238">
        <f>F21</f>
        <v>48.43</v>
      </c>
      <c r="H21" s="238"/>
      <c r="I21" s="238"/>
      <c r="J21" s="492"/>
    </row>
    <row r="22" spans="1:12" ht="19.5" customHeight="1">
      <c r="A22" s="695" t="s">
        <v>280</v>
      </c>
      <c r="B22" s="695"/>
      <c r="C22" s="506">
        <f>Dados!$G$35</f>
        <v>22</v>
      </c>
      <c r="D22" s="506">
        <f>Dados!$G$34</f>
        <v>2</v>
      </c>
      <c r="E22" s="505">
        <f>Dados!$G$33</f>
        <v>3</v>
      </c>
      <c r="F22" s="238">
        <f>IF(ROUND((E22*D22*C22)-(F11*Dados!G36),2)&lt;0,0,ROUND((E22*D22*C22)-(F11*Dados!G36),2))</f>
        <v>39.22</v>
      </c>
      <c r="G22" s="238">
        <f>F22</f>
        <v>39.22</v>
      </c>
      <c r="H22" s="238"/>
      <c r="I22" s="238">
        <f>F22</f>
        <v>39.22</v>
      </c>
      <c r="J22" s="492"/>
    </row>
    <row r="23" spans="1:12" ht="19.5" customHeight="1">
      <c r="A23" s="695" t="s">
        <v>289</v>
      </c>
      <c r="B23" s="695"/>
      <c r="C23" s="506">
        <f>Dados!G39</f>
        <v>22</v>
      </c>
      <c r="D23" s="507">
        <f>Dados!G40</f>
        <v>0.2</v>
      </c>
      <c r="E23" s="505">
        <f>Dados!G38</f>
        <v>0</v>
      </c>
      <c r="F23" s="508">
        <f>ROUND((IF(D11&lt;200,((C23*E23)-(C23*(D23*E23))),0)),2)</f>
        <v>0</v>
      </c>
      <c r="G23" s="238">
        <f>F23</f>
        <v>0</v>
      </c>
      <c r="H23" s="238">
        <f>$F$23</f>
        <v>0</v>
      </c>
      <c r="I23" s="508"/>
      <c r="J23" s="492"/>
    </row>
    <row r="24" spans="1:12" ht="19.5" customHeight="1">
      <c r="A24" s="695" t="s">
        <v>293</v>
      </c>
      <c r="B24" s="695"/>
      <c r="C24" s="506"/>
      <c r="D24" s="506"/>
      <c r="E24" s="505"/>
      <c r="F24" s="508">
        <f>Dados!G41</f>
        <v>0</v>
      </c>
      <c r="G24" s="238"/>
      <c r="H24" s="238"/>
      <c r="I24" s="508"/>
      <c r="J24" s="492"/>
    </row>
    <row r="25" spans="1:12" ht="19.5" customHeight="1">
      <c r="A25" s="695" t="s">
        <v>293</v>
      </c>
      <c r="B25" s="695"/>
      <c r="C25" s="506"/>
      <c r="D25" s="506"/>
      <c r="E25" s="505"/>
      <c r="F25" s="508">
        <f>Dados!G42</f>
        <v>0</v>
      </c>
      <c r="G25" s="238"/>
      <c r="H25" s="238"/>
      <c r="I25" s="508"/>
      <c r="J25" s="492"/>
    </row>
    <row r="26" spans="1:12" ht="19.5" customHeight="1">
      <c r="A26" s="695" t="s">
        <v>611</v>
      </c>
      <c r="B26" s="695"/>
      <c r="C26" s="506"/>
      <c r="D26" s="505"/>
      <c r="E26" s="505"/>
      <c r="F26" s="238"/>
      <c r="G26" s="238"/>
      <c r="H26" s="238"/>
      <c r="I26" s="238"/>
      <c r="J26" s="492"/>
      <c r="L26" s="51"/>
    </row>
    <row r="27" spans="1:12" ht="19.5" customHeight="1">
      <c r="A27" s="504" t="s">
        <v>612</v>
      </c>
      <c r="B27" s="369"/>
      <c r="C27" s="506"/>
      <c r="D27" s="505"/>
      <c r="E27" s="505"/>
      <c r="F27" s="238"/>
      <c r="G27" s="238"/>
      <c r="H27" s="238"/>
      <c r="I27" s="238"/>
      <c r="J27" s="492"/>
    </row>
    <row r="28" spans="1:12" ht="19.5" customHeight="1">
      <c r="A28" s="697" t="s">
        <v>613</v>
      </c>
      <c r="B28" s="697"/>
      <c r="C28" s="509"/>
      <c r="D28" s="510"/>
      <c r="E28" s="510"/>
      <c r="F28" s="497">
        <f>Dados!Q7</f>
        <v>0</v>
      </c>
      <c r="G28" s="497">
        <f>F28</f>
        <v>0</v>
      </c>
      <c r="H28" s="497"/>
      <c r="I28" s="497"/>
      <c r="J28" s="498"/>
    </row>
    <row r="29" spans="1:12" ht="19.5" customHeight="1">
      <c r="A29" s="698" t="s">
        <v>614</v>
      </c>
      <c r="B29" s="698"/>
      <c r="C29" s="698"/>
      <c r="D29" s="698"/>
      <c r="E29" s="698"/>
      <c r="F29" s="502">
        <f>SUM(F19:F28)</f>
        <v>155.33000000000001</v>
      </c>
      <c r="G29" s="502">
        <f>SUM(G19:G28)</f>
        <v>155.33000000000001</v>
      </c>
      <c r="H29" s="502">
        <f>SUM(H19:H28)</f>
        <v>0</v>
      </c>
      <c r="I29" s="502">
        <f>SUM(I19:I28)</f>
        <v>39.22</v>
      </c>
      <c r="J29" s="503">
        <f>SUM(J19:J28)</f>
        <v>0</v>
      </c>
    </row>
    <row r="30" spans="1:12" ht="19.5" customHeight="1">
      <c r="A30" s="698" t="s">
        <v>615</v>
      </c>
      <c r="B30" s="698"/>
      <c r="C30" s="698"/>
      <c r="D30" s="698"/>
      <c r="E30" s="698"/>
      <c r="F30" s="502">
        <f>F16+F29</f>
        <v>2923.91</v>
      </c>
      <c r="G30" s="502">
        <f>G16+G29</f>
        <v>2923.91</v>
      </c>
      <c r="H30" s="502">
        <f>H16+H29</f>
        <v>0</v>
      </c>
      <c r="I30" s="502">
        <f>I16+I29</f>
        <v>39.22</v>
      </c>
      <c r="J30" s="503">
        <f>J16+J29</f>
        <v>0</v>
      </c>
    </row>
    <row r="31" spans="1:12" ht="19.5" customHeight="1">
      <c r="A31" s="684" t="s">
        <v>616</v>
      </c>
      <c r="B31" s="684"/>
      <c r="C31" s="684"/>
      <c r="D31" s="684"/>
      <c r="E31" s="684"/>
      <c r="F31" s="684"/>
      <c r="G31" s="684"/>
      <c r="H31" s="684"/>
      <c r="I31" s="684"/>
      <c r="J31" s="684"/>
    </row>
    <row r="32" spans="1:12" ht="19.5" customHeight="1">
      <c r="A32" s="692" t="s">
        <v>617</v>
      </c>
      <c r="B32" s="692"/>
      <c r="C32" s="692"/>
      <c r="D32" s="75" t="s">
        <v>518</v>
      </c>
      <c r="E32" s="699" t="s">
        <v>454</v>
      </c>
      <c r="F32" s="699"/>
      <c r="G32" s="699"/>
      <c r="H32" s="699"/>
      <c r="I32" s="699"/>
      <c r="J32" s="699"/>
    </row>
    <row r="33" spans="1:12" ht="19.5" customHeight="1">
      <c r="A33" s="511" t="s">
        <v>618</v>
      </c>
      <c r="B33" s="512"/>
      <c r="C33" s="512"/>
      <c r="D33" s="370">
        <f>Dados!$G$45</f>
        <v>0.03</v>
      </c>
      <c r="E33" s="513"/>
      <c r="F33" s="238">
        <f>ROUND((F30*$D$33),2)</f>
        <v>87.72</v>
      </c>
      <c r="G33" s="238">
        <f>ROUND((G30*$D$33),2)</f>
        <v>87.72</v>
      </c>
      <c r="H33" s="238">
        <f>ROUND((H30*$D$33),2)</f>
        <v>0</v>
      </c>
      <c r="I33" s="238">
        <f>ROUND((I30*$D$33),2)</f>
        <v>1.18</v>
      </c>
      <c r="J33" s="492">
        <f>ROUND((J30*$D$33),2)</f>
        <v>0</v>
      </c>
    </row>
    <row r="34" spans="1:12" ht="19.5" customHeight="1">
      <c r="A34" s="700" t="s">
        <v>619</v>
      </c>
      <c r="B34" s="700"/>
      <c r="C34" s="700"/>
      <c r="D34" s="370"/>
      <c r="E34" s="513"/>
      <c r="F34" s="238">
        <f>F30+F33</f>
        <v>3011.6299999999997</v>
      </c>
      <c r="G34" s="238">
        <f>G30+G33</f>
        <v>3011.6299999999997</v>
      </c>
      <c r="H34" s="238">
        <f>H30+H33</f>
        <v>0</v>
      </c>
      <c r="I34" s="238">
        <f>I30+I33</f>
        <v>40.4</v>
      </c>
      <c r="J34" s="492">
        <f>J30+J33</f>
        <v>0</v>
      </c>
    </row>
    <row r="35" spans="1:12" ht="19.5" customHeight="1">
      <c r="A35" s="514" t="s">
        <v>298</v>
      </c>
      <c r="B35" s="515"/>
      <c r="C35" s="515"/>
      <c r="D35" s="516">
        <f>Dados!$G$46</f>
        <v>6.7900000000000002E-2</v>
      </c>
      <c r="E35" s="517"/>
      <c r="F35" s="497">
        <f>ROUND((F34*$D$35),2)</f>
        <v>204.49</v>
      </c>
      <c r="G35" s="497">
        <f>ROUND((G34*$D$35),2)</f>
        <v>204.49</v>
      </c>
      <c r="H35" s="497">
        <f>ROUND((H34*$D$35),2)</f>
        <v>0</v>
      </c>
      <c r="I35" s="497">
        <f>ROUND((I34*$D$35),2)</f>
        <v>2.74</v>
      </c>
      <c r="J35" s="498">
        <f>ROUND((J34*$D$35),2)</f>
        <v>0</v>
      </c>
    </row>
    <row r="36" spans="1:12" ht="19.5" customHeight="1">
      <c r="A36" s="518" t="s">
        <v>620</v>
      </c>
      <c r="B36" s="519"/>
      <c r="C36" s="519"/>
      <c r="D36" s="520">
        <f>SUM(D33:D35)</f>
        <v>9.7900000000000001E-2</v>
      </c>
      <c r="E36" s="521"/>
      <c r="F36" s="502">
        <f>F33+F35</f>
        <v>292.21000000000004</v>
      </c>
      <c r="G36" s="502">
        <f>G33+G35</f>
        <v>292.21000000000004</v>
      </c>
      <c r="H36" s="502">
        <f>H33+H35</f>
        <v>0</v>
      </c>
      <c r="I36" s="502">
        <f>I33+I35</f>
        <v>3.92</v>
      </c>
      <c r="J36" s="503">
        <f>J33+J35</f>
        <v>0</v>
      </c>
    </row>
    <row r="37" spans="1:12" ht="19.5" customHeight="1">
      <c r="A37" s="701" t="s">
        <v>621</v>
      </c>
      <c r="B37" s="701"/>
      <c r="C37" s="701"/>
      <c r="D37" s="701"/>
      <c r="E37" s="701"/>
      <c r="F37" s="522">
        <f>F30+F36</f>
        <v>3216.12</v>
      </c>
      <c r="G37" s="522">
        <f>G30+G36</f>
        <v>3216.12</v>
      </c>
      <c r="H37" s="522">
        <f>H30+H36</f>
        <v>0</v>
      </c>
      <c r="I37" s="522">
        <f>I30+I36</f>
        <v>43.14</v>
      </c>
      <c r="J37" s="523">
        <f>J30+J36</f>
        <v>0</v>
      </c>
    </row>
    <row r="38" spans="1:12" ht="19.5" customHeight="1">
      <c r="A38" s="702" t="s">
        <v>622</v>
      </c>
      <c r="B38" s="702"/>
      <c r="C38" s="702"/>
      <c r="D38" s="702"/>
      <c r="E38" s="702"/>
      <c r="F38" s="702"/>
      <c r="G38" s="702"/>
      <c r="H38" s="702"/>
      <c r="I38" s="702"/>
      <c r="J38" s="702"/>
    </row>
    <row r="39" spans="1:12" ht="19.5" customHeight="1">
      <c r="A39" s="695" t="s">
        <v>304</v>
      </c>
      <c r="B39" s="695"/>
      <c r="C39" s="695"/>
      <c r="D39" s="370">
        <f>Dados!G53</f>
        <v>7.5999999999999998E-2</v>
      </c>
      <c r="E39" s="238"/>
      <c r="F39" s="238">
        <f>ROUND(($F$45*D39),2)</f>
        <v>275.41000000000003</v>
      </c>
      <c r="G39" s="238">
        <f>ROUND((G45*$D$39),2)</f>
        <v>275.41000000000003</v>
      </c>
      <c r="H39" s="238">
        <f>ROUND((H45*$D$39),2)</f>
        <v>0</v>
      </c>
      <c r="I39" s="238">
        <f>ROUND((I45*$D$39),2)</f>
        <v>3.69</v>
      </c>
      <c r="J39" s="492">
        <f>ROUND((J45*$D$39),2)</f>
        <v>0</v>
      </c>
    </row>
    <row r="40" spans="1:12" ht="19.5" customHeight="1">
      <c r="A40" s="695" t="s">
        <v>306</v>
      </c>
      <c r="B40" s="695"/>
      <c r="C40" s="695"/>
      <c r="D40" s="370">
        <f>Dados!G54</f>
        <v>1.6500000000000001E-2</v>
      </c>
      <c r="E40" s="238"/>
      <c r="F40" s="238">
        <f>ROUND((F45*$D$40),2)</f>
        <v>59.79</v>
      </c>
      <c r="G40" s="238">
        <f>ROUND((G45*$D$40),2)</f>
        <v>59.79</v>
      </c>
      <c r="H40" s="238">
        <f>ROUND((H45*$D$40),2)</f>
        <v>0</v>
      </c>
      <c r="I40" s="238">
        <f>ROUND((I45*$D$40),2)</f>
        <v>0.8</v>
      </c>
      <c r="J40" s="492">
        <f>ROUND((J45*$D$40),2)</f>
        <v>0</v>
      </c>
    </row>
    <row r="41" spans="1:12" ht="19.5" customHeight="1">
      <c r="A41" s="695" t="s">
        <v>307</v>
      </c>
      <c r="B41" s="695"/>
      <c r="C41" s="695"/>
      <c r="D41" s="370">
        <f>Dados!G55</f>
        <v>0.02</v>
      </c>
      <c r="E41" s="238"/>
      <c r="F41" s="238">
        <f>ROUND((F45*$D$41),2)</f>
        <v>72.48</v>
      </c>
      <c r="G41" s="238">
        <f>ROUND((G45*$D$41),2)</f>
        <v>72.48</v>
      </c>
      <c r="H41" s="238">
        <f>ROUND((H45*$D$41),2)</f>
        <v>0</v>
      </c>
      <c r="I41" s="238">
        <f>ROUND((I45*$D$41),2)</f>
        <v>0.97</v>
      </c>
      <c r="J41" s="492">
        <f>ROUND((J45*$D$41),2)</f>
        <v>0</v>
      </c>
    </row>
    <row r="42" spans="1:12" ht="19.5" customHeight="1">
      <c r="A42" s="695" t="s">
        <v>293</v>
      </c>
      <c r="B42" s="695"/>
      <c r="C42" s="695"/>
      <c r="D42" s="370">
        <f>Dados!G56</f>
        <v>0</v>
      </c>
      <c r="E42" s="238"/>
      <c r="F42" s="238">
        <f>ROUND((F45*$D$42),2)</f>
        <v>0</v>
      </c>
      <c r="G42" s="238">
        <f>ROUND((G45*$D$42),2)</f>
        <v>0</v>
      </c>
      <c r="H42" s="238">
        <f>ROUND((H45*$D$42),2)</f>
        <v>0</v>
      </c>
      <c r="I42" s="238">
        <f>ROUND((I45*$D$42),2)</f>
        <v>0</v>
      </c>
      <c r="J42" s="492">
        <f>ROUND((J45*$D$42),2)</f>
        <v>0</v>
      </c>
    </row>
    <row r="43" spans="1:12" ht="19.5" customHeight="1">
      <c r="A43" s="704" t="s">
        <v>623</v>
      </c>
      <c r="B43" s="704"/>
      <c r="C43" s="704"/>
      <c r="D43" s="524">
        <f>SUM(D39:D42)</f>
        <v>0.1125</v>
      </c>
      <c r="E43" s="525"/>
      <c r="F43" s="526">
        <f>SUM(F39:F42)</f>
        <v>407.68000000000006</v>
      </c>
      <c r="G43" s="526">
        <f>SUM(G39:G42)</f>
        <v>407.68000000000006</v>
      </c>
      <c r="H43" s="526">
        <f>SUM(H39:H42)</f>
        <v>0</v>
      </c>
      <c r="I43" s="526">
        <f>SUM(I39:I42)</f>
        <v>5.46</v>
      </c>
      <c r="J43" s="527">
        <f>SUM(J39:J41)</f>
        <v>0</v>
      </c>
    </row>
    <row r="44" spans="1:12" ht="19.5" customHeight="1">
      <c r="A44" s="705" t="str">
        <f>CONCATENATE("Custo Mensal - ",A7)</f>
        <v>Custo Mensal - Assistente Administrativo</v>
      </c>
      <c r="B44" s="705"/>
      <c r="C44" s="705"/>
      <c r="D44" s="705"/>
      <c r="E44" s="705"/>
      <c r="F44" s="528">
        <f>ROUND(F37/(1-D43),2)</f>
        <v>3623.8</v>
      </c>
      <c r="G44" s="528">
        <f>ROUND(G37/(1-D43),2)</f>
        <v>3623.8</v>
      </c>
      <c r="H44" s="528">
        <f>ROUND(H37/(1-D43),2)</f>
        <v>0</v>
      </c>
      <c r="I44" s="528">
        <f>ROUND(I37/(1-D43),2)</f>
        <v>48.61</v>
      </c>
      <c r="J44" s="529">
        <f>ROUND(J37/(1-D43),2)</f>
        <v>0</v>
      </c>
    </row>
    <row r="45" spans="1:12" ht="19.5" customHeight="1">
      <c r="A45" s="706" t="str">
        <f>CONCATENATE("Valor do Custo Mensal - ",A7)</f>
        <v>Valor do Custo Mensal - Assistente Administrativo</v>
      </c>
      <c r="B45" s="706"/>
      <c r="C45" s="706"/>
      <c r="D45" s="706"/>
      <c r="E45" s="706"/>
      <c r="F45" s="528">
        <f>F44</f>
        <v>3623.8</v>
      </c>
      <c r="G45" s="528">
        <f>G44</f>
        <v>3623.8</v>
      </c>
      <c r="H45" s="528">
        <f>H44</f>
        <v>0</v>
      </c>
      <c r="I45" s="528">
        <f>I44</f>
        <v>48.61</v>
      </c>
      <c r="J45" s="529">
        <f>J44</f>
        <v>0</v>
      </c>
      <c r="K45" s="530"/>
      <c r="L45" s="530"/>
    </row>
    <row r="46" spans="1:12" ht="27.75" customHeight="1">
      <c r="A46" s="707" t="s">
        <v>624</v>
      </c>
      <c r="B46" s="707"/>
      <c r="C46" s="707"/>
      <c r="D46" s="707"/>
      <c r="E46" s="707"/>
      <c r="F46" s="531">
        <f>(F45/F14)</f>
        <v>2.3435903405636829</v>
      </c>
      <c r="G46" s="531">
        <f>(G45/G14)</f>
        <v>2.3435903405636829</v>
      </c>
      <c r="H46" s="703" t="s">
        <v>625</v>
      </c>
      <c r="I46" s="703"/>
      <c r="J46" s="532">
        <v>0</v>
      </c>
    </row>
    <row r="47" spans="1:12" ht="19.5" customHeight="1"/>
  </sheetData>
  <sheetProtection algorithmName="SHA-512" hashValue="6IZF3lrFJF6onkU98itfSihn56GecicjJNMsXXJie5JlbOplqcDZWUK/y7nq9uCYeJD2aBARGYnexDy1Ht6DRw==" saltValue="TL+vI2wr9MT4SU2arFK6Bw==" spinCount="100000" sheet="1" objects="1" scenarios="1"/>
  <mergeCells count="49">
    <mergeCell ref="H46:I46"/>
    <mergeCell ref="A42:C42"/>
    <mergeCell ref="A43:C43"/>
    <mergeCell ref="A44:E44"/>
    <mergeCell ref="A45:E45"/>
    <mergeCell ref="A46:E46"/>
    <mergeCell ref="A37:E37"/>
    <mergeCell ref="A38:J38"/>
    <mergeCell ref="A39:C39"/>
    <mergeCell ref="A40:C40"/>
    <mergeCell ref="A41:C41"/>
    <mergeCell ref="A30:E30"/>
    <mergeCell ref="A31:J31"/>
    <mergeCell ref="A32:C32"/>
    <mergeCell ref="E32:J32"/>
    <mergeCell ref="A34:C34"/>
    <mergeCell ref="A24:B24"/>
    <mergeCell ref="A25:B25"/>
    <mergeCell ref="A26:B26"/>
    <mergeCell ref="A28:B28"/>
    <mergeCell ref="A29:E29"/>
    <mergeCell ref="A19:B19"/>
    <mergeCell ref="A20:B20"/>
    <mergeCell ref="A21:B21"/>
    <mergeCell ref="A22:B22"/>
    <mergeCell ref="A23:B23"/>
    <mergeCell ref="A16:E16"/>
    <mergeCell ref="A17:J17"/>
    <mergeCell ref="A18:B18"/>
    <mergeCell ref="D18:E18"/>
    <mergeCell ref="F18:J18"/>
    <mergeCell ref="A9:J9"/>
    <mergeCell ref="B10:C10"/>
    <mergeCell ref="F10:J10"/>
    <mergeCell ref="A11:A15"/>
    <mergeCell ref="B11:C11"/>
    <mergeCell ref="B12:C12"/>
    <mergeCell ref="B14:E14"/>
    <mergeCell ref="B15:D15"/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J47"/>
  <sheetViews>
    <sheetView showGridLines="0" zoomScaleNormal="100" workbookViewId="0">
      <selection activeCell="H44" sqref="H44"/>
    </sheetView>
  </sheetViews>
  <sheetFormatPr defaultColWidth="9.140625" defaultRowHeight="15"/>
  <cols>
    <col min="1" max="1" width="10.5703125" style="61" customWidth="1"/>
    <col min="2" max="2" width="27.7109375" style="61" customWidth="1"/>
    <col min="3" max="3" width="14.42578125" style="61" customWidth="1"/>
    <col min="4" max="5" width="15" style="61" customWidth="1"/>
    <col min="6" max="6" width="16.7109375" style="478" customWidth="1"/>
    <col min="7" max="8" width="13.140625" style="478" customWidth="1"/>
    <col min="9" max="10" width="12.5703125" style="478" customWidth="1"/>
    <col min="11" max="257" width="9.140625" style="61"/>
    <col min="258" max="258" width="10.5703125" style="61" customWidth="1"/>
    <col min="259" max="259" width="27.7109375" style="61" customWidth="1"/>
    <col min="260" max="260" width="14.42578125" style="61" customWidth="1"/>
    <col min="261" max="262" width="15" style="61" customWidth="1"/>
    <col min="263" max="263" width="16.7109375" style="61" customWidth="1"/>
    <col min="264" max="264" width="13.140625" style="61" customWidth="1"/>
    <col min="265" max="266" width="12.5703125" style="61" customWidth="1"/>
    <col min="267" max="513" width="9.140625" style="61"/>
    <col min="514" max="514" width="10.5703125" style="61" customWidth="1"/>
    <col min="515" max="515" width="27.7109375" style="61" customWidth="1"/>
    <col min="516" max="516" width="14.42578125" style="61" customWidth="1"/>
    <col min="517" max="518" width="15" style="61" customWidth="1"/>
    <col min="519" max="519" width="16.7109375" style="61" customWidth="1"/>
    <col min="520" max="520" width="13.140625" style="61" customWidth="1"/>
    <col min="521" max="522" width="12.5703125" style="61" customWidth="1"/>
    <col min="523" max="769" width="9.140625" style="61"/>
    <col min="770" max="770" width="10.5703125" style="61" customWidth="1"/>
    <col min="771" max="771" width="27.7109375" style="61" customWidth="1"/>
    <col min="772" max="772" width="14.42578125" style="61" customWidth="1"/>
    <col min="773" max="774" width="15" style="61" customWidth="1"/>
    <col min="775" max="775" width="16.7109375" style="61" customWidth="1"/>
    <col min="776" max="776" width="13.140625" style="61" customWidth="1"/>
    <col min="777" max="778" width="12.5703125" style="61" customWidth="1"/>
    <col min="779" max="1024" width="9.140625" style="61"/>
  </cols>
  <sheetData>
    <row r="1" spans="1:10">
      <c r="A1" s="479"/>
      <c r="B1" s="108" t="str">
        <f>INSTRUÇÕES!B1</f>
        <v>Tribunal Regional Federal da 6ª Região</v>
      </c>
      <c r="C1" s="480"/>
      <c r="D1" s="480"/>
      <c r="E1" s="480"/>
      <c r="F1" s="481"/>
      <c r="G1" s="482"/>
      <c r="H1" s="482"/>
      <c r="I1" s="481"/>
      <c r="J1" s="483"/>
    </row>
    <row r="2" spans="1:10">
      <c r="A2" s="484"/>
      <c r="B2" s="110" t="str">
        <f>INSTRUÇÕES!B2</f>
        <v>Seção Judiciária de Minas Gerais</v>
      </c>
      <c r="C2" s="51"/>
      <c r="D2" s="51"/>
      <c r="E2" s="51"/>
      <c r="F2" s="485"/>
      <c r="I2" s="485"/>
      <c r="J2" s="486"/>
    </row>
    <row r="3" spans="1:10">
      <c r="A3" s="185"/>
      <c r="B3" s="362" t="str">
        <f>INSTRUÇÕES!B3</f>
        <v>Subseção Judiciária de Pouso Alegre</v>
      </c>
      <c r="C3" s="51"/>
      <c r="D3" s="51"/>
      <c r="E3" s="51"/>
      <c r="F3" s="485"/>
      <c r="I3" s="485"/>
      <c r="J3" s="486"/>
    </row>
    <row r="4" spans="1:10" ht="19.5" customHeight="1">
      <c r="A4" s="676" t="s">
        <v>590</v>
      </c>
      <c r="B4" s="676"/>
      <c r="C4" s="676"/>
      <c r="D4" s="676"/>
      <c r="E4" s="676"/>
      <c r="F4" s="676"/>
      <c r="G4" s="676"/>
      <c r="H4" s="676"/>
      <c r="I4" s="676"/>
      <c r="J4" s="676"/>
    </row>
    <row r="5" spans="1:10" ht="19.5" customHeight="1">
      <c r="A5" s="679" t="s">
        <v>350</v>
      </c>
      <c r="B5" s="679"/>
      <c r="C5" s="679"/>
      <c r="D5" s="679"/>
      <c r="E5" s="679"/>
      <c r="F5" s="679"/>
      <c r="G5" s="679"/>
      <c r="H5" s="679"/>
      <c r="I5" s="679"/>
      <c r="J5" s="679"/>
    </row>
    <row r="6" spans="1:10" ht="36" customHeight="1">
      <c r="A6" s="680" t="str">
        <f>Dados!A4</f>
        <v>Sindicato utilizado - SEAC/MG. Vigência: 01/01/2024 à 31/12/2024. Sendo a data base da categoria 01º Janeiro. Com número de registro no MTE MG000705/2024.</v>
      </c>
      <c r="B6" s="680"/>
      <c r="C6" s="680"/>
      <c r="D6" s="680"/>
      <c r="E6" s="680"/>
      <c r="F6" s="680"/>
      <c r="G6" s="680"/>
      <c r="H6" s="680"/>
      <c r="I6" s="680"/>
      <c r="J6" s="680"/>
    </row>
    <row r="7" spans="1:10" ht="19.5" customHeight="1">
      <c r="A7" s="681" t="str">
        <f>Dados!C9</f>
        <v>Servente de Limpeza (40%)</v>
      </c>
      <c r="B7" s="681"/>
      <c r="C7" s="681"/>
      <c r="D7" s="681"/>
      <c r="E7" s="681"/>
      <c r="F7" s="682" t="s">
        <v>591</v>
      </c>
      <c r="G7" s="682" t="s">
        <v>592</v>
      </c>
      <c r="H7" s="682" t="s">
        <v>593</v>
      </c>
      <c r="I7" s="682" t="s">
        <v>594</v>
      </c>
      <c r="J7" s="682" t="s">
        <v>595</v>
      </c>
    </row>
    <row r="8" spans="1:10" ht="19.5" customHeight="1">
      <c r="A8" s="683" t="s">
        <v>596</v>
      </c>
      <c r="B8" s="683"/>
      <c r="C8" s="683"/>
      <c r="D8" s="683"/>
      <c r="E8" s="487" t="s">
        <v>450</v>
      </c>
      <c r="F8" s="682"/>
      <c r="G8" s="682"/>
      <c r="H8" s="682"/>
      <c r="I8" s="682"/>
      <c r="J8" s="682"/>
    </row>
    <row r="9" spans="1:10" ht="19.5" customHeight="1">
      <c r="A9" s="684" t="s">
        <v>597</v>
      </c>
      <c r="B9" s="684"/>
      <c r="C9" s="684"/>
      <c r="D9" s="684"/>
      <c r="E9" s="684"/>
      <c r="F9" s="684"/>
      <c r="G9" s="684"/>
      <c r="H9" s="684"/>
      <c r="I9" s="684"/>
      <c r="J9" s="684"/>
    </row>
    <row r="10" spans="1:10" ht="24" customHeight="1">
      <c r="A10" s="190" t="s">
        <v>451</v>
      </c>
      <c r="B10" s="685" t="s">
        <v>598</v>
      </c>
      <c r="C10" s="685"/>
      <c r="D10" s="488" t="s">
        <v>599</v>
      </c>
      <c r="E10" s="489" t="s">
        <v>600</v>
      </c>
      <c r="F10" s="686" t="s">
        <v>454</v>
      </c>
      <c r="G10" s="686"/>
      <c r="H10" s="686"/>
      <c r="I10" s="686"/>
      <c r="J10" s="686"/>
    </row>
    <row r="11" spans="1:10" ht="19.5" customHeight="1">
      <c r="A11" s="687">
        <v>1</v>
      </c>
      <c r="B11" s="648" t="str">
        <f>A7</f>
        <v>Servente de Limpeza (40%)</v>
      </c>
      <c r="C11" s="648"/>
      <c r="D11" s="490">
        <f>Dados!D9</f>
        <v>220</v>
      </c>
      <c r="E11" s="491">
        <f>Dados!E9</f>
        <v>1491.84</v>
      </c>
      <c r="F11" s="238">
        <f>ROUND(E11/220*D11,2)</f>
        <v>1491.84</v>
      </c>
      <c r="G11" s="238">
        <f>F11</f>
        <v>1491.84</v>
      </c>
      <c r="H11" s="238"/>
      <c r="I11" s="238"/>
      <c r="J11" s="492"/>
    </row>
    <row r="12" spans="1:10" ht="19.5" customHeight="1">
      <c r="A12" s="687"/>
      <c r="B12" s="648" t="s">
        <v>601</v>
      </c>
      <c r="C12" s="648"/>
      <c r="D12" s="533">
        <f>Dados!G9</f>
        <v>0.4</v>
      </c>
      <c r="E12" s="491">
        <f>Dados!G28</f>
        <v>1412</v>
      </c>
      <c r="F12" s="238">
        <f>D12*E12</f>
        <v>564.80000000000007</v>
      </c>
      <c r="G12" s="238">
        <f>F12</f>
        <v>564.80000000000007</v>
      </c>
      <c r="H12" s="238"/>
      <c r="I12" s="238"/>
      <c r="J12" s="492">
        <f>F12</f>
        <v>564.80000000000007</v>
      </c>
    </row>
    <row r="13" spans="1:10" ht="20.25" customHeight="1">
      <c r="A13" s="687"/>
      <c r="B13" s="494" t="s">
        <v>602</v>
      </c>
      <c r="C13" s="495">
        <f>Dados!I9</f>
        <v>0</v>
      </c>
      <c r="D13" s="495">
        <f>Dados!J9</f>
        <v>0</v>
      </c>
      <c r="E13" s="496">
        <f>Dados!L9</f>
        <v>0</v>
      </c>
      <c r="F13" s="497">
        <f>ROUND((E13*D13*C13),2)</f>
        <v>0</v>
      </c>
      <c r="G13" s="497">
        <f>F13</f>
        <v>0</v>
      </c>
      <c r="H13" s="497"/>
      <c r="I13" s="497"/>
      <c r="J13" s="498"/>
    </row>
    <row r="14" spans="1:10" ht="19.5" customHeight="1">
      <c r="A14" s="687"/>
      <c r="B14" s="688" t="s">
        <v>603</v>
      </c>
      <c r="C14" s="688"/>
      <c r="D14" s="688"/>
      <c r="E14" s="688"/>
      <c r="F14" s="499">
        <f>SUM(F11:F13)</f>
        <v>2056.64</v>
      </c>
      <c r="G14" s="499">
        <f>SUM(G11:G13)</f>
        <v>2056.64</v>
      </c>
      <c r="H14" s="499">
        <f>SUM(H11:H13)</f>
        <v>0</v>
      </c>
      <c r="I14" s="499">
        <f>SUM(I11:I13)</f>
        <v>0</v>
      </c>
      <c r="J14" s="500">
        <f>SUM(J11:J13)</f>
        <v>564.80000000000007</v>
      </c>
    </row>
    <row r="15" spans="1:10" ht="19.5" customHeight="1">
      <c r="A15" s="687"/>
      <c r="B15" s="689" t="s">
        <v>604</v>
      </c>
      <c r="C15" s="689"/>
      <c r="D15" s="689"/>
      <c r="E15" s="501">
        <f>Encargos!$C$57</f>
        <v>0.79049999999999998</v>
      </c>
      <c r="F15" s="238">
        <f>ROUND((E15*F14),2)</f>
        <v>1625.77</v>
      </c>
      <c r="G15" s="238">
        <f>F15</f>
        <v>1625.77</v>
      </c>
      <c r="H15" s="238"/>
      <c r="I15" s="238"/>
      <c r="J15" s="492">
        <f>ROUND((E15*J14),2)</f>
        <v>446.47</v>
      </c>
    </row>
    <row r="16" spans="1:10" ht="19.5" customHeight="1">
      <c r="A16" s="690" t="s">
        <v>605</v>
      </c>
      <c r="B16" s="690"/>
      <c r="C16" s="690"/>
      <c r="D16" s="690"/>
      <c r="E16" s="690"/>
      <c r="F16" s="502">
        <f>SUM(F14:F15)</f>
        <v>3682.41</v>
      </c>
      <c r="G16" s="502">
        <f>SUM(G14:G15)</f>
        <v>3682.41</v>
      </c>
      <c r="H16" s="502">
        <f>SUM(H14:H15)</f>
        <v>0</v>
      </c>
      <c r="I16" s="502">
        <f>SUM(I14:I15)</f>
        <v>0</v>
      </c>
      <c r="J16" s="503">
        <f>SUM(J14:J15)</f>
        <v>1011.2700000000001</v>
      </c>
    </row>
    <row r="17" spans="1:12" ht="19.5" customHeight="1">
      <c r="A17" s="691" t="s">
        <v>606</v>
      </c>
      <c r="B17" s="691"/>
      <c r="C17" s="691"/>
      <c r="D17" s="691"/>
      <c r="E17" s="691"/>
      <c r="F17" s="691"/>
      <c r="G17" s="691"/>
      <c r="H17" s="691"/>
      <c r="I17" s="691"/>
      <c r="J17" s="691"/>
    </row>
    <row r="18" spans="1:12" ht="19.5" customHeight="1">
      <c r="A18" s="692" t="s">
        <v>607</v>
      </c>
      <c r="B18" s="692"/>
      <c r="C18" s="37" t="s">
        <v>453</v>
      </c>
      <c r="D18" s="693" t="s">
        <v>608</v>
      </c>
      <c r="E18" s="693"/>
      <c r="F18" s="694" t="s">
        <v>454</v>
      </c>
      <c r="G18" s="694"/>
      <c r="H18" s="694"/>
      <c r="I18" s="694"/>
      <c r="J18" s="694"/>
    </row>
    <row r="19" spans="1:12" ht="19.5" customHeight="1">
      <c r="A19" s="695" t="s">
        <v>609</v>
      </c>
      <c r="B19" s="695"/>
      <c r="C19" s="505"/>
      <c r="D19" s="505"/>
      <c r="E19" s="505"/>
      <c r="F19" s="238">
        <f>Dados!N9</f>
        <v>44.07</v>
      </c>
      <c r="G19" s="238">
        <f>F19</f>
        <v>44.07</v>
      </c>
      <c r="H19" s="238"/>
      <c r="I19" s="238"/>
      <c r="J19" s="492"/>
    </row>
    <row r="20" spans="1:12" ht="19.5" customHeight="1">
      <c r="A20" s="695" t="s">
        <v>610</v>
      </c>
      <c r="B20" s="695"/>
      <c r="C20" s="505"/>
      <c r="D20" s="505"/>
      <c r="E20" s="505"/>
      <c r="F20" s="238">
        <f>Dados!G31</f>
        <v>16.75</v>
      </c>
      <c r="G20" s="238">
        <f>F20</f>
        <v>16.75</v>
      </c>
      <c r="H20" s="238"/>
      <c r="I20" s="238"/>
      <c r="J20" s="492"/>
    </row>
    <row r="21" spans="1:12" ht="23.25" customHeight="1">
      <c r="A21" s="696" t="s">
        <v>279</v>
      </c>
      <c r="B21" s="696"/>
      <c r="C21" s="505"/>
      <c r="D21" s="505"/>
      <c r="E21" s="505"/>
      <c r="F21" s="238">
        <f>Dados!G32</f>
        <v>48.43</v>
      </c>
      <c r="G21" s="238">
        <f>F21</f>
        <v>48.43</v>
      </c>
      <c r="H21" s="238"/>
      <c r="I21" s="238"/>
      <c r="J21" s="492"/>
    </row>
    <row r="22" spans="1:12" ht="19.5" customHeight="1">
      <c r="A22" s="695" t="s">
        <v>280</v>
      </c>
      <c r="B22" s="695"/>
      <c r="C22" s="506">
        <f>Dados!$G$35</f>
        <v>22</v>
      </c>
      <c r="D22" s="506">
        <f>Dados!$G$34</f>
        <v>2</v>
      </c>
      <c r="E22" s="505">
        <f>Dados!$G$33</f>
        <v>3</v>
      </c>
      <c r="F22" s="238">
        <f>IF(ROUND((E22*D22*C22)-(F11*Dados!G36),2)&lt;0,0,ROUND((E22*D22*C22)-(F11*Dados!G36),2))</f>
        <v>42.49</v>
      </c>
      <c r="G22" s="238">
        <f>F22</f>
        <v>42.49</v>
      </c>
      <c r="H22" s="238"/>
      <c r="I22" s="238">
        <f>F22</f>
        <v>42.49</v>
      </c>
      <c r="J22" s="492"/>
    </row>
    <row r="23" spans="1:12" ht="19.5" customHeight="1">
      <c r="A23" s="695" t="s">
        <v>289</v>
      </c>
      <c r="B23" s="695"/>
      <c r="C23" s="506">
        <f>Dados!G39</f>
        <v>22</v>
      </c>
      <c r="D23" s="507">
        <f>Dados!G40</f>
        <v>0.2</v>
      </c>
      <c r="E23" s="505">
        <f>Dados!G37</f>
        <v>27.24</v>
      </c>
      <c r="F23" s="508">
        <f>ROUND((IF(D11&gt;150,((C23*E23)-(C23*(D23*E23))),0)),2)</f>
        <v>479.42</v>
      </c>
      <c r="G23" s="238">
        <f>F23</f>
        <v>479.42</v>
      </c>
      <c r="H23" s="238">
        <f>$F$23</f>
        <v>479.42</v>
      </c>
      <c r="I23" s="508"/>
      <c r="J23" s="492"/>
    </row>
    <row r="24" spans="1:12" ht="19.5" customHeight="1">
      <c r="A24" s="695" t="s">
        <v>293</v>
      </c>
      <c r="B24" s="695"/>
      <c r="C24" s="506"/>
      <c r="D24" s="506"/>
      <c r="E24" s="505"/>
      <c r="F24" s="508">
        <f>Dados!G41</f>
        <v>0</v>
      </c>
      <c r="G24" s="238"/>
      <c r="H24" s="238"/>
      <c r="I24" s="508"/>
      <c r="J24" s="492"/>
    </row>
    <row r="25" spans="1:12" ht="19.5" customHeight="1">
      <c r="A25" s="695" t="s">
        <v>293</v>
      </c>
      <c r="B25" s="695"/>
      <c r="C25" s="506"/>
      <c r="D25" s="506"/>
      <c r="E25" s="505"/>
      <c r="F25" s="508">
        <f>Dados!G42</f>
        <v>0</v>
      </c>
      <c r="G25" s="238"/>
      <c r="H25" s="238"/>
      <c r="I25" s="508"/>
      <c r="J25" s="492"/>
    </row>
    <row r="26" spans="1:12" ht="19.5" customHeight="1">
      <c r="A26" s="695" t="s">
        <v>611</v>
      </c>
      <c r="B26" s="695"/>
      <c r="C26" s="506"/>
      <c r="D26" s="505"/>
      <c r="E26" s="505"/>
      <c r="F26" s="238">
        <f>Dados!O9</f>
        <v>723.59</v>
      </c>
      <c r="G26" s="238"/>
      <c r="H26" s="238"/>
      <c r="I26" s="238"/>
      <c r="J26" s="492"/>
      <c r="L26" s="51"/>
    </row>
    <row r="27" spans="1:12" ht="19.5" customHeight="1">
      <c r="A27" s="504" t="s">
        <v>612</v>
      </c>
      <c r="B27" s="369"/>
      <c r="C27" s="506"/>
      <c r="D27" s="505"/>
      <c r="E27" s="505"/>
      <c r="F27" s="238"/>
      <c r="G27" s="238"/>
      <c r="H27" s="238"/>
      <c r="I27" s="238"/>
      <c r="J27" s="492"/>
    </row>
    <row r="28" spans="1:12" ht="19.5" customHeight="1">
      <c r="A28" s="697" t="s">
        <v>613</v>
      </c>
      <c r="B28" s="697"/>
      <c r="C28" s="509"/>
      <c r="D28" s="510"/>
      <c r="E28" s="510"/>
      <c r="F28" s="497">
        <f>Dados!Q9</f>
        <v>12.68</v>
      </c>
      <c r="G28" s="497">
        <f>F28</f>
        <v>12.68</v>
      </c>
      <c r="H28" s="497"/>
      <c r="I28" s="497"/>
      <c r="J28" s="498"/>
    </row>
    <row r="29" spans="1:12" ht="19.5" customHeight="1">
      <c r="A29" s="698" t="s">
        <v>614</v>
      </c>
      <c r="B29" s="698"/>
      <c r="C29" s="698"/>
      <c r="D29" s="698"/>
      <c r="E29" s="698"/>
      <c r="F29" s="502">
        <f>SUM(F19:F28)</f>
        <v>1367.43</v>
      </c>
      <c r="G29" s="502">
        <f>SUM(G19:G28)</f>
        <v>643.84</v>
      </c>
      <c r="H29" s="502">
        <f>SUM(H19:H28)</f>
        <v>479.42</v>
      </c>
      <c r="I29" s="502">
        <f>SUM(I19:I28)</f>
        <v>42.49</v>
      </c>
      <c r="J29" s="503">
        <f>SUM(J19:J28)</f>
        <v>0</v>
      </c>
    </row>
    <row r="30" spans="1:12" ht="19.5" customHeight="1">
      <c r="A30" s="698" t="s">
        <v>615</v>
      </c>
      <c r="B30" s="698"/>
      <c r="C30" s="698"/>
      <c r="D30" s="698"/>
      <c r="E30" s="698"/>
      <c r="F30" s="502">
        <f>F16+F29</f>
        <v>5049.84</v>
      </c>
      <c r="G30" s="502">
        <f>G16+G29</f>
        <v>4326.25</v>
      </c>
      <c r="H30" s="502">
        <f>H16+H29</f>
        <v>479.42</v>
      </c>
      <c r="I30" s="502">
        <f>I16+I29</f>
        <v>42.49</v>
      </c>
      <c r="J30" s="503">
        <f>J16+J29</f>
        <v>1011.2700000000001</v>
      </c>
    </row>
    <row r="31" spans="1:12" ht="19.5" customHeight="1">
      <c r="A31" s="684" t="s">
        <v>616</v>
      </c>
      <c r="B31" s="684"/>
      <c r="C31" s="684"/>
      <c r="D31" s="684"/>
      <c r="E31" s="684"/>
      <c r="F31" s="684"/>
      <c r="G31" s="684"/>
      <c r="H31" s="684"/>
      <c r="I31" s="684"/>
      <c r="J31" s="684"/>
    </row>
    <row r="32" spans="1:12" ht="19.5" customHeight="1">
      <c r="A32" s="692" t="s">
        <v>617</v>
      </c>
      <c r="B32" s="692"/>
      <c r="C32" s="692"/>
      <c r="D32" s="75" t="s">
        <v>518</v>
      </c>
      <c r="E32" s="699" t="s">
        <v>454</v>
      </c>
      <c r="F32" s="699"/>
      <c r="G32" s="699"/>
      <c r="H32" s="699"/>
      <c r="I32" s="699"/>
      <c r="J32" s="699"/>
    </row>
    <row r="33" spans="1:12" ht="19.5" customHeight="1">
      <c r="A33" s="511" t="s">
        <v>618</v>
      </c>
      <c r="B33" s="512"/>
      <c r="C33" s="512"/>
      <c r="D33" s="370">
        <f>Dados!$G$45</f>
        <v>0.03</v>
      </c>
      <c r="E33" s="513"/>
      <c r="F33" s="238">
        <f>ROUND((F30*$D$33),2)</f>
        <v>151.5</v>
      </c>
      <c r="G33" s="238">
        <f>ROUND((G30*$D$33),2)</f>
        <v>129.79</v>
      </c>
      <c r="H33" s="238">
        <f>ROUND((H30*$D$33),2)</f>
        <v>14.38</v>
      </c>
      <c r="I33" s="238">
        <f>ROUND((I30*$D$33),2)</f>
        <v>1.27</v>
      </c>
      <c r="J33" s="492">
        <f>ROUND((J30*$D$33),2)</f>
        <v>30.34</v>
      </c>
    </row>
    <row r="34" spans="1:12" ht="19.5" customHeight="1">
      <c r="A34" s="700" t="s">
        <v>619</v>
      </c>
      <c r="B34" s="700"/>
      <c r="C34" s="700"/>
      <c r="D34" s="370"/>
      <c r="E34" s="513"/>
      <c r="F34" s="238">
        <f>F30+F33</f>
        <v>5201.34</v>
      </c>
      <c r="G34" s="238">
        <f>G30+G33</f>
        <v>4456.04</v>
      </c>
      <c r="H34" s="238">
        <f>H30+H33</f>
        <v>493.8</v>
      </c>
      <c r="I34" s="238">
        <f>I30+I33</f>
        <v>43.760000000000005</v>
      </c>
      <c r="J34" s="492">
        <f>J30+J33</f>
        <v>1041.6100000000001</v>
      </c>
    </row>
    <row r="35" spans="1:12" ht="19.5" customHeight="1">
      <c r="A35" s="514" t="s">
        <v>298</v>
      </c>
      <c r="B35" s="515"/>
      <c r="C35" s="515"/>
      <c r="D35" s="516">
        <f>Dados!$G$46</f>
        <v>6.7900000000000002E-2</v>
      </c>
      <c r="E35" s="517"/>
      <c r="F35" s="497">
        <f>ROUND((F34*$D$35),2)</f>
        <v>353.17</v>
      </c>
      <c r="G35" s="497">
        <f>ROUND((G34*$D$35),2)</f>
        <v>302.57</v>
      </c>
      <c r="H35" s="497">
        <f>ROUND((H34*$D$35),2)</f>
        <v>33.53</v>
      </c>
      <c r="I35" s="497">
        <f>ROUND((I34*$D$35),2)</f>
        <v>2.97</v>
      </c>
      <c r="J35" s="498">
        <f>ROUND((J34*$D$35),2)</f>
        <v>70.73</v>
      </c>
    </row>
    <row r="36" spans="1:12" ht="19.5" customHeight="1">
      <c r="A36" s="518" t="s">
        <v>620</v>
      </c>
      <c r="B36" s="519"/>
      <c r="C36" s="519"/>
      <c r="D36" s="520">
        <f>SUM(D33:D35)</f>
        <v>9.7900000000000001E-2</v>
      </c>
      <c r="E36" s="521"/>
      <c r="F36" s="502">
        <f>F33+F35</f>
        <v>504.67</v>
      </c>
      <c r="G36" s="502">
        <f>G33+G35</f>
        <v>432.36</v>
      </c>
      <c r="H36" s="502">
        <f>H33+H35</f>
        <v>47.910000000000004</v>
      </c>
      <c r="I36" s="502">
        <f>I33+I35</f>
        <v>4.24</v>
      </c>
      <c r="J36" s="503">
        <f>J33+J35</f>
        <v>101.07000000000001</v>
      </c>
    </row>
    <row r="37" spans="1:12" ht="19.5" customHeight="1">
      <c r="A37" s="701" t="s">
        <v>621</v>
      </c>
      <c r="B37" s="701"/>
      <c r="C37" s="701"/>
      <c r="D37" s="701"/>
      <c r="E37" s="701"/>
      <c r="F37" s="522">
        <f>F30+F36</f>
        <v>5554.51</v>
      </c>
      <c r="G37" s="522">
        <f>G30+G36</f>
        <v>4758.6099999999997</v>
      </c>
      <c r="H37" s="522">
        <f>H30+H36</f>
        <v>527.33000000000004</v>
      </c>
      <c r="I37" s="522">
        <f>I30+I36</f>
        <v>46.730000000000004</v>
      </c>
      <c r="J37" s="523">
        <f>J30+J36</f>
        <v>1112.3400000000001</v>
      </c>
    </row>
    <row r="38" spans="1:12" ht="19.5" customHeight="1">
      <c r="A38" s="702" t="s">
        <v>622</v>
      </c>
      <c r="B38" s="702"/>
      <c r="C38" s="702"/>
      <c r="D38" s="702"/>
      <c r="E38" s="702"/>
      <c r="F38" s="702"/>
      <c r="G38" s="702"/>
      <c r="H38" s="702"/>
      <c r="I38" s="702"/>
      <c r="J38" s="702"/>
    </row>
    <row r="39" spans="1:12" ht="19.5" customHeight="1">
      <c r="A39" s="695" t="s">
        <v>304</v>
      </c>
      <c r="B39" s="695"/>
      <c r="C39" s="695"/>
      <c r="D39" s="370">
        <f>Dados!G53</f>
        <v>7.5999999999999998E-2</v>
      </c>
      <c r="E39" s="238"/>
      <c r="F39" s="238">
        <f>ROUND(($F$45*D39),2)</f>
        <v>475.65</v>
      </c>
      <c r="G39" s="238">
        <f>ROUND((G45*$D$39),2)</f>
        <v>407.5</v>
      </c>
      <c r="H39" s="238">
        <f>ROUND((H45*$D$39),2)</f>
        <v>45.16</v>
      </c>
      <c r="I39" s="238">
        <f>ROUND((I45*$D$39),2)</f>
        <v>4</v>
      </c>
      <c r="J39" s="492">
        <f>ROUND((J45*$D$39),2)</f>
        <v>95.25</v>
      </c>
    </row>
    <row r="40" spans="1:12" ht="19.5" customHeight="1">
      <c r="A40" s="695" t="s">
        <v>306</v>
      </c>
      <c r="B40" s="695"/>
      <c r="C40" s="695"/>
      <c r="D40" s="370">
        <f>Dados!G54</f>
        <v>1.6500000000000001E-2</v>
      </c>
      <c r="E40" s="238"/>
      <c r="F40" s="238">
        <f>ROUND((F45*$D$40),2)</f>
        <v>103.27</v>
      </c>
      <c r="G40" s="238">
        <f>ROUND((G45*$D$40),2)</f>
        <v>88.47</v>
      </c>
      <c r="H40" s="238">
        <f>ROUND((H45*$D$40),2)</f>
        <v>9.8000000000000007</v>
      </c>
      <c r="I40" s="238">
        <f>ROUND((I45*$D$40),2)</f>
        <v>0.87</v>
      </c>
      <c r="J40" s="492">
        <f>ROUND((J45*$D$40),2)</f>
        <v>20.68</v>
      </c>
    </row>
    <row r="41" spans="1:12" ht="19.5" customHeight="1">
      <c r="A41" s="695" t="s">
        <v>307</v>
      </c>
      <c r="B41" s="695"/>
      <c r="C41" s="695"/>
      <c r="D41" s="370">
        <f>Dados!G55</f>
        <v>0.02</v>
      </c>
      <c r="E41" s="238"/>
      <c r="F41" s="238">
        <f>ROUND((F45*$D$41),2)</f>
        <v>125.17</v>
      </c>
      <c r="G41" s="238">
        <f>ROUND((G45*$D$41),2)</f>
        <v>107.24</v>
      </c>
      <c r="H41" s="238">
        <f>ROUND((H45*$D$41),2)</f>
        <v>11.88</v>
      </c>
      <c r="I41" s="238">
        <f>ROUND((I45*$D$41),2)</f>
        <v>1.05</v>
      </c>
      <c r="J41" s="492">
        <f>ROUND((J45*$D$41),2)</f>
        <v>25.07</v>
      </c>
    </row>
    <row r="42" spans="1:12" ht="19.5" customHeight="1">
      <c r="A42" s="695" t="s">
        <v>293</v>
      </c>
      <c r="B42" s="695"/>
      <c r="C42" s="695"/>
      <c r="D42" s="370">
        <f>Dados!G56</f>
        <v>0</v>
      </c>
      <c r="E42" s="238"/>
      <c r="F42" s="238">
        <f>ROUND((F45*$D$42),2)</f>
        <v>0</v>
      </c>
      <c r="G42" s="238">
        <f>ROUND((G45*$D$42),2)</f>
        <v>0</v>
      </c>
      <c r="H42" s="238">
        <f>ROUND((H45*$D$42),2)</f>
        <v>0</v>
      </c>
      <c r="I42" s="238">
        <f>ROUND((I45*$D$42),2)</f>
        <v>0</v>
      </c>
      <c r="J42" s="492">
        <f>ROUND((J45*$D$42),2)</f>
        <v>0</v>
      </c>
    </row>
    <row r="43" spans="1:12" ht="19.5" customHeight="1">
      <c r="A43" s="704" t="s">
        <v>623</v>
      </c>
      <c r="B43" s="704"/>
      <c r="C43" s="704"/>
      <c r="D43" s="524">
        <f>SUM(D39:D42)</f>
        <v>0.1125</v>
      </c>
      <c r="E43" s="525"/>
      <c r="F43" s="526">
        <f>SUM(F39:F42)</f>
        <v>704.08999999999992</v>
      </c>
      <c r="G43" s="526">
        <f>SUM(G39:G42)</f>
        <v>603.21</v>
      </c>
      <c r="H43" s="526">
        <f>SUM(H39:H42)</f>
        <v>66.839999999999989</v>
      </c>
      <c r="I43" s="526">
        <f>SUM(I39:I42)</f>
        <v>5.92</v>
      </c>
      <c r="J43" s="527">
        <f>SUM(J39:J41)</f>
        <v>141</v>
      </c>
    </row>
    <row r="44" spans="1:12" ht="19.5" customHeight="1">
      <c r="A44" s="705" t="str">
        <f>CONCATENATE("Custo Mensal - ",A7)</f>
        <v>Custo Mensal - Servente de Limpeza (40%)</v>
      </c>
      <c r="B44" s="705"/>
      <c r="C44" s="705"/>
      <c r="D44" s="705"/>
      <c r="E44" s="705"/>
      <c r="F44" s="528">
        <f>ROUND(F37/(1-D43),2)</f>
        <v>6258.6</v>
      </c>
      <c r="G44" s="528">
        <f>ROUND(G37/(1-D43),2)</f>
        <v>5361.81</v>
      </c>
      <c r="H44" s="528">
        <f>ROUND(H37/(1-D43),2)</f>
        <v>594.16999999999996</v>
      </c>
      <c r="I44" s="528">
        <f>ROUND(I37/(1-D43),2)</f>
        <v>52.65</v>
      </c>
      <c r="J44" s="529">
        <f>ROUND(J37/(1-D43),2)</f>
        <v>1253.3399999999999</v>
      </c>
    </row>
    <row r="45" spans="1:12" ht="19.5" customHeight="1">
      <c r="A45" s="706" t="str">
        <f>CONCATENATE("Valor do Custo Mensal - ",A7)</f>
        <v>Valor do Custo Mensal - Servente de Limpeza (40%)</v>
      </c>
      <c r="B45" s="706"/>
      <c r="C45" s="706"/>
      <c r="D45" s="706"/>
      <c r="E45" s="706"/>
      <c r="F45" s="528">
        <f>F44</f>
        <v>6258.6</v>
      </c>
      <c r="G45" s="528">
        <f>G44</f>
        <v>5361.81</v>
      </c>
      <c r="H45" s="528">
        <f>H44</f>
        <v>594.16999999999996</v>
      </c>
      <c r="I45" s="528">
        <f>I44</f>
        <v>52.65</v>
      </c>
      <c r="J45" s="529">
        <f>J44</f>
        <v>1253.3399999999999</v>
      </c>
      <c r="K45" s="530"/>
      <c r="L45" s="530"/>
    </row>
    <row r="46" spans="1:12" ht="27.75" customHeight="1">
      <c r="A46" s="707" t="s">
        <v>624</v>
      </c>
      <c r="B46" s="707"/>
      <c r="C46" s="707"/>
      <c r="D46" s="707"/>
      <c r="E46" s="707"/>
      <c r="F46" s="531">
        <f>(F45/F14)</f>
        <v>3.0431188735024119</v>
      </c>
      <c r="G46" s="531">
        <f>(G45/G14)</f>
        <v>2.6070727011047148</v>
      </c>
      <c r="H46" s="703" t="s">
        <v>625</v>
      </c>
      <c r="I46" s="703"/>
      <c r="J46" s="532">
        <f>ROUND((J45/30),2)</f>
        <v>41.78</v>
      </c>
    </row>
    <row r="47" spans="1:12" ht="19.5" customHeight="1"/>
  </sheetData>
  <sheetProtection algorithmName="SHA-512" hashValue="lVDYC0l1+vLutI5W/hOBRnNbMqRqtPZYf9Pk4pPKObJBb+EiQVvXjFYsX9EuG0iMStEElc7Y8xQg0kHO7FKK9g==" saltValue="Qm+u0cC+kh71yidxynXVrg==" spinCount="100000" sheet="1" objects="1" scenarios="1"/>
  <mergeCells count="49">
    <mergeCell ref="H46:I46"/>
    <mergeCell ref="A42:C42"/>
    <mergeCell ref="A43:C43"/>
    <mergeCell ref="A44:E44"/>
    <mergeCell ref="A45:E45"/>
    <mergeCell ref="A46:E46"/>
    <mergeCell ref="A37:E37"/>
    <mergeCell ref="A38:J38"/>
    <mergeCell ref="A39:C39"/>
    <mergeCell ref="A40:C40"/>
    <mergeCell ref="A41:C41"/>
    <mergeCell ref="A30:E30"/>
    <mergeCell ref="A31:J31"/>
    <mergeCell ref="A32:C32"/>
    <mergeCell ref="E32:J32"/>
    <mergeCell ref="A34:C34"/>
    <mergeCell ref="A24:B24"/>
    <mergeCell ref="A25:B25"/>
    <mergeCell ref="A26:B26"/>
    <mergeCell ref="A28:B28"/>
    <mergeCell ref="A29:E29"/>
    <mergeCell ref="A19:B19"/>
    <mergeCell ref="A20:B20"/>
    <mergeCell ref="A21:B21"/>
    <mergeCell ref="A22:B22"/>
    <mergeCell ref="A23:B23"/>
    <mergeCell ref="A16:E16"/>
    <mergeCell ref="A17:J17"/>
    <mergeCell ref="A18:B18"/>
    <mergeCell ref="D18:E18"/>
    <mergeCell ref="F18:J18"/>
    <mergeCell ref="A9:J9"/>
    <mergeCell ref="B10:C10"/>
    <mergeCell ref="F10:J10"/>
    <mergeCell ref="A11:A15"/>
    <mergeCell ref="B11:C11"/>
    <mergeCell ref="B12:C12"/>
    <mergeCell ref="B14:E14"/>
    <mergeCell ref="B15:D15"/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J47"/>
  <sheetViews>
    <sheetView showGridLines="0" zoomScaleNormal="100" workbookViewId="0">
      <selection activeCell="J44" sqref="J44"/>
    </sheetView>
  </sheetViews>
  <sheetFormatPr defaultColWidth="9.140625" defaultRowHeight="15"/>
  <cols>
    <col min="1" max="1" width="10.5703125" style="61" customWidth="1"/>
    <col min="2" max="2" width="27.7109375" style="61" customWidth="1"/>
    <col min="3" max="3" width="14.42578125" style="61" customWidth="1"/>
    <col min="4" max="5" width="15" style="61" customWidth="1"/>
    <col min="6" max="6" width="16.7109375" style="478" customWidth="1"/>
    <col min="7" max="8" width="13.140625" style="478" customWidth="1"/>
    <col min="9" max="10" width="12.5703125" style="478" customWidth="1"/>
    <col min="11" max="257" width="9.140625" style="61"/>
    <col min="258" max="258" width="10.5703125" style="61" customWidth="1"/>
    <col min="259" max="259" width="27.7109375" style="61" customWidth="1"/>
    <col min="260" max="260" width="14.42578125" style="61" customWidth="1"/>
    <col min="261" max="262" width="15" style="61" customWidth="1"/>
    <col min="263" max="263" width="16.7109375" style="61" customWidth="1"/>
    <col min="264" max="264" width="13.140625" style="61" customWidth="1"/>
    <col min="265" max="266" width="12.5703125" style="61" customWidth="1"/>
    <col min="267" max="513" width="9.140625" style="61"/>
    <col min="514" max="514" width="10.5703125" style="61" customWidth="1"/>
    <col min="515" max="515" width="27.7109375" style="61" customWidth="1"/>
    <col min="516" max="516" width="14.42578125" style="61" customWidth="1"/>
    <col min="517" max="518" width="15" style="61" customWidth="1"/>
    <col min="519" max="519" width="16.7109375" style="61" customWidth="1"/>
    <col min="520" max="520" width="13.140625" style="61" customWidth="1"/>
    <col min="521" max="522" width="12.5703125" style="61" customWidth="1"/>
    <col min="523" max="769" width="9.140625" style="61"/>
    <col min="770" max="770" width="10.5703125" style="61" customWidth="1"/>
    <col min="771" max="771" width="27.7109375" style="61" customWidth="1"/>
    <col min="772" max="772" width="14.42578125" style="61" customWidth="1"/>
    <col min="773" max="774" width="15" style="61" customWidth="1"/>
    <col min="775" max="775" width="16.7109375" style="61" customWidth="1"/>
    <col min="776" max="776" width="13.140625" style="61" customWidth="1"/>
    <col min="777" max="778" width="12.5703125" style="61" customWidth="1"/>
    <col min="779" max="1024" width="9.140625" style="61"/>
  </cols>
  <sheetData>
    <row r="1" spans="1:10">
      <c r="A1" s="479"/>
      <c r="B1" s="108" t="str">
        <f>INSTRUÇÕES!B1</f>
        <v>Tribunal Regional Federal da 6ª Região</v>
      </c>
      <c r="C1" s="480"/>
      <c r="D1" s="480"/>
      <c r="E1" s="480"/>
      <c r="F1" s="481"/>
      <c r="G1" s="482"/>
      <c r="H1" s="482"/>
      <c r="I1" s="481"/>
      <c r="J1" s="483"/>
    </row>
    <row r="2" spans="1:10">
      <c r="A2" s="484"/>
      <c r="B2" s="110" t="str">
        <f>INSTRUÇÕES!B2</f>
        <v>Seção Judiciária de Minas Gerais</v>
      </c>
      <c r="C2" s="51"/>
      <c r="D2" s="51"/>
      <c r="E2" s="51"/>
      <c r="F2" s="485"/>
      <c r="I2" s="485"/>
      <c r="J2" s="486"/>
    </row>
    <row r="3" spans="1:10">
      <c r="A3" s="185"/>
      <c r="B3" s="362" t="str">
        <f>INSTRUÇÕES!B3</f>
        <v>Subseção Judiciária de Pouso Alegre</v>
      </c>
      <c r="C3" s="51"/>
      <c r="D3" s="51"/>
      <c r="E3" s="51"/>
      <c r="F3" s="485"/>
      <c r="I3" s="485"/>
      <c r="J3" s="486"/>
    </row>
    <row r="4" spans="1:10" ht="19.5" customHeight="1">
      <c r="A4" s="676" t="s">
        <v>590</v>
      </c>
      <c r="B4" s="676"/>
      <c r="C4" s="676"/>
      <c r="D4" s="676"/>
      <c r="E4" s="676"/>
      <c r="F4" s="676"/>
      <c r="G4" s="676"/>
      <c r="H4" s="676"/>
      <c r="I4" s="676"/>
      <c r="J4" s="676"/>
    </row>
    <row r="5" spans="1:10" ht="19.5" customHeight="1">
      <c r="A5" s="679" t="s">
        <v>350</v>
      </c>
      <c r="B5" s="679"/>
      <c r="C5" s="679"/>
      <c r="D5" s="679"/>
      <c r="E5" s="679"/>
      <c r="F5" s="679"/>
      <c r="G5" s="679"/>
      <c r="H5" s="679"/>
      <c r="I5" s="679"/>
      <c r="J5" s="679"/>
    </row>
    <row r="6" spans="1:10" ht="36" customHeight="1">
      <c r="A6" s="680" t="str">
        <f>Dados!A4</f>
        <v>Sindicato utilizado - SEAC/MG. Vigência: 01/01/2024 à 31/12/2024. Sendo a data base da categoria 01º Janeiro. Com número de registro no MTE MG000705/2024.</v>
      </c>
      <c r="B6" s="680"/>
      <c r="C6" s="680"/>
      <c r="D6" s="680"/>
      <c r="E6" s="680"/>
      <c r="F6" s="680"/>
      <c r="G6" s="680"/>
      <c r="H6" s="680"/>
      <c r="I6" s="680"/>
      <c r="J6" s="680"/>
    </row>
    <row r="7" spans="1:10" ht="19.5" customHeight="1">
      <c r="A7" s="681" t="str">
        <f>Dados!C8</f>
        <v>Servente de Limpeza</v>
      </c>
      <c r="B7" s="681"/>
      <c r="C7" s="681"/>
      <c r="D7" s="681"/>
      <c r="E7" s="681"/>
      <c r="F7" s="682" t="s">
        <v>591</v>
      </c>
      <c r="G7" s="682" t="s">
        <v>592</v>
      </c>
      <c r="H7" s="682" t="s">
        <v>593</v>
      </c>
      <c r="I7" s="682" t="s">
        <v>594</v>
      </c>
      <c r="J7" s="682" t="s">
        <v>595</v>
      </c>
    </row>
    <row r="8" spans="1:10" ht="19.5" customHeight="1">
      <c r="A8" s="683" t="s">
        <v>596</v>
      </c>
      <c r="B8" s="683"/>
      <c r="C8" s="683"/>
      <c r="D8" s="683"/>
      <c r="E8" s="487" t="s">
        <v>450</v>
      </c>
      <c r="F8" s="682"/>
      <c r="G8" s="682"/>
      <c r="H8" s="682"/>
      <c r="I8" s="682"/>
      <c r="J8" s="682"/>
    </row>
    <row r="9" spans="1:10" ht="19.5" customHeight="1">
      <c r="A9" s="684" t="s">
        <v>597</v>
      </c>
      <c r="B9" s="684"/>
      <c r="C9" s="684"/>
      <c r="D9" s="684"/>
      <c r="E9" s="684"/>
      <c r="F9" s="684"/>
      <c r="G9" s="684"/>
      <c r="H9" s="684"/>
      <c r="I9" s="684"/>
      <c r="J9" s="684"/>
    </row>
    <row r="10" spans="1:10" ht="24" customHeight="1">
      <c r="A10" s="190" t="s">
        <v>451</v>
      </c>
      <c r="B10" s="685" t="s">
        <v>598</v>
      </c>
      <c r="C10" s="685"/>
      <c r="D10" s="488" t="s">
        <v>599</v>
      </c>
      <c r="E10" s="489" t="s">
        <v>600</v>
      </c>
      <c r="F10" s="686" t="s">
        <v>454</v>
      </c>
      <c r="G10" s="686"/>
      <c r="H10" s="686"/>
      <c r="I10" s="686"/>
      <c r="J10" s="686"/>
    </row>
    <row r="11" spans="1:10" ht="19.5" customHeight="1">
      <c r="A11" s="687">
        <v>1</v>
      </c>
      <c r="B11" s="648" t="str">
        <f>A7</f>
        <v>Servente de Limpeza</v>
      </c>
      <c r="C11" s="648"/>
      <c r="D11" s="490">
        <f>Dados!D8</f>
        <v>220</v>
      </c>
      <c r="E11" s="491">
        <f>Dados!E8</f>
        <v>1491.84</v>
      </c>
      <c r="F11" s="238">
        <f>ROUND(E11/220*D11,2)</f>
        <v>1491.84</v>
      </c>
      <c r="G11" s="238">
        <f>F11</f>
        <v>1491.84</v>
      </c>
      <c r="H11" s="238"/>
      <c r="I11" s="238"/>
      <c r="J11" s="492"/>
    </row>
    <row r="12" spans="1:10" ht="19.5" customHeight="1">
      <c r="A12" s="687"/>
      <c r="B12" s="648" t="s">
        <v>601</v>
      </c>
      <c r="C12" s="648"/>
      <c r="D12" s="493">
        <f>Dados!G8</f>
        <v>0</v>
      </c>
      <c r="E12" s="491">
        <f>Dados!G28</f>
        <v>1412</v>
      </c>
      <c r="F12" s="238">
        <f>D12*E12</f>
        <v>0</v>
      </c>
      <c r="G12" s="238">
        <f>F12</f>
        <v>0</v>
      </c>
      <c r="H12" s="238"/>
      <c r="I12" s="238"/>
      <c r="J12" s="492">
        <f>F12</f>
        <v>0</v>
      </c>
    </row>
    <row r="13" spans="1:10" ht="21" customHeight="1">
      <c r="A13" s="687"/>
      <c r="B13" s="494" t="s">
        <v>602</v>
      </c>
      <c r="C13" s="495">
        <f>Dados!I8</f>
        <v>0</v>
      </c>
      <c r="D13" s="495">
        <f>Dados!J8</f>
        <v>0</v>
      </c>
      <c r="E13" s="496">
        <f>Dados!K8</f>
        <v>0</v>
      </c>
      <c r="F13" s="497">
        <f>ROUND((E13*D13*C13),2)</f>
        <v>0</v>
      </c>
      <c r="G13" s="497">
        <f>F13</f>
        <v>0</v>
      </c>
      <c r="H13" s="497"/>
      <c r="I13" s="497"/>
      <c r="J13" s="498"/>
    </row>
    <row r="14" spans="1:10" ht="19.5" customHeight="1">
      <c r="A14" s="687"/>
      <c r="B14" s="688" t="s">
        <v>603</v>
      </c>
      <c r="C14" s="688"/>
      <c r="D14" s="688"/>
      <c r="E14" s="688"/>
      <c r="F14" s="499">
        <f>SUM(F11:F13)</f>
        <v>1491.84</v>
      </c>
      <c r="G14" s="499">
        <f>SUM(G11:G13)</f>
        <v>1491.84</v>
      </c>
      <c r="H14" s="499">
        <f>SUM(H11:H13)</f>
        <v>0</v>
      </c>
      <c r="I14" s="499">
        <f>SUM(I11:I13)</f>
        <v>0</v>
      </c>
      <c r="J14" s="500">
        <f>SUM(J11:J13)</f>
        <v>0</v>
      </c>
    </row>
    <row r="15" spans="1:10" ht="19.5" customHeight="1">
      <c r="A15" s="687"/>
      <c r="B15" s="689" t="s">
        <v>604</v>
      </c>
      <c r="C15" s="689"/>
      <c r="D15" s="689"/>
      <c r="E15" s="501">
        <f>Encargos!$C$57</f>
        <v>0.79049999999999998</v>
      </c>
      <c r="F15" s="238">
        <f>ROUND((E15*F14),2)</f>
        <v>1179.3</v>
      </c>
      <c r="G15" s="238">
        <f>F15</f>
        <v>1179.3</v>
      </c>
      <c r="H15" s="238"/>
      <c r="I15" s="238"/>
      <c r="J15" s="492">
        <f>ROUND((E15*J14),2)</f>
        <v>0</v>
      </c>
    </row>
    <row r="16" spans="1:10" ht="19.5" customHeight="1">
      <c r="A16" s="690" t="s">
        <v>605</v>
      </c>
      <c r="B16" s="690"/>
      <c r="C16" s="690"/>
      <c r="D16" s="690"/>
      <c r="E16" s="690"/>
      <c r="F16" s="502">
        <f>SUM(F14:F15)</f>
        <v>2671.14</v>
      </c>
      <c r="G16" s="502">
        <f>SUM(G14:G15)</f>
        <v>2671.14</v>
      </c>
      <c r="H16" s="502">
        <f>SUM(H14:H15)</f>
        <v>0</v>
      </c>
      <c r="I16" s="502">
        <f>SUM(I14:I15)</f>
        <v>0</v>
      </c>
      <c r="J16" s="503">
        <f>SUM(J14:J15)</f>
        <v>0</v>
      </c>
    </row>
    <row r="17" spans="1:12" ht="19.5" customHeight="1">
      <c r="A17" s="691" t="s">
        <v>606</v>
      </c>
      <c r="B17" s="691"/>
      <c r="C17" s="691"/>
      <c r="D17" s="691"/>
      <c r="E17" s="691"/>
      <c r="F17" s="691"/>
      <c r="G17" s="691"/>
      <c r="H17" s="691"/>
      <c r="I17" s="691"/>
      <c r="J17" s="691"/>
    </row>
    <row r="18" spans="1:12" ht="19.5" customHeight="1">
      <c r="A18" s="692" t="s">
        <v>607</v>
      </c>
      <c r="B18" s="692"/>
      <c r="C18" s="37" t="s">
        <v>453</v>
      </c>
      <c r="D18" s="693" t="s">
        <v>608</v>
      </c>
      <c r="E18" s="693"/>
      <c r="F18" s="694" t="s">
        <v>454</v>
      </c>
      <c r="G18" s="694"/>
      <c r="H18" s="694"/>
      <c r="I18" s="694"/>
      <c r="J18" s="694"/>
    </row>
    <row r="19" spans="1:12" ht="19.5" customHeight="1">
      <c r="A19" s="695" t="s">
        <v>609</v>
      </c>
      <c r="B19" s="695"/>
      <c r="C19" s="505"/>
      <c r="D19" s="505"/>
      <c r="E19" s="505"/>
      <c r="F19" s="238">
        <f>Dados!N8</f>
        <v>44.07</v>
      </c>
      <c r="G19" s="238">
        <f>F19</f>
        <v>44.07</v>
      </c>
      <c r="H19" s="238"/>
      <c r="I19" s="238"/>
      <c r="J19" s="492"/>
    </row>
    <row r="20" spans="1:12" ht="19.5" customHeight="1">
      <c r="A20" s="695" t="s">
        <v>610</v>
      </c>
      <c r="B20" s="695"/>
      <c r="C20" s="505"/>
      <c r="D20" s="505"/>
      <c r="E20" s="505"/>
      <c r="F20" s="238">
        <f>Dados!G31</f>
        <v>16.75</v>
      </c>
      <c r="G20" s="238">
        <f>F20</f>
        <v>16.75</v>
      </c>
      <c r="H20" s="238"/>
      <c r="I20" s="238"/>
      <c r="J20" s="492"/>
    </row>
    <row r="21" spans="1:12" ht="23.25" customHeight="1">
      <c r="A21" s="696" t="s">
        <v>279</v>
      </c>
      <c r="B21" s="696"/>
      <c r="C21" s="505"/>
      <c r="D21" s="505"/>
      <c r="E21" s="505"/>
      <c r="F21" s="238">
        <f>Dados!G32</f>
        <v>48.43</v>
      </c>
      <c r="G21" s="238">
        <f>F21</f>
        <v>48.43</v>
      </c>
      <c r="H21" s="238"/>
      <c r="I21" s="238"/>
      <c r="J21" s="492"/>
    </row>
    <row r="22" spans="1:12" ht="19.5" customHeight="1">
      <c r="A22" s="695" t="s">
        <v>280</v>
      </c>
      <c r="B22" s="695"/>
      <c r="C22" s="506">
        <f>Dados!$G$35</f>
        <v>22</v>
      </c>
      <c r="D22" s="506">
        <f>Dados!$G$34</f>
        <v>2</v>
      </c>
      <c r="E22" s="505">
        <f>Dados!$G$33</f>
        <v>3</v>
      </c>
      <c r="F22" s="238">
        <f>IF(ROUND((E22*D22*C22)-(F11*Dados!G36),2)&lt;0,0,ROUND((E22*D22*C22)-(F11*Dados!G36),2))</f>
        <v>42.49</v>
      </c>
      <c r="G22" s="238">
        <f>F22</f>
        <v>42.49</v>
      </c>
      <c r="H22" s="238"/>
      <c r="I22" s="238">
        <f>F22</f>
        <v>42.49</v>
      </c>
      <c r="J22" s="492"/>
    </row>
    <row r="23" spans="1:12" ht="19.5" customHeight="1">
      <c r="A23" s="695" t="s">
        <v>289</v>
      </c>
      <c r="B23" s="695"/>
      <c r="C23" s="506">
        <f>Dados!G39</f>
        <v>22</v>
      </c>
      <c r="D23" s="507">
        <f>Dados!G40</f>
        <v>0.2</v>
      </c>
      <c r="E23" s="505">
        <f>Dados!G37</f>
        <v>27.24</v>
      </c>
      <c r="F23" s="508">
        <f>ROUND((IF(D11&gt;150,((C23*E23)-(C23*(D23*E23))),0)),2)</f>
        <v>479.42</v>
      </c>
      <c r="G23" s="238">
        <f>F23</f>
        <v>479.42</v>
      </c>
      <c r="H23" s="238">
        <f>$F$23</f>
        <v>479.42</v>
      </c>
      <c r="I23" s="508"/>
      <c r="J23" s="492"/>
    </row>
    <row r="24" spans="1:12" ht="19.5" customHeight="1">
      <c r="A24" s="695" t="s">
        <v>293</v>
      </c>
      <c r="B24" s="695"/>
      <c r="C24" s="506"/>
      <c r="D24" s="506"/>
      <c r="E24" s="505"/>
      <c r="F24" s="508">
        <f>Dados!G41</f>
        <v>0</v>
      </c>
      <c r="G24" s="238"/>
      <c r="H24" s="238"/>
      <c r="I24" s="508"/>
      <c r="J24" s="492"/>
    </row>
    <row r="25" spans="1:12" ht="19.5" customHeight="1">
      <c r="A25" s="695" t="s">
        <v>293</v>
      </c>
      <c r="B25" s="695"/>
      <c r="C25" s="506"/>
      <c r="D25" s="506"/>
      <c r="E25" s="505"/>
      <c r="F25" s="508">
        <f>Dados!G42</f>
        <v>0</v>
      </c>
      <c r="G25" s="238"/>
      <c r="H25" s="238"/>
      <c r="I25" s="508"/>
      <c r="J25" s="492"/>
    </row>
    <row r="26" spans="1:12" ht="19.5" customHeight="1">
      <c r="A26" s="695" t="s">
        <v>611</v>
      </c>
      <c r="B26" s="695"/>
      <c r="C26" s="506"/>
      <c r="D26" s="505"/>
      <c r="E26" s="505"/>
      <c r="F26" s="238">
        <f>Dados!O8</f>
        <v>723.59</v>
      </c>
      <c r="G26" s="238"/>
      <c r="H26" s="238"/>
      <c r="I26" s="238"/>
      <c r="J26" s="492"/>
      <c r="L26" s="51"/>
    </row>
    <row r="27" spans="1:12" ht="19.5" customHeight="1">
      <c r="A27" s="504" t="s">
        <v>612</v>
      </c>
      <c r="B27" s="369"/>
      <c r="C27" s="506"/>
      <c r="D27" s="505"/>
      <c r="E27" s="505"/>
      <c r="F27" s="238"/>
      <c r="G27" s="238"/>
      <c r="H27" s="238"/>
      <c r="I27" s="238"/>
      <c r="J27" s="492"/>
    </row>
    <row r="28" spans="1:12" ht="19.5" customHeight="1">
      <c r="A28" s="697" t="s">
        <v>613</v>
      </c>
      <c r="B28" s="697"/>
      <c r="C28" s="509"/>
      <c r="D28" s="510"/>
      <c r="E28" s="510"/>
      <c r="F28" s="497">
        <f>Dados!Q8</f>
        <v>12.68</v>
      </c>
      <c r="G28" s="497">
        <f>F28</f>
        <v>12.68</v>
      </c>
      <c r="H28" s="497"/>
      <c r="I28" s="497"/>
      <c r="J28" s="498"/>
    </row>
    <row r="29" spans="1:12" ht="19.5" customHeight="1">
      <c r="A29" s="698" t="s">
        <v>614</v>
      </c>
      <c r="B29" s="698"/>
      <c r="C29" s="698"/>
      <c r="D29" s="698"/>
      <c r="E29" s="698"/>
      <c r="F29" s="502">
        <f>SUM(F19:F28)</f>
        <v>1367.43</v>
      </c>
      <c r="G29" s="502">
        <f>SUM(G19:G28)</f>
        <v>643.84</v>
      </c>
      <c r="H29" s="502">
        <f>SUM(H19:H28)</f>
        <v>479.42</v>
      </c>
      <c r="I29" s="502">
        <f>SUM(I19:I28)</f>
        <v>42.49</v>
      </c>
      <c r="J29" s="503">
        <f>SUM(J19:J28)</f>
        <v>0</v>
      </c>
    </row>
    <row r="30" spans="1:12" ht="19.5" customHeight="1">
      <c r="A30" s="698" t="s">
        <v>615</v>
      </c>
      <c r="B30" s="698"/>
      <c r="C30" s="698"/>
      <c r="D30" s="698"/>
      <c r="E30" s="698"/>
      <c r="F30" s="502">
        <f>F16+F29</f>
        <v>4038.5699999999997</v>
      </c>
      <c r="G30" s="502">
        <f>G16+G29</f>
        <v>3314.98</v>
      </c>
      <c r="H30" s="502">
        <f>H16+H29</f>
        <v>479.42</v>
      </c>
      <c r="I30" s="502">
        <f>I16+I29</f>
        <v>42.49</v>
      </c>
      <c r="J30" s="503">
        <f>J16+J29</f>
        <v>0</v>
      </c>
    </row>
    <row r="31" spans="1:12" ht="19.5" customHeight="1">
      <c r="A31" s="684" t="s">
        <v>616</v>
      </c>
      <c r="B31" s="684"/>
      <c r="C31" s="684"/>
      <c r="D31" s="684"/>
      <c r="E31" s="684"/>
      <c r="F31" s="684"/>
      <c r="G31" s="684"/>
      <c r="H31" s="684"/>
      <c r="I31" s="684"/>
      <c r="J31" s="684"/>
    </row>
    <row r="32" spans="1:12" ht="19.5" customHeight="1">
      <c r="A32" s="692" t="s">
        <v>617</v>
      </c>
      <c r="B32" s="692"/>
      <c r="C32" s="692"/>
      <c r="D32" s="75" t="s">
        <v>518</v>
      </c>
      <c r="E32" s="699" t="s">
        <v>454</v>
      </c>
      <c r="F32" s="699"/>
      <c r="G32" s="699"/>
      <c r="H32" s="699"/>
      <c r="I32" s="699"/>
      <c r="J32" s="699"/>
    </row>
    <row r="33" spans="1:12" ht="19.5" customHeight="1">
      <c r="A33" s="511" t="s">
        <v>618</v>
      </c>
      <c r="B33" s="512"/>
      <c r="C33" s="512"/>
      <c r="D33" s="370">
        <f>Dados!$G$45</f>
        <v>0.03</v>
      </c>
      <c r="E33" s="513"/>
      <c r="F33" s="238">
        <f>ROUND((F30*$D$33),2)</f>
        <v>121.16</v>
      </c>
      <c r="G33" s="238">
        <f>ROUND((G30*$D$33),2)</f>
        <v>99.45</v>
      </c>
      <c r="H33" s="238">
        <f>ROUND((H30*$D$33),2)</f>
        <v>14.38</v>
      </c>
      <c r="I33" s="238">
        <f>ROUND((I30*$D$33),2)</f>
        <v>1.27</v>
      </c>
      <c r="J33" s="492">
        <f>ROUND((J30*$D$33),2)</f>
        <v>0</v>
      </c>
    </row>
    <row r="34" spans="1:12" ht="19.5" customHeight="1">
      <c r="A34" s="700" t="s">
        <v>619</v>
      </c>
      <c r="B34" s="700"/>
      <c r="C34" s="700"/>
      <c r="D34" s="370"/>
      <c r="E34" s="513"/>
      <c r="F34" s="238">
        <f>F30+F33</f>
        <v>4159.7299999999996</v>
      </c>
      <c r="G34" s="238">
        <f>G30+G33</f>
        <v>3414.43</v>
      </c>
      <c r="H34" s="238">
        <f>H30+H33</f>
        <v>493.8</v>
      </c>
      <c r="I34" s="238">
        <f>I30+I33</f>
        <v>43.760000000000005</v>
      </c>
      <c r="J34" s="492">
        <f>J30+J33</f>
        <v>0</v>
      </c>
    </row>
    <row r="35" spans="1:12" ht="19.5" customHeight="1">
      <c r="A35" s="514" t="s">
        <v>298</v>
      </c>
      <c r="B35" s="515"/>
      <c r="C35" s="515"/>
      <c r="D35" s="516">
        <f>Dados!$G$46</f>
        <v>6.7900000000000002E-2</v>
      </c>
      <c r="E35" s="517"/>
      <c r="F35" s="497">
        <f>ROUND((F34*$D$35),2)</f>
        <v>282.45</v>
      </c>
      <c r="G35" s="497">
        <f>ROUND((G34*$D$35),2)</f>
        <v>231.84</v>
      </c>
      <c r="H35" s="497">
        <f>ROUND((H34*$D$35),2)</f>
        <v>33.53</v>
      </c>
      <c r="I35" s="497">
        <f>ROUND((I34*$D$35),2)</f>
        <v>2.97</v>
      </c>
      <c r="J35" s="498">
        <f>ROUND((J34*$D$35),2)</f>
        <v>0</v>
      </c>
    </row>
    <row r="36" spans="1:12" ht="19.5" customHeight="1">
      <c r="A36" s="518" t="s">
        <v>620</v>
      </c>
      <c r="B36" s="519"/>
      <c r="C36" s="519"/>
      <c r="D36" s="520">
        <f>SUM(D33:D35)</f>
        <v>9.7900000000000001E-2</v>
      </c>
      <c r="E36" s="521"/>
      <c r="F36" s="502">
        <f>F33+F35</f>
        <v>403.61</v>
      </c>
      <c r="G36" s="502">
        <f>G33+G35</f>
        <v>331.29</v>
      </c>
      <c r="H36" s="502">
        <f>H33+H35</f>
        <v>47.910000000000004</v>
      </c>
      <c r="I36" s="502">
        <f>I33+I35</f>
        <v>4.24</v>
      </c>
      <c r="J36" s="503">
        <f>J33+J35</f>
        <v>0</v>
      </c>
    </row>
    <row r="37" spans="1:12" ht="19.5" customHeight="1">
      <c r="A37" s="701" t="s">
        <v>621</v>
      </c>
      <c r="B37" s="701"/>
      <c r="C37" s="701"/>
      <c r="D37" s="701"/>
      <c r="E37" s="701"/>
      <c r="F37" s="522">
        <f>F30+F36</f>
        <v>4442.1799999999994</v>
      </c>
      <c r="G37" s="522">
        <f>G30+G36</f>
        <v>3646.27</v>
      </c>
      <c r="H37" s="522">
        <f>H30+H36</f>
        <v>527.33000000000004</v>
      </c>
      <c r="I37" s="522">
        <f>I30+I36</f>
        <v>46.730000000000004</v>
      </c>
      <c r="J37" s="523">
        <f>J30+J36</f>
        <v>0</v>
      </c>
    </row>
    <row r="38" spans="1:12" ht="19.5" customHeight="1">
      <c r="A38" s="702" t="s">
        <v>622</v>
      </c>
      <c r="B38" s="702"/>
      <c r="C38" s="702"/>
      <c r="D38" s="702"/>
      <c r="E38" s="702"/>
      <c r="F38" s="702"/>
      <c r="G38" s="702"/>
      <c r="H38" s="702"/>
      <c r="I38" s="702"/>
      <c r="J38" s="702"/>
    </row>
    <row r="39" spans="1:12" ht="19.5" customHeight="1">
      <c r="A39" s="695" t="s">
        <v>304</v>
      </c>
      <c r="B39" s="695"/>
      <c r="C39" s="695"/>
      <c r="D39" s="370">
        <f>Dados!G53</f>
        <v>7.5999999999999998E-2</v>
      </c>
      <c r="E39" s="238"/>
      <c r="F39" s="238">
        <f>ROUND(($F$45*D39),2)</f>
        <v>380.4</v>
      </c>
      <c r="G39" s="238">
        <f>ROUND((G45*$D$39),2)</f>
        <v>312.24</v>
      </c>
      <c r="H39" s="238">
        <f>ROUND((H45*$D$39),2)</f>
        <v>45.16</v>
      </c>
      <c r="I39" s="238">
        <f>ROUND((I45*$D$39),2)</f>
        <v>4</v>
      </c>
      <c r="J39" s="492">
        <f>ROUND((J45*$D$39),2)</f>
        <v>0</v>
      </c>
    </row>
    <row r="40" spans="1:12" ht="19.5" customHeight="1">
      <c r="A40" s="695" t="s">
        <v>306</v>
      </c>
      <c r="B40" s="695"/>
      <c r="C40" s="695"/>
      <c r="D40" s="370">
        <f>Dados!G54</f>
        <v>1.6500000000000001E-2</v>
      </c>
      <c r="E40" s="238"/>
      <c r="F40" s="238">
        <f>ROUND((F45*$D$40),2)</f>
        <v>82.59</v>
      </c>
      <c r="G40" s="238">
        <f>ROUND((G45*$D$40),2)</f>
        <v>67.790000000000006</v>
      </c>
      <c r="H40" s="238">
        <f>ROUND((H45*$D$40),2)</f>
        <v>9.8000000000000007</v>
      </c>
      <c r="I40" s="238">
        <f>ROUND((I45*$D$40),2)</f>
        <v>0.87</v>
      </c>
      <c r="J40" s="492">
        <f>ROUND((J45*$D$40),2)</f>
        <v>0</v>
      </c>
    </row>
    <row r="41" spans="1:12" ht="19.5" customHeight="1">
      <c r="A41" s="695" t="s">
        <v>307</v>
      </c>
      <c r="B41" s="695"/>
      <c r="C41" s="695"/>
      <c r="D41" s="370">
        <f>Dados!G55</f>
        <v>0.02</v>
      </c>
      <c r="E41" s="238"/>
      <c r="F41" s="238">
        <f>ROUND((F45*$D$41),2)</f>
        <v>100.11</v>
      </c>
      <c r="G41" s="238">
        <f>ROUND((G45*$D$41),2)</f>
        <v>82.17</v>
      </c>
      <c r="H41" s="238">
        <f>ROUND((H45*$D$41),2)</f>
        <v>11.88</v>
      </c>
      <c r="I41" s="238">
        <f>ROUND((I45*$D$41),2)</f>
        <v>1.05</v>
      </c>
      <c r="J41" s="492">
        <f>ROUND((J45*$D$41),2)</f>
        <v>0</v>
      </c>
    </row>
    <row r="42" spans="1:12" ht="19.5" customHeight="1">
      <c r="A42" s="695" t="s">
        <v>293</v>
      </c>
      <c r="B42" s="695"/>
      <c r="C42" s="695"/>
      <c r="D42" s="370">
        <f>Dados!G56</f>
        <v>0</v>
      </c>
      <c r="E42" s="238"/>
      <c r="F42" s="238">
        <f>ROUND((F45*$D$42),2)</f>
        <v>0</v>
      </c>
      <c r="G42" s="238">
        <f>ROUND((G45*$D$42),2)</f>
        <v>0</v>
      </c>
      <c r="H42" s="238">
        <f>ROUND((H45*$D$42),2)</f>
        <v>0</v>
      </c>
      <c r="I42" s="238">
        <f>ROUND((I45*$D$42),2)</f>
        <v>0</v>
      </c>
      <c r="J42" s="492">
        <f>ROUND((J45*$D$42),2)</f>
        <v>0</v>
      </c>
    </row>
    <row r="43" spans="1:12" ht="19.5" customHeight="1">
      <c r="A43" s="704" t="s">
        <v>623</v>
      </c>
      <c r="B43" s="704"/>
      <c r="C43" s="704"/>
      <c r="D43" s="524">
        <f>SUM(D39:D42)</f>
        <v>0.1125</v>
      </c>
      <c r="E43" s="525"/>
      <c r="F43" s="526">
        <f>SUM(F39:F42)</f>
        <v>563.1</v>
      </c>
      <c r="G43" s="526">
        <f>SUM(G39:G42)</f>
        <v>462.20000000000005</v>
      </c>
      <c r="H43" s="526">
        <f>SUM(H39:H42)</f>
        <v>66.839999999999989</v>
      </c>
      <c r="I43" s="526">
        <f>SUM(I39:I42)</f>
        <v>5.92</v>
      </c>
      <c r="J43" s="527">
        <f>SUM(J39:J41)</f>
        <v>0</v>
      </c>
    </row>
    <row r="44" spans="1:12" ht="19.5" customHeight="1">
      <c r="A44" s="705" t="str">
        <f>CONCATENATE("Custo Mensal - ",A7)</f>
        <v>Custo Mensal - Servente de Limpeza</v>
      </c>
      <c r="B44" s="705"/>
      <c r="C44" s="705"/>
      <c r="D44" s="705"/>
      <c r="E44" s="705"/>
      <c r="F44" s="528">
        <f>ROUND(F37/(1-D43),2)</f>
        <v>5005.2700000000004</v>
      </c>
      <c r="G44" s="528">
        <f>ROUND(G37/(1-D43),2)</f>
        <v>4108.47</v>
      </c>
      <c r="H44" s="528">
        <f>ROUND(H37/(1-D43),2)</f>
        <v>594.16999999999996</v>
      </c>
      <c r="I44" s="528">
        <f>ROUND(I37/(1-D43),2)</f>
        <v>52.65</v>
      </c>
      <c r="J44" s="529">
        <f>ROUND(J37/(1-D43),2)</f>
        <v>0</v>
      </c>
    </row>
    <row r="45" spans="1:12" ht="19.5" customHeight="1">
      <c r="A45" s="706" t="str">
        <f>CONCATENATE("Valor do Custo Mensal - ",A7)</f>
        <v>Valor do Custo Mensal - Servente de Limpeza</v>
      </c>
      <c r="B45" s="706"/>
      <c r="C45" s="706"/>
      <c r="D45" s="706"/>
      <c r="E45" s="706"/>
      <c r="F45" s="528">
        <f>F44</f>
        <v>5005.2700000000004</v>
      </c>
      <c r="G45" s="528">
        <f>G44</f>
        <v>4108.47</v>
      </c>
      <c r="H45" s="528">
        <f>H44</f>
        <v>594.16999999999996</v>
      </c>
      <c r="I45" s="528">
        <f>I44</f>
        <v>52.65</v>
      </c>
      <c r="J45" s="529">
        <f>J44</f>
        <v>0</v>
      </c>
      <c r="K45" s="530"/>
      <c r="L45" s="530"/>
    </row>
    <row r="46" spans="1:12" ht="27.75" customHeight="1">
      <c r="A46" s="707" t="s">
        <v>624</v>
      </c>
      <c r="B46" s="707"/>
      <c r="C46" s="707"/>
      <c r="D46" s="707"/>
      <c r="E46" s="707"/>
      <c r="F46" s="531">
        <f>(F45/F14)</f>
        <v>3.3550984019734025</v>
      </c>
      <c r="G46" s="531">
        <f>(G45/G14)</f>
        <v>2.7539615508365514</v>
      </c>
      <c r="H46" s="703" t="s">
        <v>625</v>
      </c>
      <c r="I46" s="703"/>
      <c r="J46" s="532">
        <v>0</v>
      </c>
    </row>
    <row r="47" spans="1:12" ht="19.5" customHeight="1"/>
  </sheetData>
  <sheetProtection algorithmName="SHA-512" hashValue="oqENyij8pxjKjK8NjzIG1QWYwycIWN38DlRDr/u0BWuvJmuUAmfgPysosG9PwI9uIb+C7nG6WR27yqrAc6ltLg==" saltValue="drQ5AKnQ45s/kFOMDo3YQg==" spinCount="100000" sheet="1" objects="1" scenarios="1"/>
  <mergeCells count="49">
    <mergeCell ref="H46:I46"/>
    <mergeCell ref="A42:C42"/>
    <mergeCell ref="A43:C43"/>
    <mergeCell ref="A44:E44"/>
    <mergeCell ref="A45:E45"/>
    <mergeCell ref="A46:E46"/>
    <mergeCell ref="A37:E37"/>
    <mergeCell ref="A38:J38"/>
    <mergeCell ref="A39:C39"/>
    <mergeCell ref="A40:C40"/>
    <mergeCell ref="A41:C41"/>
    <mergeCell ref="A30:E30"/>
    <mergeCell ref="A31:J31"/>
    <mergeCell ref="A32:C32"/>
    <mergeCell ref="E32:J32"/>
    <mergeCell ref="A34:C34"/>
    <mergeCell ref="A24:B24"/>
    <mergeCell ref="A25:B25"/>
    <mergeCell ref="A26:B26"/>
    <mergeCell ref="A28:B28"/>
    <mergeCell ref="A29:E29"/>
    <mergeCell ref="A19:B19"/>
    <mergeCell ref="A20:B20"/>
    <mergeCell ref="A21:B21"/>
    <mergeCell ref="A22:B22"/>
    <mergeCell ref="A23:B23"/>
    <mergeCell ref="A16:E16"/>
    <mergeCell ref="A17:J17"/>
    <mergeCell ref="A18:B18"/>
    <mergeCell ref="D18:E18"/>
    <mergeCell ref="F18:J18"/>
    <mergeCell ref="A9:J9"/>
    <mergeCell ref="B10:C10"/>
    <mergeCell ref="F10:J10"/>
    <mergeCell ref="A11:A15"/>
    <mergeCell ref="B11:C11"/>
    <mergeCell ref="B12:C12"/>
    <mergeCell ref="B14:E14"/>
    <mergeCell ref="B15:D15"/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D9D9D9"/>
    <pageSetUpPr fitToPage="1"/>
  </sheetPr>
  <dimension ref="A1:AI23"/>
  <sheetViews>
    <sheetView showGridLines="0" zoomScaleNormal="100" workbookViewId="0">
      <selection activeCell="B23" sqref="B23"/>
    </sheetView>
  </sheetViews>
  <sheetFormatPr defaultColWidth="8.7109375" defaultRowHeight="15"/>
  <cols>
    <col min="1" max="1" width="7.85546875" customWidth="1"/>
    <col min="2" max="2" width="7.28515625" customWidth="1"/>
    <col min="3" max="3" width="4.42578125" customWidth="1"/>
    <col min="4" max="4" width="7.5703125" customWidth="1"/>
    <col min="5" max="5" width="5.42578125" customWidth="1"/>
    <col min="6" max="6" width="8.28515625" customWidth="1"/>
    <col min="7" max="7" width="7.42578125" customWidth="1"/>
    <col min="8" max="8" width="3.28515625" customWidth="1"/>
    <col min="9" max="9" width="7.28515625" customWidth="1"/>
    <col min="10" max="10" width="4.42578125" customWidth="1"/>
    <col min="11" max="11" width="7.5703125" customWidth="1"/>
    <col min="12" max="12" width="5.42578125" customWidth="1"/>
    <col min="13" max="13" width="8.28515625" customWidth="1"/>
    <col min="14" max="14" width="7.42578125" customWidth="1"/>
    <col min="15" max="15" width="3" customWidth="1"/>
    <col min="16" max="16" width="7.28515625" customWidth="1"/>
    <col min="17" max="17" width="4.42578125" customWidth="1"/>
    <col min="18" max="18" width="7.5703125" customWidth="1"/>
    <col min="19" max="19" width="5.42578125" customWidth="1"/>
    <col min="20" max="20" width="8.28515625" customWidth="1"/>
    <col min="21" max="21" width="7.42578125" customWidth="1"/>
    <col min="22" max="22" width="3" customWidth="1"/>
    <col min="23" max="23" width="7.28515625" customWidth="1"/>
    <col min="24" max="24" width="4.42578125" customWidth="1"/>
    <col min="25" max="25" width="7.5703125" customWidth="1"/>
    <col min="26" max="26" width="5.42578125" customWidth="1"/>
    <col min="27" max="27" width="8.28515625" customWidth="1"/>
    <col min="28" max="28" width="7.42578125" customWidth="1"/>
    <col min="29" max="29" width="3" customWidth="1"/>
    <col min="30" max="30" width="7.28515625" customWidth="1"/>
    <col min="31" max="31" width="4.42578125" customWidth="1"/>
    <col min="257" max="257" width="1.42578125" customWidth="1"/>
    <col min="258" max="258" width="7.28515625" customWidth="1"/>
    <col min="259" max="259" width="4.42578125" customWidth="1"/>
    <col min="260" max="260" width="7.5703125" customWidth="1"/>
    <col min="261" max="261" width="5.42578125" customWidth="1"/>
    <col min="262" max="262" width="8.28515625" customWidth="1"/>
    <col min="263" max="263" width="7.42578125" customWidth="1"/>
    <col min="264" max="264" width="3.28515625" customWidth="1"/>
    <col min="265" max="265" width="7.28515625" customWidth="1"/>
    <col min="266" max="266" width="4.42578125" customWidth="1"/>
    <col min="267" max="267" width="7.5703125" customWidth="1"/>
    <col min="268" max="268" width="5.42578125" customWidth="1"/>
    <col min="269" max="269" width="8.28515625" customWidth="1"/>
    <col min="270" max="270" width="7.42578125" customWidth="1"/>
    <col min="271" max="271" width="3" customWidth="1"/>
    <col min="272" max="272" width="7.28515625" customWidth="1"/>
    <col min="273" max="273" width="4.42578125" customWidth="1"/>
    <col min="274" max="274" width="7.5703125" customWidth="1"/>
    <col min="275" max="275" width="5.42578125" customWidth="1"/>
    <col min="276" max="276" width="8.28515625" customWidth="1"/>
    <col min="277" max="277" width="7.42578125" customWidth="1"/>
    <col min="278" max="278" width="3" customWidth="1"/>
    <col min="279" max="279" width="7.28515625" customWidth="1"/>
    <col min="280" max="280" width="4.42578125" customWidth="1"/>
    <col min="281" max="281" width="7.5703125" customWidth="1"/>
    <col min="282" max="282" width="5.42578125" customWidth="1"/>
    <col min="283" max="283" width="8.28515625" customWidth="1"/>
    <col min="284" max="284" width="7.42578125" customWidth="1"/>
    <col min="285" max="285" width="3" customWidth="1"/>
    <col min="286" max="286" width="7.28515625" customWidth="1"/>
    <col min="287" max="287" width="4.42578125" customWidth="1"/>
    <col min="513" max="513" width="1.42578125" customWidth="1"/>
    <col min="514" max="514" width="7.28515625" customWidth="1"/>
    <col min="515" max="515" width="4.42578125" customWidth="1"/>
    <col min="516" max="516" width="7.5703125" customWidth="1"/>
    <col min="517" max="517" width="5.42578125" customWidth="1"/>
    <col min="518" max="518" width="8.28515625" customWidth="1"/>
    <col min="519" max="519" width="7.42578125" customWidth="1"/>
    <col min="520" max="520" width="3.28515625" customWidth="1"/>
    <col min="521" max="521" width="7.28515625" customWidth="1"/>
    <col min="522" max="522" width="4.42578125" customWidth="1"/>
    <col min="523" max="523" width="7.5703125" customWidth="1"/>
    <col min="524" max="524" width="5.42578125" customWidth="1"/>
    <col min="525" max="525" width="8.28515625" customWidth="1"/>
    <col min="526" max="526" width="7.42578125" customWidth="1"/>
    <col min="527" max="527" width="3" customWidth="1"/>
    <col min="528" max="528" width="7.28515625" customWidth="1"/>
    <col min="529" max="529" width="4.42578125" customWidth="1"/>
    <col min="530" max="530" width="7.5703125" customWidth="1"/>
    <col min="531" max="531" width="5.42578125" customWidth="1"/>
    <col min="532" max="532" width="8.28515625" customWidth="1"/>
    <col min="533" max="533" width="7.42578125" customWidth="1"/>
    <col min="534" max="534" width="3" customWidth="1"/>
    <col min="535" max="535" width="7.28515625" customWidth="1"/>
    <col min="536" max="536" width="4.42578125" customWidth="1"/>
    <col min="537" max="537" width="7.5703125" customWidth="1"/>
    <col min="538" max="538" width="5.42578125" customWidth="1"/>
    <col min="539" max="539" width="8.28515625" customWidth="1"/>
    <col min="540" max="540" width="7.42578125" customWidth="1"/>
    <col min="541" max="541" width="3" customWidth="1"/>
    <col min="542" max="542" width="7.28515625" customWidth="1"/>
    <col min="543" max="543" width="4.42578125" customWidth="1"/>
    <col min="769" max="769" width="1.42578125" customWidth="1"/>
    <col min="770" max="770" width="7.28515625" customWidth="1"/>
    <col min="771" max="771" width="4.42578125" customWidth="1"/>
    <col min="772" max="772" width="7.5703125" customWidth="1"/>
    <col min="773" max="773" width="5.42578125" customWidth="1"/>
    <col min="774" max="774" width="8.28515625" customWidth="1"/>
    <col min="775" max="775" width="7.42578125" customWidth="1"/>
    <col min="776" max="776" width="3.28515625" customWidth="1"/>
    <col min="777" max="777" width="7.28515625" customWidth="1"/>
    <col min="778" max="778" width="4.42578125" customWidth="1"/>
    <col min="779" max="779" width="7.5703125" customWidth="1"/>
    <col min="780" max="780" width="5.42578125" customWidth="1"/>
    <col min="781" max="781" width="8.28515625" customWidth="1"/>
    <col min="782" max="782" width="7.42578125" customWidth="1"/>
    <col min="783" max="783" width="3" customWidth="1"/>
    <col min="784" max="784" width="7.28515625" customWidth="1"/>
    <col min="785" max="785" width="4.42578125" customWidth="1"/>
    <col min="786" max="786" width="7.5703125" customWidth="1"/>
    <col min="787" max="787" width="5.42578125" customWidth="1"/>
    <col min="788" max="788" width="8.28515625" customWidth="1"/>
    <col min="789" max="789" width="7.42578125" customWidth="1"/>
    <col min="790" max="790" width="3" customWidth="1"/>
    <col min="791" max="791" width="7.28515625" customWidth="1"/>
    <col min="792" max="792" width="4.42578125" customWidth="1"/>
    <col min="793" max="793" width="7.5703125" customWidth="1"/>
    <col min="794" max="794" width="5.42578125" customWidth="1"/>
    <col min="795" max="795" width="8.28515625" customWidth="1"/>
    <col min="796" max="796" width="7.42578125" customWidth="1"/>
    <col min="797" max="797" width="3" customWidth="1"/>
    <col min="798" max="798" width="7.28515625" customWidth="1"/>
    <col min="799" max="799" width="4.42578125" customWidth="1"/>
  </cols>
  <sheetData>
    <row r="1" spans="1:35">
      <c r="A1" s="110"/>
      <c r="B1" s="110" t="s">
        <v>147</v>
      </c>
    </row>
    <row r="2" spans="1:35">
      <c r="A2" s="110"/>
      <c r="B2" s="110" t="s">
        <v>148</v>
      </c>
    </row>
    <row r="3" spans="1:35">
      <c r="A3" s="362"/>
      <c r="B3" s="61" t="str">
        <f>INSTRUÇÕES!B3</f>
        <v>Subseção Judiciária de Pouso Alegre</v>
      </c>
    </row>
    <row r="4" spans="1:35" ht="6" customHeight="1"/>
    <row r="5" spans="1:35" ht="6" customHeight="1"/>
    <row r="6" spans="1:35" ht="15.75" customHeight="1">
      <c r="B6" s="708" t="s">
        <v>318</v>
      </c>
      <c r="C6" s="708"/>
      <c r="D6" s="708"/>
      <c r="E6" s="708"/>
      <c r="F6" s="708"/>
      <c r="G6" s="708"/>
      <c r="I6" s="708" t="s">
        <v>322</v>
      </c>
      <c r="J6" s="708"/>
      <c r="K6" s="708"/>
      <c r="L6" s="708"/>
      <c r="M6" s="708"/>
      <c r="N6" s="708"/>
      <c r="P6" s="708" t="s">
        <v>323</v>
      </c>
      <c r="Q6" s="708"/>
      <c r="R6" s="708"/>
      <c r="S6" s="708"/>
      <c r="T6" s="708"/>
      <c r="U6" s="708"/>
      <c r="W6" s="708" t="s">
        <v>324</v>
      </c>
      <c r="X6" s="708"/>
      <c r="Y6" s="708"/>
      <c r="Z6" s="708"/>
      <c r="AA6" s="708"/>
      <c r="AB6" s="708"/>
      <c r="AD6" s="708" t="s">
        <v>325</v>
      </c>
      <c r="AE6" s="708"/>
      <c r="AF6" s="708"/>
      <c r="AG6" s="708"/>
      <c r="AH6" s="708"/>
      <c r="AI6" s="708"/>
    </row>
    <row r="7" spans="1:35">
      <c r="B7" s="534" t="s">
        <v>626</v>
      </c>
      <c r="C7" s="709"/>
      <c r="D7" s="709"/>
      <c r="E7" s="709"/>
      <c r="F7" s="709"/>
      <c r="G7" s="709"/>
      <c r="I7" s="534" t="s">
        <v>626</v>
      </c>
      <c r="J7" s="709"/>
      <c r="K7" s="709"/>
      <c r="L7" s="709"/>
      <c r="M7" s="709"/>
      <c r="N7" s="709"/>
      <c r="P7" s="534" t="s">
        <v>626</v>
      </c>
      <c r="Q7" s="709"/>
      <c r="R7" s="709"/>
      <c r="S7" s="709"/>
      <c r="T7" s="709"/>
      <c r="U7" s="709"/>
      <c r="W7" s="534" t="s">
        <v>626</v>
      </c>
      <c r="X7" s="709"/>
      <c r="Y7" s="709"/>
      <c r="Z7" s="709"/>
      <c r="AA7" s="709"/>
      <c r="AB7" s="709"/>
      <c r="AD7" s="534" t="s">
        <v>626</v>
      </c>
      <c r="AE7" s="709"/>
      <c r="AF7" s="709"/>
      <c r="AG7" s="709"/>
      <c r="AH7" s="709"/>
      <c r="AI7" s="709"/>
    </row>
    <row r="8" spans="1:35" ht="25.5" customHeight="1">
      <c r="B8" s="619" t="s">
        <v>627</v>
      </c>
      <c r="C8" s="619"/>
      <c r="D8" s="232" t="s">
        <v>628</v>
      </c>
      <c r="E8" s="232" t="s">
        <v>629</v>
      </c>
      <c r="F8" s="232" t="s">
        <v>630</v>
      </c>
      <c r="G8" s="232" t="s">
        <v>631</v>
      </c>
      <c r="I8" s="619" t="s">
        <v>627</v>
      </c>
      <c r="J8" s="619"/>
      <c r="K8" s="232" t="s">
        <v>628</v>
      </c>
      <c r="L8" s="232" t="s">
        <v>629</v>
      </c>
      <c r="M8" s="232" t="s">
        <v>630</v>
      </c>
      <c r="N8" s="232" t="s">
        <v>631</v>
      </c>
      <c r="P8" s="619" t="s">
        <v>627</v>
      </c>
      <c r="Q8" s="619"/>
      <c r="R8" s="232" t="s">
        <v>628</v>
      </c>
      <c r="S8" s="232" t="s">
        <v>629</v>
      </c>
      <c r="T8" s="232" t="s">
        <v>630</v>
      </c>
      <c r="U8" s="232" t="s">
        <v>631</v>
      </c>
      <c r="W8" s="619" t="s">
        <v>627</v>
      </c>
      <c r="X8" s="619"/>
      <c r="Y8" s="232" t="s">
        <v>628</v>
      </c>
      <c r="Z8" s="232" t="s">
        <v>629</v>
      </c>
      <c r="AA8" s="232" t="s">
        <v>630</v>
      </c>
      <c r="AB8" s="232" t="s">
        <v>631</v>
      </c>
      <c r="AD8" s="619" t="s">
        <v>627</v>
      </c>
      <c r="AE8" s="619"/>
      <c r="AF8" s="232" t="s">
        <v>628</v>
      </c>
      <c r="AG8" s="232" t="s">
        <v>629</v>
      </c>
      <c r="AH8" s="232" t="s">
        <v>630</v>
      </c>
      <c r="AI8" s="232" t="s">
        <v>631</v>
      </c>
    </row>
    <row r="9" spans="1:35">
      <c r="B9" s="535" t="s">
        <v>632</v>
      </c>
      <c r="C9" s="535" t="s">
        <v>633</v>
      </c>
      <c r="D9" s="535" t="s">
        <v>634</v>
      </c>
      <c r="E9" s="535"/>
      <c r="F9" s="535" t="s">
        <v>635</v>
      </c>
      <c r="G9" s="536">
        <v>100</v>
      </c>
      <c r="I9" s="535" t="s">
        <v>632</v>
      </c>
      <c r="J9" s="535" t="s">
        <v>633</v>
      </c>
      <c r="K9" s="535" t="s">
        <v>634</v>
      </c>
      <c r="L9" s="535"/>
      <c r="M9" s="535" t="s">
        <v>635</v>
      </c>
      <c r="N9" s="536">
        <v>100</v>
      </c>
      <c r="P9" s="535" t="s">
        <v>632</v>
      </c>
      <c r="Q9" s="535" t="s">
        <v>633</v>
      </c>
      <c r="R9" s="535" t="s">
        <v>634</v>
      </c>
      <c r="S9" s="535"/>
      <c r="T9" s="535" t="s">
        <v>635</v>
      </c>
      <c r="U9" s="536">
        <v>100</v>
      </c>
      <c r="W9" s="535" t="s">
        <v>632</v>
      </c>
      <c r="X9" s="535" t="s">
        <v>633</v>
      </c>
      <c r="Y9" s="535" t="s">
        <v>634</v>
      </c>
      <c r="Z9" s="535"/>
      <c r="AA9" s="535" t="s">
        <v>635</v>
      </c>
      <c r="AB9" s="536">
        <v>100</v>
      </c>
      <c r="AD9" s="535" t="s">
        <v>632</v>
      </c>
      <c r="AE9" s="535" t="s">
        <v>633</v>
      </c>
      <c r="AF9" s="535" t="s">
        <v>634</v>
      </c>
      <c r="AG9" s="535"/>
      <c r="AH9" s="535" t="s">
        <v>635</v>
      </c>
      <c r="AI9" s="536">
        <v>100</v>
      </c>
    </row>
    <row r="10" spans="1:35">
      <c r="B10" s="535">
        <v>2023</v>
      </c>
      <c r="C10" s="537" t="s">
        <v>636</v>
      </c>
      <c r="D10" s="538"/>
      <c r="E10" s="539">
        <v>0</v>
      </c>
      <c r="F10" s="538">
        <f t="shared" ref="F10:F22" si="0">D10/30*E10</f>
        <v>0</v>
      </c>
      <c r="G10" s="540">
        <f t="shared" ref="G10:G22" si="1">(G9*F10)+G9</f>
        <v>100</v>
      </c>
      <c r="I10" s="535">
        <f t="shared" ref="I10:I22" si="2">B10+1</f>
        <v>2024</v>
      </c>
      <c r="J10" s="537" t="str">
        <f>$C$10</f>
        <v>AGO</v>
      </c>
      <c r="K10" s="538"/>
      <c r="L10" s="539">
        <f>$E$10</f>
        <v>0</v>
      </c>
      <c r="M10" s="538">
        <f t="shared" ref="M10:M22" si="3">K10/30*L10</f>
        <v>0</v>
      </c>
      <c r="N10" s="540">
        <f t="shared" ref="N10:N22" si="4">(N9*M10)+N9</f>
        <v>100</v>
      </c>
      <c r="P10" s="535">
        <f t="shared" ref="P10:P22" si="5">I10+1</f>
        <v>2025</v>
      </c>
      <c r="Q10" s="537" t="str">
        <f>$C$10</f>
        <v>AGO</v>
      </c>
      <c r="R10" s="538"/>
      <c r="S10" s="539">
        <f>$E$10</f>
        <v>0</v>
      </c>
      <c r="T10" s="538">
        <f t="shared" ref="T10:T22" si="6">R10/30*S10</f>
        <v>0</v>
      </c>
      <c r="U10" s="540">
        <f t="shared" ref="U10:U22" si="7">(U9*T10)+U9</f>
        <v>100</v>
      </c>
      <c r="W10" s="535">
        <f t="shared" ref="W10:W22" si="8">P10+1</f>
        <v>2026</v>
      </c>
      <c r="X10" s="537" t="str">
        <f>$C$10</f>
        <v>AGO</v>
      </c>
      <c r="Y10" s="538"/>
      <c r="Z10" s="539">
        <f>$E$10</f>
        <v>0</v>
      </c>
      <c r="AA10" s="538">
        <f t="shared" ref="AA10:AA22" si="9">Y10/30*Z10</f>
        <v>0</v>
      </c>
      <c r="AB10" s="540">
        <f t="shared" ref="AB10:AB22" si="10">(AB9*AA10)+AB9</f>
        <v>100</v>
      </c>
      <c r="AD10" s="535">
        <f t="shared" ref="AD10:AD22" si="11">W10+1</f>
        <v>2027</v>
      </c>
      <c r="AE10" s="537" t="str">
        <f>$C$10</f>
        <v>AGO</v>
      </c>
      <c r="AF10" s="538"/>
      <c r="AG10" s="539">
        <f>$E$10</f>
        <v>0</v>
      </c>
      <c r="AH10" s="538">
        <f t="shared" ref="AH10:AH22" si="12">AF10/30*AG10</f>
        <v>0</v>
      </c>
      <c r="AI10" s="540">
        <f t="shared" ref="AI10:AI22" si="13">(AI9*AH10)+AI9</f>
        <v>100</v>
      </c>
    </row>
    <row r="11" spans="1:35">
      <c r="B11" s="535">
        <v>2023</v>
      </c>
      <c r="C11" s="537" t="s">
        <v>637</v>
      </c>
      <c r="D11" s="538"/>
      <c r="E11" s="539"/>
      <c r="F11" s="538">
        <f t="shared" si="0"/>
        <v>0</v>
      </c>
      <c r="G11" s="540">
        <f t="shared" si="1"/>
        <v>100</v>
      </c>
      <c r="I11" s="535">
        <f t="shared" si="2"/>
        <v>2024</v>
      </c>
      <c r="J11" s="537" t="str">
        <f>$C$11</f>
        <v>SET</v>
      </c>
      <c r="K11" s="538"/>
      <c r="L11" s="539"/>
      <c r="M11" s="538">
        <f t="shared" si="3"/>
        <v>0</v>
      </c>
      <c r="N11" s="540">
        <f t="shared" si="4"/>
        <v>100</v>
      </c>
      <c r="P11" s="535">
        <f t="shared" si="5"/>
        <v>2025</v>
      </c>
      <c r="Q11" s="537" t="str">
        <f>$C$11</f>
        <v>SET</v>
      </c>
      <c r="R11" s="538"/>
      <c r="S11" s="539"/>
      <c r="T11" s="538">
        <f t="shared" si="6"/>
        <v>0</v>
      </c>
      <c r="U11" s="540">
        <f t="shared" si="7"/>
        <v>100</v>
      </c>
      <c r="W11" s="535">
        <f t="shared" si="8"/>
        <v>2026</v>
      </c>
      <c r="X11" s="537" t="str">
        <f>$C$11</f>
        <v>SET</v>
      </c>
      <c r="Y11" s="538"/>
      <c r="Z11" s="539"/>
      <c r="AA11" s="538">
        <f t="shared" si="9"/>
        <v>0</v>
      </c>
      <c r="AB11" s="540">
        <f t="shared" si="10"/>
        <v>100</v>
      </c>
      <c r="AD11" s="535">
        <f t="shared" si="11"/>
        <v>2027</v>
      </c>
      <c r="AE11" s="537" t="str">
        <f>$C$11</f>
        <v>SET</v>
      </c>
      <c r="AF11" s="538"/>
      <c r="AG11" s="539"/>
      <c r="AH11" s="538">
        <f t="shared" si="12"/>
        <v>0</v>
      </c>
      <c r="AI11" s="540">
        <f t="shared" si="13"/>
        <v>100</v>
      </c>
    </row>
    <row r="12" spans="1:35">
      <c r="B12" s="535">
        <v>2023</v>
      </c>
      <c r="C12" s="537" t="s">
        <v>638</v>
      </c>
      <c r="D12" s="538"/>
      <c r="E12" s="539"/>
      <c r="F12" s="538">
        <f t="shared" si="0"/>
        <v>0</v>
      </c>
      <c r="G12" s="540">
        <f t="shared" si="1"/>
        <v>100</v>
      </c>
      <c r="I12" s="535">
        <f t="shared" si="2"/>
        <v>2024</v>
      </c>
      <c r="J12" s="537" t="str">
        <f>$C$12</f>
        <v>OUT</v>
      </c>
      <c r="K12" s="538"/>
      <c r="L12" s="539"/>
      <c r="M12" s="538">
        <f t="shared" si="3"/>
        <v>0</v>
      </c>
      <c r="N12" s="540">
        <f t="shared" si="4"/>
        <v>100</v>
      </c>
      <c r="P12" s="535">
        <f t="shared" si="5"/>
        <v>2025</v>
      </c>
      <c r="Q12" s="537" t="str">
        <f>$C$12</f>
        <v>OUT</v>
      </c>
      <c r="R12" s="538"/>
      <c r="S12" s="539"/>
      <c r="T12" s="538">
        <f t="shared" si="6"/>
        <v>0</v>
      </c>
      <c r="U12" s="540">
        <f t="shared" si="7"/>
        <v>100</v>
      </c>
      <c r="W12" s="535">
        <f t="shared" si="8"/>
        <v>2026</v>
      </c>
      <c r="X12" s="537" t="str">
        <f>$C$12</f>
        <v>OUT</v>
      </c>
      <c r="Y12" s="538"/>
      <c r="Z12" s="539"/>
      <c r="AA12" s="538">
        <f t="shared" si="9"/>
        <v>0</v>
      </c>
      <c r="AB12" s="540">
        <f t="shared" si="10"/>
        <v>100</v>
      </c>
      <c r="AD12" s="535">
        <f t="shared" si="11"/>
        <v>2027</v>
      </c>
      <c r="AE12" s="537" t="str">
        <f>$C$12</f>
        <v>OUT</v>
      </c>
      <c r="AF12" s="538"/>
      <c r="AG12" s="539"/>
      <c r="AH12" s="538">
        <f t="shared" si="12"/>
        <v>0</v>
      </c>
      <c r="AI12" s="540">
        <f t="shared" si="13"/>
        <v>100</v>
      </c>
    </row>
    <row r="13" spans="1:35">
      <c r="B13" s="535">
        <v>2023</v>
      </c>
      <c r="C13" s="537" t="s">
        <v>639</v>
      </c>
      <c r="D13" s="538"/>
      <c r="E13" s="539"/>
      <c r="F13" s="538">
        <f t="shared" si="0"/>
        <v>0</v>
      </c>
      <c r="G13" s="540">
        <f t="shared" si="1"/>
        <v>100</v>
      </c>
      <c r="I13" s="535">
        <f t="shared" si="2"/>
        <v>2024</v>
      </c>
      <c r="J13" s="537" t="str">
        <f>$C$13</f>
        <v>NOV</v>
      </c>
      <c r="K13" s="538"/>
      <c r="L13" s="539"/>
      <c r="M13" s="538">
        <f t="shared" si="3"/>
        <v>0</v>
      </c>
      <c r="N13" s="540">
        <f t="shared" si="4"/>
        <v>100</v>
      </c>
      <c r="P13" s="535">
        <f t="shared" si="5"/>
        <v>2025</v>
      </c>
      <c r="Q13" s="537" t="str">
        <f>$C$13</f>
        <v>NOV</v>
      </c>
      <c r="R13" s="538"/>
      <c r="S13" s="539"/>
      <c r="T13" s="538">
        <f t="shared" si="6"/>
        <v>0</v>
      </c>
      <c r="U13" s="540">
        <f t="shared" si="7"/>
        <v>100</v>
      </c>
      <c r="W13" s="535">
        <f t="shared" si="8"/>
        <v>2026</v>
      </c>
      <c r="X13" s="537" t="str">
        <f>$C$13</f>
        <v>NOV</v>
      </c>
      <c r="Y13" s="538"/>
      <c r="Z13" s="539"/>
      <c r="AA13" s="538">
        <f t="shared" si="9"/>
        <v>0</v>
      </c>
      <c r="AB13" s="540">
        <f t="shared" si="10"/>
        <v>100</v>
      </c>
      <c r="AD13" s="535">
        <f t="shared" si="11"/>
        <v>2027</v>
      </c>
      <c r="AE13" s="537" t="str">
        <f>$C$13</f>
        <v>NOV</v>
      </c>
      <c r="AF13" s="538"/>
      <c r="AG13" s="539"/>
      <c r="AH13" s="538">
        <f t="shared" si="12"/>
        <v>0</v>
      </c>
      <c r="AI13" s="540">
        <f t="shared" si="13"/>
        <v>100</v>
      </c>
    </row>
    <row r="14" spans="1:35">
      <c r="B14" s="535">
        <v>2023</v>
      </c>
      <c r="C14" s="537" t="s">
        <v>640</v>
      </c>
      <c r="D14" s="538"/>
      <c r="E14" s="539"/>
      <c r="F14" s="538">
        <f t="shared" si="0"/>
        <v>0</v>
      </c>
      <c r="G14" s="540">
        <f t="shared" si="1"/>
        <v>100</v>
      </c>
      <c r="I14" s="535">
        <f t="shared" si="2"/>
        <v>2024</v>
      </c>
      <c r="J14" s="537" t="str">
        <f>$C$14</f>
        <v>DEZ</v>
      </c>
      <c r="K14" s="538"/>
      <c r="L14" s="539"/>
      <c r="M14" s="538">
        <f t="shared" si="3"/>
        <v>0</v>
      </c>
      <c r="N14" s="540">
        <f t="shared" si="4"/>
        <v>100</v>
      </c>
      <c r="P14" s="535">
        <f t="shared" si="5"/>
        <v>2025</v>
      </c>
      <c r="Q14" s="537" t="str">
        <f>$C$14</f>
        <v>DEZ</v>
      </c>
      <c r="R14" s="538"/>
      <c r="S14" s="539"/>
      <c r="T14" s="538">
        <f t="shared" si="6"/>
        <v>0</v>
      </c>
      <c r="U14" s="540">
        <f t="shared" si="7"/>
        <v>100</v>
      </c>
      <c r="W14" s="535">
        <f t="shared" si="8"/>
        <v>2026</v>
      </c>
      <c r="X14" s="537" t="str">
        <f>$C$14</f>
        <v>DEZ</v>
      </c>
      <c r="Y14" s="538"/>
      <c r="Z14" s="539"/>
      <c r="AA14" s="538">
        <f t="shared" si="9"/>
        <v>0</v>
      </c>
      <c r="AB14" s="540">
        <f t="shared" si="10"/>
        <v>100</v>
      </c>
      <c r="AD14" s="535">
        <f t="shared" si="11"/>
        <v>2027</v>
      </c>
      <c r="AE14" s="537" t="str">
        <f>$C$14</f>
        <v>DEZ</v>
      </c>
      <c r="AF14" s="538"/>
      <c r="AG14" s="539"/>
      <c r="AH14" s="538">
        <f t="shared" si="12"/>
        <v>0</v>
      </c>
      <c r="AI14" s="540">
        <f t="shared" si="13"/>
        <v>100</v>
      </c>
    </row>
    <row r="15" spans="1:35">
      <c r="B15" s="535">
        <v>2023</v>
      </c>
      <c r="C15" s="537" t="s">
        <v>640</v>
      </c>
      <c r="D15" s="538"/>
      <c r="E15" s="539"/>
      <c r="F15" s="538">
        <f t="shared" si="0"/>
        <v>0</v>
      </c>
      <c r="G15" s="540">
        <f t="shared" si="1"/>
        <v>100</v>
      </c>
      <c r="I15" s="535">
        <f t="shared" si="2"/>
        <v>2024</v>
      </c>
      <c r="J15" s="537" t="str">
        <f>$C$15</f>
        <v>DEZ</v>
      </c>
      <c r="K15" s="538"/>
      <c r="L15" s="539"/>
      <c r="M15" s="538">
        <f t="shared" si="3"/>
        <v>0</v>
      </c>
      <c r="N15" s="540">
        <f t="shared" si="4"/>
        <v>100</v>
      </c>
      <c r="P15" s="535">
        <f t="shared" si="5"/>
        <v>2025</v>
      </c>
      <c r="Q15" s="537" t="str">
        <f>$C$15</f>
        <v>DEZ</v>
      </c>
      <c r="R15" s="538"/>
      <c r="S15" s="539"/>
      <c r="T15" s="538">
        <f t="shared" si="6"/>
        <v>0</v>
      </c>
      <c r="U15" s="540">
        <f t="shared" si="7"/>
        <v>100</v>
      </c>
      <c r="W15" s="535">
        <f t="shared" si="8"/>
        <v>2026</v>
      </c>
      <c r="X15" s="537" t="str">
        <f>$C$15</f>
        <v>DEZ</v>
      </c>
      <c r="Y15" s="538"/>
      <c r="Z15" s="539"/>
      <c r="AA15" s="538">
        <f t="shared" si="9"/>
        <v>0</v>
      </c>
      <c r="AB15" s="540">
        <f t="shared" si="10"/>
        <v>100</v>
      </c>
      <c r="AD15" s="535">
        <f t="shared" si="11"/>
        <v>2027</v>
      </c>
      <c r="AE15" s="537" t="str">
        <f>$C$15</f>
        <v>DEZ</v>
      </c>
      <c r="AF15" s="538"/>
      <c r="AG15" s="539"/>
      <c r="AH15" s="538">
        <f t="shared" si="12"/>
        <v>0</v>
      </c>
      <c r="AI15" s="540">
        <f t="shared" si="13"/>
        <v>100</v>
      </c>
    </row>
    <row r="16" spans="1:35">
      <c r="B16" s="535">
        <v>2024</v>
      </c>
      <c r="C16" s="541" t="s">
        <v>641</v>
      </c>
      <c r="D16" s="542"/>
      <c r="E16" s="543"/>
      <c r="F16" s="538">
        <f t="shared" si="0"/>
        <v>0</v>
      </c>
      <c r="G16" s="540">
        <f t="shared" si="1"/>
        <v>100</v>
      </c>
      <c r="I16" s="535">
        <f t="shared" si="2"/>
        <v>2025</v>
      </c>
      <c r="J16" s="537" t="str">
        <f>$C$16</f>
        <v>JAN</v>
      </c>
      <c r="K16" s="542"/>
      <c r="L16" s="539"/>
      <c r="M16" s="538">
        <f t="shared" si="3"/>
        <v>0</v>
      </c>
      <c r="N16" s="540">
        <f t="shared" si="4"/>
        <v>100</v>
      </c>
      <c r="P16" s="535">
        <f t="shared" si="5"/>
        <v>2026</v>
      </c>
      <c r="Q16" s="537" t="str">
        <f>$C$16</f>
        <v>JAN</v>
      </c>
      <c r="R16" s="542"/>
      <c r="S16" s="539"/>
      <c r="T16" s="538">
        <f t="shared" si="6"/>
        <v>0</v>
      </c>
      <c r="U16" s="540">
        <f t="shared" si="7"/>
        <v>100</v>
      </c>
      <c r="W16" s="535">
        <f t="shared" si="8"/>
        <v>2027</v>
      </c>
      <c r="X16" s="537" t="str">
        <f>$C$16</f>
        <v>JAN</v>
      </c>
      <c r="Y16" s="542"/>
      <c r="Z16" s="539"/>
      <c r="AA16" s="538">
        <f t="shared" si="9"/>
        <v>0</v>
      </c>
      <c r="AB16" s="540">
        <f t="shared" si="10"/>
        <v>100</v>
      </c>
      <c r="AD16" s="535">
        <f t="shared" si="11"/>
        <v>2028</v>
      </c>
      <c r="AE16" s="537" t="str">
        <f>$C$16</f>
        <v>JAN</v>
      </c>
      <c r="AF16" s="542"/>
      <c r="AG16" s="539"/>
      <c r="AH16" s="538">
        <f t="shared" si="12"/>
        <v>0</v>
      </c>
      <c r="AI16" s="540">
        <f t="shared" si="13"/>
        <v>100</v>
      </c>
    </row>
    <row r="17" spans="2:35">
      <c r="B17" s="535">
        <v>2024</v>
      </c>
      <c r="C17" s="537" t="s">
        <v>642</v>
      </c>
      <c r="D17" s="538"/>
      <c r="E17" s="539"/>
      <c r="F17" s="538">
        <f t="shared" si="0"/>
        <v>0</v>
      </c>
      <c r="G17" s="540">
        <f t="shared" si="1"/>
        <v>100</v>
      </c>
      <c r="I17" s="535">
        <f t="shared" si="2"/>
        <v>2025</v>
      </c>
      <c r="J17" s="537" t="str">
        <f>$C$17</f>
        <v>FEV</v>
      </c>
      <c r="K17" s="538"/>
      <c r="L17" s="539"/>
      <c r="M17" s="538">
        <f t="shared" si="3"/>
        <v>0</v>
      </c>
      <c r="N17" s="540">
        <f t="shared" si="4"/>
        <v>100</v>
      </c>
      <c r="P17" s="535">
        <f t="shared" si="5"/>
        <v>2026</v>
      </c>
      <c r="Q17" s="537" t="str">
        <f>$C$17</f>
        <v>FEV</v>
      </c>
      <c r="R17" s="538"/>
      <c r="S17" s="539"/>
      <c r="T17" s="538">
        <f t="shared" si="6"/>
        <v>0</v>
      </c>
      <c r="U17" s="540">
        <f t="shared" si="7"/>
        <v>100</v>
      </c>
      <c r="W17" s="535">
        <f t="shared" si="8"/>
        <v>2027</v>
      </c>
      <c r="X17" s="537" t="str">
        <f>$C$17</f>
        <v>FEV</v>
      </c>
      <c r="Y17" s="538"/>
      <c r="Z17" s="539"/>
      <c r="AA17" s="538">
        <f t="shared" si="9"/>
        <v>0</v>
      </c>
      <c r="AB17" s="540">
        <f t="shared" si="10"/>
        <v>100</v>
      </c>
      <c r="AD17" s="535">
        <f t="shared" si="11"/>
        <v>2028</v>
      </c>
      <c r="AE17" s="537" t="str">
        <f>$C$17</f>
        <v>FEV</v>
      </c>
      <c r="AF17" s="538"/>
      <c r="AG17" s="539"/>
      <c r="AH17" s="538">
        <f t="shared" si="12"/>
        <v>0</v>
      </c>
      <c r="AI17" s="540">
        <f t="shared" si="13"/>
        <v>100</v>
      </c>
    </row>
    <row r="18" spans="2:35">
      <c r="B18" s="535">
        <v>2024</v>
      </c>
      <c r="C18" s="541" t="s">
        <v>643</v>
      </c>
      <c r="D18" s="538"/>
      <c r="E18" s="539"/>
      <c r="F18" s="538">
        <f t="shared" si="0"/>
        <v>0</v>
      </c>
      <c r="G18" s="540">
        <f t="shared" si="1"/>
        <v>100</v>
      </c>
      <c r="I18" s="535">
        <f t="shared" si="2"/>
        <v>2025</v>
      </c>
      <c r="J18" s="537" t="str">
        <f>$C$18</f>
        <v>MAR</v>
      </c>
      <c r="K18" s="538"/>
      <c r="L18" s="539"/>
      <c r="M18" s="538">
        <f t="shared" si="3"/>
        <v>0</v>
      </c>
      <c r="N18" s="540">
        <f t="shared" si="4"/>
        <v>100</v>
      </c>
      <c r="P18" s="535">
        <f t="shared" si="5"/>
        <v>2026</v>
      </c>
      <c r="Q18" s="537" t="str">
        <f>$C$18</f>
        <v>MAR</v>
      </c>
      <c r="R18" s="538"/>
      <c r="S18" s="539"/>
      <c r="T18" s="538">
        <f t="shared" si="6"/>
        <v>0</v>
      </c>
      <c r="U18" s="540">
        <f t="shared" si="7"/>
        <v>100</v>
      </c>
      <c r="W18" s="535">
        <f t="shared" si="8"/>
        <v>2027</v>
      </c>
      <c r="X18" s="537" t="str">
        <f>$C$18</f>
        <v>MAR</v>
      </c>
      <c r="Y18" s="538"/>
      <c r="Z18" s="539"/>
      <c r="AA18" s="538">
        <f t="shared" si="9"/>
        <v>0</v>
      </c>
      <c r="AB18" s="540">
        <f t="shared" si="10"/>
        <v>100</v>
      </c>
      <c r="AD18" s="535">
        <f t="shared" si="11"/>
        <v>2028</v>
      </c>
      <c r="AE18" s="537" t="str">
        <f>$C$18</f>
        <v>MAR</v>
      </c>
      <c r="AF18" s="538"/>
      <c r="AG18" s="539"/>
      <c r="AH18" s="538">
        <f t="shared" si="12"/>
        <v>0</v>
      </c>
      <c r="AI18" s="540">
        <f t="shared" si="13"/>
        <v>100</v>
      </c>
    </row>
    <row r="19" spans="2:35">
      <c r="B19" s="535">
        <v>2024</v>
      </c>
      <c r="C19" s="537" t="s">
        <v>644</v>
      </c>
      <c r="D19" s="538"/>
      <c r="E19" s="539"/>
      <c r="F19" s="538">
        <f t="shared" si="0"/>
        <v>0</v>
      </c>
      <c r="G19" s="540">
        <f t="shared" si="1"/>
        <v>100</v>
      </c>
      <c r="I19" s="535">
        <f t="shared" si="2"/>
        <v>2025</v>
      </c>
      <c r="J19" s="537" t="str">
        <f>$C$19</f>
        <v>ABR</v>
      </c>
      <c r="K19" s="538"/>
      <c r="L19" s="539"/>
      <c r="M19" s="538">
        <f t="shared" si="3"/>
        <v>0</v>
      </c>
      <c r="N19" s="540">
        <f t="shared" si="4"/>
        <v>100</v>
      </c>
      <c r="P19" s="535">
        <f t="shared" si="5"/>
        <v>2026</v>
      </c>
      <c r="Q19" s="537" t="str">
        <f>$C$19</f>
        <v>ABR</v>
      </c>
      <c r="R19" s="538"/>
      <c r="S19" s="539"/>
      <c r="T19" s="538">
        <f t="shared" si="6"/>
        <v>0</v>
      </c>
      <c r="U19" s="540">
        <f t="shared" si="7"/>
        <v>100</v>
      </c>
      <c r="W19" s="535">
        <f t="shared" si="8"/>
        <v>2027</v>
      </c>
      <c r="X19" s="537" t="str">
        <f>$C$19</f>
        <v>ABR</v>
      </c>
      <c r="Y19" s="538"/>
      <c r="Z19" s="539"/>
      <c r="AA19" s="538">
        <f t="shared" si="9"/>
        <v>0</v>
      </c>
      <c r="AB19" s="540">
        <f t="shared" si="10"/>
        <v>100</v>
      </c>
      <c r="AD19" s="535">
        <f t="shared" si="11"/>
        <v>2028</v>
      </c>
      <c r="AE19" s="537" t="str">
        <f>$C$19</f>
        <v>ABR</v>
      </c>
      <c r="AF19" s="538"/>
      <c r="AG19" s="539"/>
      <c r="AH19" s="538">
        <f t="shared" si="12"/>
        <v>0</v>
      </c>
      <c r="AI19" s="540">
        <f t="shared" si="13"/>
        <v>100</v>
      </c>
    </row>
    <row r="20" spans="2:35">
      <c r="B20" s="535">
        <v>2024</v>
      </c>
      <c r="C20" s="541" t="s">
        <v>645</v>
      </c>
      <c r="D20" s="538"/>
      <c r="E20" s="539"/>
      <c r="F20" s="538">
        <f t="shared" si="0"/>
        <v>0</v>
      </c>
      <c r="G20" s="540">
        <f t="shared" si="1"/>
        <v>100</v>
      </c>
      <c r="I20" s="535">
        <f t="shared" si="2"/>
        <v>2025</v>
      </c>
      <c r="J20" s="537" t="str">
        <f>$C$20</f>
        <v>MAI</v>
      </c>
      <c r="K20" s="538"/>
      <c r="L20" s="539"/>
      <c r="M20" s="538">
        <f t="shared" si="3"/>
        <v>0</v>
      </c>
      <c r="N20" s="540">
        <f t="shared" si="4"/>
        <v>100</v>
      </c>
      <c r="P20" s="535">
        <f t="shared" si="5"/>
        <v>2026</v>
      </c>
      <c r="Q20" s="537" t="str">
        <f>$C$20</f>
        <v>MAI</v>
      </c>
      <c r="R20" s="538"/>
      <c r="S20" s="539"/>
      <c r="T20" s="538">
        <f t="shared" si="6"/>
        <v>0</v>
      </c>
      <c r="U20" s="540">
        <f t="shared" si="7"/>
        <v>100</v>
      </c>
      <c r="W20" s="535">
        <f t="shared" si="8"/>
        <v>2027</v>
      </c>
      <c r="X20" s="537" t="str">
        <f>$C$20</f>
        <v>MAI</v>
      </c>
      <c r="Y20" s="538"/>
      <c r="Z20" s="539"/>
      <c r="AA20" s="538">
        <f t="shared" si="9"/>
        <v>0</v>
      </c>
      <c r="AB20" s="540">
        <f t="shared" si="10"/>
        <v>100</v>
      </c>
      <c r="AD20" s="535">
        <f t="shared" si="11"/>
        <v>2028</v>
      </c>
      <c r="AE20" s="537" t="str">
        <f>$C$20</f>
        <v>MAI</v>
      </c>
      <c r="AF20" s="538"/>
      <c r="AG20" s="539"/>
      <c r="AH20" s="538">
        <f t="shared" si="12"/>
        <v>0</v>
      </c>
      <c r="AI20" s="540">
        <f t="shared" si="13"/>
        <v>100</v>
      </c>
    </row>
    <row r="21" spans="2:35">
      <c r="B21" s="535">
        <v>2024</v>
      </c>
      <c r="C21" s="537" t="s">
        <v>646</v>
      </c>
      <c r="D21" s="538"/>
      <c r="E21" s="539"/>
      <c r="F21" s="538">
        <f t="shared" si="0"/>
        <v>0</v>
      </c>
      <c r="G21" s="540">
        <f t="shared" si="1"/>
        <v>100</v>
      </c>
      <c r="I21" s="535">
        <f t="shared" si="2"/>
        <v>2025</v>
      </c>
      <c r="J21" s="537" t="str">
        <f>$C$21</f>
        <v>JUN</v>
      </c>
      <c r="K21" s="538"/>
      <c r="L21" s="539"/>
      <c r="M21" s="538">
        <f t="shared" si="3"/>
        <v>0</v>
      </c>
      <c r="N21" s="540">
        <f t="shared" si="4"/>
        <v>100</v>
      </c>
      <c r="P21" s="535">
        <f t="shared" si="5"/>
        <v>2026</v>
      </c>
      <c r="Q21" s="537" t="str">
        <f>$C$21</f>
        <v>JUN</v>
      </c>
      <c r="R21" s="538"/>
      <c r="S21" s="539"/>
      <c r="T21" s="538">
        <f t="shared" si="6"/>
        <v>0</v>
      </c>
      <c r="U21" s="540">
        <f t="shared" si="7"/>
        <v>100</v>
      </c>
      <c r="W21" s="535">
        <f t="shared" si="8"/>
        <v>2027</v>
      </c>
      <c r="X21" s="537" t="str">
        <f>$C$21</f>
        <v>JUN</v>
      </c>
      <c r="Y21" s="538"/>
      <c r="Z21" s="539"/>
      <c r="AA21" s="538">
        <f t="shared" si="9"/>
        <v>0</v>
      </c>
      <c r="AB21" s="540">
        <f t="shared" si="10"/>
        <v>100</v>
      </c>
      <c r="AD21" s="535">
        <f t="shared" si="11"/>
        <v>2028</v>
      </c>
      <c r="AE21" s="537" t="str">
        <f>$C$21</f>
        <v>JUN</v>
      </c>
      <c r="AF21" s="538"/>
      <c r="AG21" s="539"/>
      <c r="AH21" s="538">
        <f t="shared" si="12"/>
        <v>0</v>
      </c>
      <c r="AI21" s="540">
        <f t="shared" si="13"/>
        <v>100</v>
      </c>
    </row>
    <row r="22" spans="2:35">
      <c r="B22" s="535">
        <v>2024</v>
      </c>
      <c r="C22" s="541" t="s">
        <v>647</v>
      </c>
      <c r="D22" s="538"/>
      <c r="E22" s="539">
        <v>0</v>
      </c>
      <c r="F22" s="538">
        <f t="shared" si="0"/>
        <v>0</v>
      </c>
      <c r="G22" s="540">
        <f t="shared" si="1"/>
        <v>100</v>
      </c>
      <c r="I22" s="535">
        <f t="shared" si="2"/>
        <v>2025</v>
      </c>
      <c r="J22" s="537" t="str">
        <f>$C$22</f>
        <v>JUL</v>
      </c>
      <c r="K22" s="538"/>
      <c r="L22" s="539">
        <f>$E$22</f>
        <v>0</v>
      </c>
      <c r="M22" s="538">
        <f t="shared" si="3"/>
        <v>0</v>
      </c>
      <c r="N22" s="540">
        <f t="shared" si="4"/>
        <v>100</v>
      </c>
      <c r="P22" s="535">
        <f t="shared" si="5"/>
        <v>2026</v>
      </c>
      <c r="Q22" s="537" t="str">
        <f>$C$22</f>
        <v>JUL</v>
      </c>
      <c r="R22" s="538"/>
      <c r="S22" s="539">
        <f>$E$22</f>
        <v>0</v>
      </c>
      <c r="T22" s="538">
        <f t="shared" si="6"/>
        <v>0</v>
      </c>
      <c r="U22" s="540">
        <f t="shared" si="7"/>
        <v>100</v>
      </c>
      <c r="W22" s="535">
        <f t="shared" si="8"/>
        <v>2027</v>
      </c>
      <c r="X22" s="537" t="str">
        <f>$C$22</f>
        <v>JUL</v>
      </c>
      <c r="Y22" s="538"/>
      <c r="Z22" s="539">
        <f>$E$22</f>
        <v>0</v>
      </c>
      <c r="AA22" s="538">
        <f t="shared" si="9"/>
        <v>0</v>
      </c>
      <c r="AB22" s="540">
        <f t="shared" si="10"/>
        <v>100</v>
      </c>
      <c r="AD22" s="535">
        <f t="shared" si="11"/>
        <v>2028</v>
      </c>
      <c r="AE22" s="537" t="str">
        <f>$C$22</f>
        <v>JUL</v>
      </c>
      <c r="AF22" s="538"/>
      <c r="AG22" s="539">
        <f>$E$22</f>
        <v>0</v>
      </c>
      <c r="AH22" s="538">
        <f t="shared" si="12"/>
        <v>0</v>
      </c>
      <c r="AI22" s="540">
        <f t="shared" si="13"/>
        <v>100</v>
      </c>
    </row>
    <row r="23" spans="2:35">
      <c r="B23" s="710" t="s">
        <v>648</v>
      </c>
      <c r="C23" s="710"/>
      <c r="D23" s="710"/>
      <c r="E23" s="710"/>
      <c r="F23" s="710"/>
      <c r="G23" s="544">
        <f>ROUND(((G22-G9)/G9),4)</f>
        <v>0</v>
      </c>
      <c r="I23" s="710" t="s">
        <v>648</v>
      </c>
      <c r="J23" s="710"/>
      <c r="K23" s="710"/>
      <c r="L23" s="710"/>
      <c r="M23" s="710"/>
      <c r="N23" s="544">
        <f>ROUND(((N22-N9)/N9),4)</f>
        <v>0</v>
      </c>
      <c r="P23" s="710" t="s">
        <v>648</v>
      </c>
      <c r="Q23" s="710"/>
      <c r="R23" s="710"/>
      <c r="S23" s="710"/>
      <c r="T23" s="710"/>
      <c r="U23" s="544">
        <f>ROUND(((U22-U9)/U9),4)</f>
        <v>0</v>
      </c>
      <c r="W23" s="710" t="s">
        <v>648</v>
      </c>
      <c r="X23" s="710"/>
      <c r="Y23" s="710"/>
      <c r="Z23" s="710"/>
      <c r="AA23" s="710"/>
      <c r="AB23" s="544">
        <f>ROUND(((AB22-AB9)/AB9),4)</f>
        <v>0</v>
      </c>
      <c r="AD23" s="710" t="s">
        <v>648</v>
      </c>
      <c r="AE23" s="710"/>
      <c r="AF23" s="710"/>
      <c r="AG23" s="710"/>
      <c r="AH23" s="710"/>
      <c r="AI23" s="544">
        <f>ROUND(((AI22-AI9)/AI9),4)</f>
        <v>0</v>
      </c>
    </row>
  </sheetData>
  <mergeCells count="20">
    <mergeCell ref="B23:F23"/>
    <mergeCell ref="I23:M23"/>
    <mergeCell ref="P23:T23"/>
    <mergeCell ref="W23:AA23"/>
    <mergeCell ref="AD23:AH23"/>
    <mergeCell ref="B8:C8"/>
    <mergeCell ref="I8:J8"/>
    <mergeCell ref="P8:Q8"/>
    <mergeCell ref="W8:X8"/>
    <mergeCell ref="AD8:AE8"/>
    <mergeCell ref="C7:G7"/>
    <mergeCell ref="J7:N7"/>
    <mergeCell ref="Q7:U7"/>
    <mergeCell ref="X7:AB7"/>
    <mergeCell ref="AE7:AI7"/>
    <mergeCell ref="B6:G6"/>
    <mergeCell ref="I6:N6"/>
    <mergeCell ref="P6:U6"/>
    <mergeCell ref="W6:AB6"/>
    <mergeCell ref="AD6:AI6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77"/>
  <sheetViews>
    <sheetView showGridLines="0" zoomScaleNormal="100" workbookViewId="0">
      <selection activeCell="C72" sqref="C72"/>
    </sheetView>
  </sheetViews>
  <sheetFormatPr defaultColWidth="9.140625" defaultRowHeight="15"/>
  <cols>
    <col min="1" max="1" width="6.28515625" style="57" customWidth="1"/>
    <col min="2" max="2" width="8.7109375" style="106" customWidth="1"/>
    <col min="3" max="3" width="4" style="61" customWidth="1"/>
    <col min="4" max="23" width="9.140625" style="61"/>
    <col min="24" max="24" width="10.7109375" style="61" customWidth="1"/>
    <col min="25" max="256" width="9.140625" style="61"/>
    <col min="257" max="257" width="4.5703125" style="61" customWidth="1"/>
    <col min="258" max="258" width="11.140625" style="61" customWidth="1"/>
    <col min="259" max="259" width="4" style="61" customWidth="1"/>
    <col min="260" max="512" width="9.140625" style="61"/>
    <col min="513" max="513" width="4.5703125" style="61" customWidth="1"/>
    <col min="514" max="514" width="11.140625" style="61" customWidth="1"/>
    <col min="515" max="515" width="4" style="61" customWidth="1"/>
    <col min="516" max="768" width="9.140625" style="61"/>
    <col min="769" max="769" width="4.5703125" style="61" customWidth="1"/>
    <col min="770" max="770" width="11.140625" style="61" customWidth="1"/>
    <col min="771" max="771" width="4" style="61" customWidth="1"/>
    <col min="772" max="1024" width="9.140625" style="61"/>
  </cols>
  <sheetData>
    <row r="1" spans="1:24">
      <c r="A1" s="107"/>
      <c r="B1" s="108" t="s">
        <v>147</v>
      </c>
    </row>
    <row r="2" spans="1:24">
      <c r="A2" s="109"/>
      <c r="B2" s="110" t="s">
        <v>148</v>
      </c>
    </row>
    <row r="3" spans="1:24">
      <c r="A3" s="109"/>
      <c r="B3" s="61" t="s">
        <v>149</v>
      </c>
    </row>
    <row r="4" spans="1:24" s="17" customFormat="1" ht="15.75">
      <c r="A4" s="579" t="s">
        <v>150</v>
      </c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579"/>
      <c r="V4" s="579"/>
      <c r="W4" s="579"/>
      <c r="X4" s="579"/>
    </row>
    <row r="5" spans="1:24" ht="12" customHeight="1"/>
    <row r="6" spans="1:24">
      <c r="A6" s="112" t="s">
        <v>151</v>
      </c>
      <c r="B6" s="113" t="s">
        <v>152</v>
      </c>
    </row>
    <row r="7" spans="1:24" ht="7.5" customHeight="1"/>
    <row r="8" spans="1:24">
      <c r="B8" s="114"/>
      <c r="C8" s="106" t="s">
        <v>153</v>
      </c>
    </row>
    <row r="10" spans="1:24">
      <c r="A10" s="112" t="s">
        <v>154</v>
      </c>
      <c r="B10" s="106" t="s">
        <v>155</v>
      </c>
    </row>
    <row r="12" spans="1:24">
      <c r="A12" s="112" t="s">
        <v>156</v>
      </c>
      <c r="B12" s="106" t="s">
        <v>157</v>
      </c>
    </row>
    <row r="13" spans="1:24">
      <c r="A13" s="112"/>
      <c r="B13" s="106" t="s">
        <v>158</v>
      </c>
    </row>
    <row r="14" spans="1:24" s="116" customFormat="1" ht="17.25" customHeight="1">
      <c r="A14" s="112"/>
      <c r="B14" s="115" t="s">
        <v>159</v>
      </c>
    </row>
    <row r="15" spans="1:24" ht="7.5" customHeight="1"/>
    <row r="16" spans="1:24">
      <c r="B16" s="117" t="s">
        <v>160</v>
      </c>
      <c r="C16" s="118" t="s">
        <v>161</v>
      </c>
      <c r="D16" s="118"/>
      <c r="E16" s="118"/>
      <c r="F16" s="118"/>
      <c r="G16" s="118"/>
    </row>
    <row r="18" spans="3:4">
      <c r="C18" s="119" t="s">
        <v>162</v>
      </c>
      <c r="D18" s="119" t="s">
        <v>163</v>
      </c>
    </row>
    <row r="19" spans="3:4">
      <c r="D19" s="61" t="s">
        <v>164</v>
      </c>
    </row>
    <row r="20" spans="3:4">
      <c r="D20" s="61" t="s">
        <v>165</v>
      </c>
    </row>
    <row r="21" spans="3:4">
      <c r="D21" s="61" t="s">
        <v>166</v>
      </c>
    </row>
    <row r="22" spans="3:4">
      <c r="D22" s="61" t="s">
        <v>167</v>
      </c>
    </row>
    <row r="23" spans="3:4">
      <c r="D23" s="61" t="s">
        <v>168</v>
      </c>
    </row>
    <row r="24" spans="3:4">
      <c r="D24" s="61" t="s">
        <v>169</v>
      </c>
    </row>
    <row r="25" spans="3:4">
      <c r="D25" s="61" t="s">
        <v>170</v>
      </c>
    </row>
    <row r="26" spans="3:4">
      <c r="D26" s="61" t="s">
        <v>171</v>
      </c>
    </row>
    <row r="27" spans="3:4">
      <c r="D27" s="61" t="s">
        <v>172</v>
      </c>
    </row>
    <row r="28" spans="3:4">
      <c r="D28" s="61" t="s">
        <v>173</v>
      </c>
    </row>
    <row r="29" spans="3:4">
      <c r="D29" s="61" t="s">
        <v>174</v>
      </c>
    </row>
    <row r="30" spans="3:4">
      <c r="D30" s="61" t="s">
        <v>175</v>
      </c>
    </row>
    <row r="31" spans="3:4">
      <c r="D31" s="61" t="s">
        <v>176</v>
      </c>
    </row>
    <row r="32" spans="3:4">
      <c r="D32" s="61" t="s">
        <v>177</v>
      </c>
    </row>
    <row r="33" spans="3:8">
      <c r="D33" s="61" t="s">
        <v>178</v>
      </c>
    </row>
    <row r="34" spans="3:8">
      <c r="D34" s="61" t="s">
        <v>179</v>
      </c>
    </row>
    <row r="35" spans="3:8">
      <c r="D35" s="61" t="s">
        <v>180</v>
      </c>
    </row>
    <row r="36" spans="3:8">
      <c r="D36" s="61" t="s">
        <v>181</v>
      </c>
    </row>
    <row r="37" spans="3:8">
      <c r="D37" s="61" t="s">
        <v>182</v>
      </c>
    </row>
    <row r="38" spans="3:8">
      <c r="D38" s="61" t="s">
        <v>183</v>
      </c>
    </row>
    <row r="39" spans="3:8">
      <c r="D39" s="61" t="s">
        <v>184</v>
      </c>
    </row>
    <row r="40" spans="3:8">
      <c r="D40" s="118" t="s">
        <v>185</v>
      </c>
      <c r="E40" s="118"/>
      <c r="F40" s="118"/>
      <c r="G40" s="118"/>
      <c r="H40" s="118"/>
    </row>
    <row r="42" spans="3:8">
      <c r="C42" s="119" t="s">
        <v>186</v>
      </c>
      <c r="D42" s="119" t="s">
        <v>187</v>
      </c>
    </row>
    <row r="43" spans="3:8">
      <c r="D43" s="61" t="s">
        <v>188</v>
      </c>
    </row>
    <row r="44" spans="3:8">
      <c r="D44" s="61" t="s">
        <v>189</v>
      </c>
    </row>
    <row r="45" spans="3:8">
      <c r="D45" s="118" t="s">
        <v>185</v>
      </c>
      <c r="E45" s="118"/>
      <c r="F45" s="118"/>
      <c r="G45" s="118"/>
      <c r="H45" s="118"/>
    </row>
    <row r="47" spans="3:8">
      <c r="C47" s="119" t="s">
        <v>190</v>
      </c>
      <c r="D47" s="119" t="s">
        <v>191</v>
      </c>
    </row>
    <row r="48" spans="3:8">
      <c r="D48" s="61" t="s">
        <v>192</v>
      </c>
    </row>
    <row r="49" spans="3:8">
      <c r="D49" s="61" t="s">
        <v>193</v>
      </c>
    </row>
    <row r="50" spans="3:8">
      <c r="E50" s="61" t="s">
        <v>194</v>
      </c>
    </row>
    <row r="51" spans="3:8">
      <c r="E51" s="120" t="s">
        <v>195</v>
      </c>
    </row>
    <row r="52" spans="3:8">
      <c r="D52" s="61" t="s">
        <v>196</v>
      </c>
    </row>
    <row r="53" spans="3:8">
      <c r="D53" s="118" t="s">
        <v>185</v>
      </c>
      <c r="E53" s="118"/>
      <c r="F53" s="118"/>
      <c r="G53" s="118"/>
      <c r="H53" s="118"/>
    </row>
    <row r="55" spans="3:8">
      <c r="C55" s="119" t="s">
        <v>197</v>
      </c>
      <c r="D55" s="119" t="s">
        <v>198</v>
      </c>
    </row>
    <row r="56" spans="3:8">
      <c r="D56" s="61" t="s">
        <v>199</v>
      </c>
    </row>
    <row r="57" spans="3:8">
      <c r="D57" s="118" t="s">
        <v>185</v>
      </c>
      <c r="E57" s="118"/>
      <c r="F57" s="118"/>
      <c r="G57" s="118"/>
      <c r="H57" s="118"/>
    </row>
    <row r="59" spans="3:8">
      <c r="C59" s="119" t="s">
        <v>200</v>
      </c>
      <c r="D59" s="119" t="s">
        <v>201</v>
      </c>
    </row>
    <row r="60" spans="3:8">
      <c r="D60" s="61" t="s">
        <v>202</v>
      </c>
    </row>
    <row r="61" spans="3:8">
      <c r="D61" s="61" t="s">
        <v>203</v>
      </c>
    </row>
    <row r="62" spans="3:8">
      <c r="D62" s="61" t="s">
        <v>204</v>
      </c>
    </row>
    <row r="63" spans="3:8">
      <c r="D63" s="118" t="s">
        <v>185</v>
      </c>
      <c r="E63" s="118"/>
      <c r="F63" s="118"/>
      <c r="G63" s="118"/>
      <c r="H63" s="118"/>
    </row>
    <row r="64" spans="3:8" ht="19.5" customHeight="1"/>
    <row r="65" spans="1:7">
      <c r="A65" s="112" t="s">
        <v>205</v>
      </c>
      <c r="B65" s="106" t="s">
        <v>206</v>
      </c>
    </row>
    <row r="66" spans="1:7">
      <c r="A66" s="112"/>
      <c r="B66" s="106" t="s">
        <v>158</v>
      </c>
    </row>
    <row r="67" spans="1:7" s="116" customFormat="1" ht="18" customHeight="1">
      <c r="A67" s="57"/>
      <c r="B67" s="112" t="s">
        <v>207</v>
      </c>
      <c r="C67" s="116" t="s">
        <v>208</v>
      </c>
    </row>
    <row r="68" spans="1:7">
      <c r="B68" s="117" t="s">
        <v>209</v>
      </c>
      <c r="C68" s="121" t="s">
        <v>210</v>
      </c>
      <c r="D68" s="121"/>
      <c r="E68" s="121"/>
      <c r="F68" s="121"/>
      <c r="G68" s="121"/>
    </row>
    <row r="69" spans="1:7" ht="24.75" customHeight="1"/>
    <row r="70" spans="1:7" s="116" customFormat="1" ht="15" customHeight="1">
      <c r="A70" s="112" t="s">
        <v>211</v>
      </c>
      <c r="B70" s="54" t="s">
        <v>212</v>
      </c>
    </row>
    <row r="71" spans="1:7" s="116" customFormat="1" ht="15.75" customHeight="1">
      <c r="A71" s="57"/>
      <c r="B71" s="112" t="s">
        <v>213</v>
      </c>
      <c r="C71" s="51" t="s">
        <v>214</v>
      </c>
    </row>
    <row r="72" spans="1:7">
      <c r="B72" s="117" t="s">
        <v>215</v>
      </c>
      <c r="C72" s="122" t="s">
        <v>216</v>
      </c>
      <c r="D72" s="122"/>
      <c r="E72" s="122"/>
      <c r="F72" s="122"/>
    </row>
    <row r="73" spans="1:7" ht="24.75" customHeight="1"/>
    <row r="74" spans="1:7">
      <c r="A74" s="112" t="s">
        <v>217</v>
      </c>
      <c r="B74" s="106" t="s">
        <v>218</v>
      </c>
    </row>
    <row r="75" spans="1:7" s="116" customFormat="1" ht="16.5" customHeight="1">
      <c r="A75" s="57"/>
      <c r="B75" s="112" t="s">
        <v>219</v>
      </c>
      <c r="C75" s="51" t="s">
        <v>220</v>
      </c>
    </row>
    <row r="76" spans="1:7" s="116" customFormat="1" ht="14.25" customHeight="1">
      <c r="A76" s="57"/>
      <c r="B76" s="112" t="s">
        <v>221</v>
      </c>
      <c r="C76" s="123" t="s">
        <v>210</v>
      </c>
      <c r="D76" s="123"/>
      <c r="E76" s="123"/>
      <c r="F76" s="123"/>
      <c r="G76" s="123"/>
    </row>
    <row r="77" spans="1:7" s="116" customFormat="1" ht="23.25" customHeight="1">
      <c r="A77" s="57"/>
      <c r="B77" s="112"/>
      <c r="C77" s="124"/>
      <c r="D77" s="124"/>
      <c r="E77" s="124"/>
      <c r="F77" s="124"/>
      <c r="G77" s="124"/>
    </row>
  </sheetData>
  <sheetProtection algorithmName="SHA-512" hashValue="ylfoF/Ah2RD7yKq3G0q+54aRAnRdpcZL8OBBkh+4jtlBKFDB4mnesM6Q8fT3A0AmvINdvE25YnLwhsQJ3Kavrg==" saltValue="PohYLcv6j7tS24CKjpFUTw==" spinCount="100000" sheet="1" objects="1" scenarios="1"/>
  <mergeCells count="1">
    <mergeCell ref="A4:X4"/>
  </mergeCells>
  <pageMargins left="0.51180555555555496" right="0.51180555555555496" top="0.78749999999999998" bottom="0.78749999999999998" header="0.51180555555555496" footer="0.51180555555555496"/>
  <pageSetup paperSize="9" fitToHeight="2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G86"/>
  <sheetViews>
    <sheetView showGridLines="0" zoomScale="90" zoomScaleNormal="90" workbookViewId="0">
      <selection activeCell="E18" sqref="E18:G18"/>
    </sheetView>
  </sheetViews>
  <sheetFormatPr defaultColWidth="9.140625" defaultRowHeight="15"/>
  <cols>
    <col min="1" max="1" width="9.85546875" style="1" customWidth="1"/>
    <col min="2" max="2" width="10.42578125" style="1" customWidth="1"/>
    <col min="3" max="3" width="39.28515625" style="1" customWidth="1"/>
    <col min="4" max="4" width="12" style="1" customWidth="1"/>
    <col min="5" max="5" width="15.7109375" style="1" customWidth="1"/>
    <col min="6" max="6" width="14.85546875" style="1" customWidth="1"/>
    <col min="7" max="7" width="14" style="1" customWidth="1"/>
    <col min="8" max="8" width="13.5703125" style="1" customWidth="1"/>
    <col min="9" max="9" width="13.42578125" style="1" customWidth="1"/>
    <col min="10" max="10" width="13.5703125" style="2" customWidth="1"/>
    <col min="11" max="11" width="18.28515625" style="2" customWidth="1"/>
    <col min="12" max="12" width="13.28515625" style="1" customWidth="1"/>
    <col min="13" max="13" width="15.140625" style="1" customWidth="1"/>
    <col min="14" max="14" width="12.5703125" style="1" customWidth="1"/>
    <col min="15" max="16" width="14.85546875" style="1" customWidth="1"/>
    <col min="17" max="17" width="13.5703125" style="1" customWidth="1"/>
    <col min="18" max="18" width="15" style="1" customWidth="1"/>
    <col min="19" max="254" width="9.140625" style="1"/>
    <col min="255" max="255" width="9.85546875" style="1" customWidth="1"/>
    <col min="256" max="256" width="10.42578125" style="1" customWidth="1"/>
    <col min="257" max="257" width="39.28515625" style="1" customWidth="1"/>
    <col min="258" max="258" width="15" style="1" customWidth="1"/>
    <col min="259" max="259" width="11" style="1" customWidth="1"/>
    <col min="260" max="260" width="11.140625" style="1" customWidth="1"/>
    <col min="261" max="261" width="12.85546875" style="1" customWidth="1"/>
    <col min="262" max="262" width="13.140625" style="1" customWidth="1"/>
    <col min="263" max="266" width="14.140625" style="1" customWidth="1"/>
    <col min="267" max="267" width="14.42578125" style="1" customWidth="1"/>
    <col min="268" max="268" width="9.7109375" style="1" customWidth="1"/>
    <col min="269" max="269" width="12.7109375" style="1" customWidth="1"/>
    <col min="270" max="272" width="13.5703125" style="1" customWidth="1"/>
    <col min="273" max="273" width="12.140625" style="1" customWidth="1"/>
    <col min="274" max="274" width="15" style="1" customWidth="1"/>
    <col min="275" max="510" width="9.140625" style="1"/>
    <col min="511" max="511" width="9.85546875" style="1" customWidth="1"/>
    <col min="512" max="512" width="10.42578125" style="1" customWidth="1"/>
    <col min="513" max="513" width="39.28515625" style="1" customWidth="1"/>
    <col min="514" max="514" width="15" style="1" customWidth="1"/>
    <col min="515" max="515" width="11" style="1" customWidth="1"/>
    <col min="516" max="516" width="11.140625" style="1" customWidth="1"/>
    <col min="517" max="517" width="12.85546875" style="1" customWidth="1"/>
    <col min="518" max="518" width="13.140625" style="1" customWidth="1"/>
    <col min="519" max="522" width="14.140625" style="1" customWidth="1"/>
    <col min="523" max="523" width="14.42578125" style="1" customWidth="1"/>
    <col min="524" max="524" width="9.7109375" style="1" customWidth="1"/>
    <col min="525" max="525" width="12.7109375" style="1" customWidth="1"/>
    <col min="526" max="528" width="13.5703125" style="1" customWidth="1"/>
    <col min="529" max="529" width="12.140625" style="1" customWidth="1"/>
    <col min="530" max="530" width="15" style="1" customWidth="1"/>
    <col min="531" max="766" width="9.140625" style="1"/>
    <col min="767" max="767" width="9.85546875" style="1" customWidth="1"/>
    <col min="768" max="768" width="10.42578125" style="1" customWidth="1"/>
    <col min="769" max="769" width="39.28515625" style="1" customWidth="1"/>
    <col min="770" max="770" width="15" style="1" customWidth="1"/>
    <col min="771" max="771" width="11" style="1" customWidth="1"/>
    <col min="772" max="772" width="11.140625" style="1" customWidth="1"/>
    <col min="773" max="773" width="12.85546875" style="1" customWidth="1"/>
    <col min="774" max="774" width="13.140625" style="1" customWidth="1"/>
    <col min="775" max="778" width="14.140625" style="1" customWidth="1"/>
    <col min="779" max="779" width="14.42578125" style="1" customWidth="1"/>
    <col min="780" max="780" width="9.7109375" style="1" customWidth="1"/>
    <col min="781" max="781" width="12.7109375" style="1" customWidth="1"/>
    <col min="782" max="784" width="13.5703125" style="1" customWidth="1"/>
    <col min="785" max="785" width="12.140625" style="1" customWidth="1"/>
    <col min="786" max="786" width="15" style="1" customWidth="1"/>
    <col min="787" max="1021" width="9.140625" style="1"/>
  </cols>
  <sheetData>
    <row r="1" spans="1:20">
      <c r="A1" s="125"/>
      <c r="B1" s="110" t="str">
        <f>INSTRUÇÕES!B1</f>
        <v>Tribunal Regional Federal da 6ª Região</v>
      </c>
      <c r="D1" s="61"/>
      <c r="E1" s="61"/>
      <c r="F1" s="61"/>
      <c r="G1" s="61"/>
      <c r="H1" s="61"/>
      <c r="I1" s="61"/>
      <c r="J1" s="126"/>
      <c r="K1" s="126"/>
      <c r="L1" s="61"/>
      <c r="M1" s="61"/>
      <c r="N1" s="61"/>
    </row>
    <row r="2" spans="1:20">
      <c r="A2" s="125"/>
      <c r="B2" s="110" t="str">
        <f>INSTRUÇÕES!B2</f>
        <v>Seção Judiciária de Minas Gerais</v>
      </c>
      <c r="D2" s="61"/>
      <c r="E2" s="61"/>
      <c r="F2" s="61"/>
      <c r="G2" s="61"/>
      <c r="H2" s="61"/>
      <c r="I2" s="61"/>
      <c r="J2" s="126"/>
      <c r="K2" s="126"/>
      <c r="L2" s="61"/>
      <c r="M2" s="61"/>
      <c r="N2" s="61"/>
    </row>
    <row r="3" spans="1:20" ht="18.75">
      <c r="A3" s="125"/>
      <c r="B3" s="110" t="str">
        <f>INSTRUÇÕES!B3</f>
        <v>Subseção Judiciária de Pouso Alegre</v>
      </c>
      <c r="D3" s="61"/>
      <c r="E3" s="127" t="s">
        <v>222</v>
      </c>
      <c r="F3" s="61"/>
      <c r="G3" s="61"/>
      <c r="H3" s="61"/>
      <c r="I3" s="61"/>
      <c r="J3" s="126"/>
      <c r="K3" s="126"/>
      <c r="L3" s="61"/>
      <c r="M3" s="61"/>
      <c r="N3" s="61"/>
      <c r="Q3" s="61"/>
    </row>
    <row r="4" spans="1:20" s="17" customFormat="1" ht="24.75" customHeight="1">
      <c r="A4" s="128" t="str">
        <f>CONCATENATE("Sindicato utilizado - ",E15,". Vigência: ",E17,". Sendo a data base da categoria ",E18,". Com número de registro no MTE ",E16,".")</f>
        <v>Sindicato utilizado - SEAC/MG. Vigência: 01/01/2024 à 31/12/2024. Sendo a data base da categoria 01º Janeiro. Com número de registro no MTE MG000705/2024.</v>
      </c>
      <c r="B4" s="128"/>
      <c r="C4" s="129"/>
      <c r="D4" s="1"/>
      <c r="E4" s="128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1:20" s="17" customFormat="1" ht="66.75" customHeight="1">
      <c r="A5" s="580" t="s">
        <v>223</v>
      </c>
      <c r="B5" s="580" t="s">
        <v>224</v>
      </c>
      <c r="C5" s="580" t="s">
        <v>25</v>
      </c>
      <c r="D5" s="580" t="s">
        <v>225</v>
      </c>
      <c r="E5" s="580" t="s">
        <v>226</v>
      </c>
      <c r="F5" s="580" t="s">
        <v>227</v>
      </c>
      <c r="G5" s="580" t="s">
        <v>228</v>
      </c>
      <c r="H5" s="580" t="s">
        <v>229</v>
      </c>
      <c r="I5" s="580" t="s">
        <v>230</v>
      </c>
      <c r="J5" s="580" t="s">
        <v>231</v>
      </c>
      <c r="K5" s="580" t="s">
        <v>232</v>
      </c>
      <c r="L5" s="580" t="s">
        <v>233</v>
      </c>
      <c r="M5" s="581" t="s">
        <v>234</v>
      </c>
      <c r="N5" s="131" t="s">
        <v>235</v>
      </c>
      <c r="O5" s="131" t="s">
        <v>236</v>
      </c>
      <c r="P5" s="131" t="s">
        <v>237</v>
      </c>
      <c r="Q5" s="131" t="s">
        <v>238</v>
      </c>
      <c r="R5" s="580" t="s">
        <v>239</v>
      </c>
      <c r="T5" s="133"/>
    </row>
    <row r="6" spans="1:20" s="17" customFormat="1" ht="30">
      <c r="A6" s="580"/>
      <c r="B6" s="580"/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1"/>
      <c r="N6" s="134" t="s">
        <v>240</v>
      </c>
      <c r="O6" s="135">
        <f>B8+B9</f>
        <v>2</v>
      </c>
      <c r="P6" s="135">
        <f>B11</f>
        <v>1</v>
      </c>
      <c r="Q6" s="135">
        <f>B8+B9</f>
        <v>2</v>
      </c>
      <c r="R6" s="580"/>
      <c r="T6" s="133"/>
    </row>
    <row r="7" spans="1:20" s="17" customFormat="1" ht="24.75" customHeight="1">
      <c r="A7" s="582"/>
      <c r="B7" s="135">
        <v>3</v>
      </c>
      <c r="C7" s="136" t="s">
        <v>241</v>
      </c>
      <c r="D7" s="135">
        <v>150</v>
      </c>
      <c r="E7" s="137">
        <v>2267.85</v>
      </c>
      <c r="F7" s="138">
        <f t="shared" ref="F7:F11" si="0">ROUND(((E7/220)*D7),2)</f>
        <v>1546.26</v>
      </c>
      <c r="G7" s="139"/>
      <c r="H7" s="140"/>
      <c r="I7" s="36">
        <v>0</v>
      </c>
      <c r="J7" s="36">
        <v>0</v>
      </c>
      <c r="K7" s="36"/>
      <c r="L7" s="36">
        <v>0</v>
      </c>
      <c r="M7" s="141">
        <f t="shared" ref="M7:M11" si="1">F7+H7+L7</f>
        <v>1546.26</v>
      </c>
      <c r="N7" s="138">
        <f>Unif!H24</f>
        <v>50.93</v>
      </c>
      <c r="O7" s="138"/>
      <c r="P7" s="138"/>
      <c r="Q7" s="138"/>
      <c r="R7" s="26">
        <v>1</v>
      </c>
      <c r="T7" s="133"/>
    </row>
    <row r="8" spans="1:20" s="17" customFormat="1" ht="24" customHeight="1">
      <c r="A8" s="582"/>
      <c r="B8" s="135">
        <v>1</v>
      </c>
      <c r="C8" s="136" t="s">
        <v>242</v>
      </c>
      <c r="D8" s="135">
        <v>220</v>
      </c>
      <c r="E8" s="137">
        <v>1491.84</v>
      </c>
      <c r="F8" s="138">
        <f t="shared" si="0"/>
        <v>1491.84</v>
      </c>
      <c r="G8" s="142"/>
      <c r="H8" s="36"/>
      <c r="I8" s="143"/>
      <c r="J8" s="143"/>
      <c r="K8" s="144"/>
      <c r="L8" s="145"/>
      <c r="M8" s="141">
        <f t="shared" si="1"/>
        <v>1491.84</v>
      </c>
      <c r="N8" s="138">
        <f>Unif!H16</f>
        <v>44.07</v>
      </c>
      <c r="O8" s="138">
        <f>ROUND((Mat!$G$51/$O$6),2)</f>
        <v>723.59</v>
      </c>
      <c r="P8" s="138"/>
      <c r="Q8" s="138">
        <f>ROUND((Equip!$G$17/$Q$6),2)</f>
        <v>12.68</v>
      </c>
      <c r="R8" s="26">
        <v>2</v>
      </c>
      <c r="T8" s="133"/>
    </row>
    <row r="9" spans="1:20" s="17" customFormat="1" ht="24" customHeight="1">
      <c r="A9" s="582"/>
      <c r="B9" s="135">
        <v>1</v>
      </c>
      <c r="C9" s="136" t="s">
        <v>243</v>
      </c>
      <c r="D9" s="135">
        <v>220</v>
      </c>
      <c r="E9" s="137">
        <v>1491.84</v>
      </c>
      <c r="F9" s="138">
        <f t="shared" si="0"/>
        <v>1491.84</v>
      </c>
      <c r="G9" s="146">
        <v>0.4</v>
      </c>
      <c r="H9" s="138">
        <f>G9*G28</f>
        <v>564.80000000000007</v>
      </c>
      <c r="I9" s="143"/>
      <c r="J9" s="143"/>
      <c r="K9" s="144"/>
      <c r="L9" s="145"/>
      <c r="M9" s="141">
        <f t="shared" si="1"/>
        <v>2056.64</v>
      </c>
      <c r="N9" s="138">
        <f>Unif!H16</f>
        <v>44.07</v>
      </c>
      <c r="O9" s="138">
        <f>ROUND((Mat!$G$51/$O$6),2)</f>
        <v>723.59</v>
      </c>
      <c r="P9" s="138"/>
      <c r="Q9" s="138">
        <f>ROUND((Equip!$G$17/$Q$6),2)</f>
        <v>12.68</v>
      </c>
      <c r="R9" s="26">
        <v>2</v>
      </c>
      <c r="T9" s="133"/>
    </row>
    <row r="10" spans="1:20" s="17" customFormat="1" ht="24" customHeight="1">
      <c r="A10" s="582"/>
      <c r="B10" s="135">
        <v>1</v>
      </c>
      <c r="C10" s="136" t="s">
        <v>244</v>
      </c>
      <c r="D10" s="135">
        <v>150</v>
      </c>
      <c r="E10" s="137">
        <v>2274.8200000000002</v>
      </c>
      <c r="F10" s="138">
        <f t="shared" si="0"/>
        <v>1551.01</v>
      </c>
      <c r="G10" s="142"/>
      <c r="H10" s="36"/>
      <c r="I10" s="143"/>
      <c r="J10" s="143"/>
      <c r="K10" s="144"/>
      <c r="L10" s="145">
        <f>ROUND((K10*I10*J10),2)</f>
        <v>0</v>
      </c>
      <c r="M10" s="141">
        <f t="shared" si="1"/>
        <v>1551.01</v>
      </c>
      <c r="N10" s="138">
        <f>Unif!H33</f>
        <v>53.42</v>
      </c>
      <c r="O10" s="138"/>
      <c r="P10" s="138"/>
      <c r="Q10" s="138">
        <f>Equip!G22</f>
        <v>5.12</v>
      </c>
      <c r="R10" s="26">
        <v>3</v>
      </c>
      <c r="T10" s="133"/>
    </row>
    <row r="11" spans="1:20" s="17" customFormat="1" ht="24" customHeight="1">
      <c r="A11" s="582"/>
      <c r="B11" s="135">
        <v>1</v>
      </c>
      <c r="C11" s="136" t="s">
        <v>245</v>
      </c>
      <c r="D11" s="135">
        <v>150</v>
      </c>
      <c r="E11" s="137">
        <v>1491.84</v>
      </c>
      <c r="F11" s="138">
        <f t="shared" si="0"/>
        <v>1017.16</v>
      </c>
      <c r="G11" s="142"/>
      <c r="H11" s="36"/>
      <c r="I11" s="143"/>
      <c r="J11" s="143"/>
      <c r="K11" s="144"/>
      <c r="L11" s="145"/>
      <c r="M11" s="141">
        <f t="shared" si="1"/>
        <v>1017.16</v>
      </c>
      <c r="N11" s="138">
        <f>Unif!H42</f>
        <v>43.82</v>
      </c>
      <c r="O11" s="138"/>
      <c r="P11" s="138">
        <f>ROUND((Mat!$G$63/$P$6),2)</f>
        <v>25.9</v>
      </c>
      <c r="Q11" s="138"/>
      <c r="R11" s="26">
        <v>4</v>
      </c>
      <c r="T11" s="133"/>
    </row>
    <row r="12" spans="1:20" ht="34.5" customHeight="1">
      <c r="A12" s="147" t="s">
        <v>246</v>
      </c>
      <c r="B12" s="2"/>
      <c r="C12" s="2"/>
      <c r="D12" s="147"/>
      <c r="F12" s="147"/>
      <c r="G12" s="147" t="s">
        <v>247</v>
      </c>
      <c r="H12" s="147"/>
      <c r="I12" s="147"/>
      <c r="J12" s="147"/>
      <c r="K12" s="128"/>
      <c r="L12" s="148" t="s">
        <v>248</v>
      </c>
      <c r="M12" s="149">
        <f>SUM(M7:M11)</f>
        <v>7662.91</v>
      </c>
      <c r="N12" s="128"/>
      <c r="O12" s="128"/>
      <c r="P12" s="128"/>
      <c r="Q12" s="128"/>
      <c r="R12" s="128"/>
    </row>
    <row r="13" spans="1:20" ht="24.75" customHeight="1">
      <c r="A13" s="583" t="s">
        <v>249</v>
      </c>
      <c r="B13" s="583"/>
      <c r="C13" s="583"/>
      <c r="D13" s="583"/>
      <c r="E13" s="583"/>
      <c r="F13" s="583"/>
      <c r="G13" s="583"/>
      <c r="N13" s="128"/>
      <c r="O13" s="128"/>
      <c r="P13" s="128"/>
      <c r="Q13" s="128"/>
      <c r="R13" s="128"/>
    </row>
    <row r="14" spans="1:20" ht="24" customHeight="1">
      <c r="A14" s="151">
        <v>1</v>
      </c>
      <c r="B14" s="584" t="s">
        <v>250</v>
      </c>
      <c r="C14" s="584"/>
      <c r="D14" s="584"/>
      <c r="E14" s="585" t="s">
        <v>251</v>
      </c>
      <c r="F14" s="585"/>
      <c r="G14" s="585"/>
      <c r="H14" s="14" t="s">
        <v>252</v>
      </c>
      <c r="N14" s="128"/>
      <c r="O14" s="128"/>
      <c r="P14" s="128"/>
      <c r="Q14" s="128"/>
      <c r="R14" s="51"/>
    </row>
    <row r="15" spans="1:20" ht="24" customHeight="1">
      <c r="A15" s="151">
        <v>2</v>
      </c>
      <c r="B15" s="584" t="s">
        <v>253</v>
      </c>
      <c r="C15" s="584"/>
      <c r="D15" s="584"/>
      <c r="E15" s="585" t="s">
        <v>254</v>
      </c>
      <c r="F15" s="585"/>
      <c r="G15" s="585"/>
      <c r="H15" s="14" t="s">
        <v>255</v>
      </c>
      <c r="N15" s="128"/>
      <c r="O15" s="128"/>
      <c r="P15" s="128"/>
      <c r="Q15" s="128"/>
      <c r="R15" s="51"/>
    </row>
    <row r="16" spans="1:20" ht="24" customHeight="1">
      <c r="A16" s="151">
        <v>3</v>
      </c>
      <c r="B16" s="584" t="s">
        <v>256</v>
      </c>
      <c r="C16" s="584"/>
      <c r="D16" s="584"/>
      <c r="E16" s="585" t="s">
        <v>257</v>
      </c>
      <c r="F16" s="585"/>
      <c r="G16" s="585"/>
      <c r="H16" s="14" t="s">
        <v>258</v>
      </c>
      <c r="N16" s="128"/>
      <c r="O16" s="128"/>
      <c r="P16" s="128"/>
      <c r="Q16" s="128"/>
      <c r="R16" s="51"/>
    </row>
    <row r="17" spans="1:18" ht="24" customHeight="1">
      <c r="A17" s="151">
        <v>4</v>
      </c>
      <c r="B17" s="584" t="s">
        <v>259</v>
      </c>
      <c r="C17" s="584"/>
      <c r="D17" s="584"/>
      <c r="E17" s="585" t="s">
        <v>260</v>
      </c>
      <c r="F17" s="585"/>
      <c r="G17" s="585"/>
      <c r="H17" s="14" t="s">
        <v>261</v>
      </c>
      <c r="N17" s="128"/>
      <c r="O17" s="128"/>
      <c r="P17" s="128"/>
      <c r="Q17" s="128"/>
      <c r="R17" s="51"/>
    </row>
    <row r="18" spans="1:18" ht="24" customHeight="1">
      <c r="A18" s="151">
        <v>5</v>
      </c>
      <c r="B18" s="584" t="s">
        <v>262</v>
      </c>
      <c r="C18" s="584"/>
      <c r="D18" s="584"/>
      <c r="E18" s="585" t="s">
        <v>263</v>
      </c>
      <c r="F18" s="585"/>
      <c r="G18" s="585"/>
      <c r="H18" s="14" t="s">
        <v>264</v>
      </c>
      <c r="N18" s="128"/>
      <c r="O18" s="128"/>
      <c r="P18" s="128"/>
      <c r="Q18" s="128"/>
      <c r="R18" s="51"/>
    </row>
    <row r="19" spans="1:18" s="1" customFormat="1" ht="12.75" customHeight="1">
      <c r="A19" s="152"/>
      <c r="H19" s="14"/>
    </row>
    <row r="20" spans="1:18" s="51" customFormat="1" ht="24.75" customHeight="1">
      <c r="A20" s="583" t="s">
        <v>265</v>
      </c>
      <c r="B20" s="583"/>
      <c r="C20" s="583"/>
      <c r="D20" s="583"/>
      <c r="E20" s="583"/>
      <c r="F20" s="583"/>
      <c r="G20" s="583"/>
      <c r="H20" s="14"/>
      <c r="I20" s="128"/>
      <c r="J20" s="128"/>
      <c r="K20" s="128"/>
      <c r="L20" s="128"/>
      <c r="M20" s="128"/>
      <c r="N20" s="128"/>
      <c r="O20" s="128"/>
      <c r="P20" s="128"/>
      <c r="Q20" s="128"/>
    </row>
    <row r="21" spans="1:18" s="1" customFormat="1" ht="24" customHeight="1">
      <c r="A21" s="151" t="s">
        <v>266</v>
      </c>
      <c r="B21" s="584" t="s">
        <v>267</v>
      </c>
      <c r="C21" s="584"/>
      <c r="D21" s="584"/>
      <c r="E21" s="584"/>
      <c r="F21" s="584"/>
      <c r="G21" s="146">
        <f>Encargos!C57</f>
        <v>0.79049999999999998</v>
      </c>
      <c r="H21" s="14"/>
    </row>
    <row r="22" spans="1:18" s="1" customFormat="1" ht="12.75" customHeight="1">
      <c r="A22" s="152"/>
      <c r="G22" s="2"/>
      <c r="H22" s="14"/>
    </row>
    <row r="23" spans="1:18" s="1" customFormat="1" ht="24.75" customHeight="1">
      <c r="A23" s="104">
        <v>1</v>
      </c>
      <c r="B23" s="584" t="s">
        <v>268</v>
      </c>
      <c r="C23" s="584"/>
      <c r="D23" s="584"/>
      <c r="E23" s="584"/>
      <c r="F23" s="584"/>
      <c r="G23" s="153">
        <f>G24*G25</f>
        <v>0.06</v>
      </c>
      <c r="H23" s="14"/>
    </row>
    <row r="24" spans="1:18" s="1" customFormat="1" ht="24.75" customHeight="1">
      <c r="A24" s="104">
        <v>2</v>
      </c>
      <c r="B24" s="584" t="s">
        <v>269</v>
      </c>
      <c r="C24" s="584"/>
      <c r="D24" s="584"/>
      <c r="E24" s="584"/>
      <c r="F24" s="584"/>
      <c r="G24" s="154">
        <v>0.03</v>
      </c>
      <c r="H24" s="14" t="s">
        <v>270</v>
      </c>
    </row>
    <row r="25" spans="1:18" s="1" customFormat="1" ht="24.75" customHeight="1">
      <c r="A25" s="104">
        <v>3</v>
      </c>
      <c r="B25" s="584" t="s">
        <v>271</v>
      </c>
      <c r="C25" s="584"/>
      <c r="D25" s="584"/>
      <c r="E25" s="584"/>
      <c r="F25" s="584"/>
      <c r="G25" s="155">
        <v>2</v>
      </c>
      <c r="H25" s="14" t="s">
        <v>272</v>
      </c>
    </row>
    <row r="26" spans="1:18" s="1" customFormat="1" ht="12.75" customHeight="1">
      <c r="A26" s="152"/>
      <c r="B26" s="128"/>
      <c r="C26" s="128"/>
      <c r="D26" s="128"/>
      <c r="E26" s="128"/>
      <c r="F26" s="128"/>
      <c r="H26" s="14"/>
    </row>
    <row r="27" spans="1:18" s="1" customFormat="1" ht="24.75" customHeight="1">
      <c r="A27" s="583" t="s">
        <v>273</v>
      </c>
      <c r="B27" s="583"/>
      <c r="C27" s="583"/>
      <c r="D27" s="583"/>
      <c r="E27" s="583"/>
      <c r="F27" s="583"/>
      <c r="G27" s="583"/>
      <c r="H27" s="14"/>
    </row>
    <row r="28" spans="1:18" s="1" customFormat="1" ht="24.75" customHeight="1">
      <c r="A28" s="104">
        <v>1</v>
      </c>
      <c r="B28" s="584" t="s">
        <v>274</v>
      </c>
      <c r="C28" s="584"/>
      <c r="D28" s="584"/>
      <c r="E28" s="584"/>
      <c r="F28" s="584"/>
      <c r="G28" s="137">
        <v>1412</v>
      </c>
      <c r="H28" s="14" t="s">
        <v>275</v>
      </c>
    </row>
    <row r="29" spans="1:18" s="1" customFormat="1" ht="12.75" customHeight="1">
      <c r="A29" s="156"/>
      <c r="B29" s="157"/>
      <c r="C29" s="157"/>
      <c r="D29" s="157"/>
      <c r="E29" s="157"/>
      <c r="F29" s="157"/>
      <c r="G29" s="158"/>
      <c r="H29" s="14"/>
    </row>
    <row r="30" spans="1:18" s="51" customFormat="1" ht="24.75" customHeight="1">
      <c r="A30" s="583" t="s">
        <v>276</v>
      </c>
      <c r="B30" s="583"/>
      <c r="C30" s="583"/>
      <c r="D30" s="583"/>
      <c r="E30" s="583"/>
      <c r="F30" s="583"/>
      <c r="G30" s="583"/>
      <c r="H30" s="14"/>
      <c r="I30" s="1"/>
      <c r="J30" s="1"/>
      <c r="K30" s="128"/>
      <c r="L30" s="128"/>
      <c r="M30" s="128"/>
      <c r="N30" s="128"/>
      <c r="O30" s="128"/>
      <c r="P30" s="128"/>
      <c r="Q30" s="128"/>
    </row>
    <row r="31" spans="1:18" s="1" customFormat="1" ht="26.25" customHeight="1">
      <c r="A31" s="151">
        <v>1</v>
      </c>
      <c r="B31" s="584" t="s">
        <v>277</v>
      </c>
      <c r="C31" s="584"/>
      <c r="D31" s="584"/>
      <c r="E31" s="584"/>
      <c r="F31" s="584"/>
      <c r="G31" s="159">
        <v>16.75</v>
      </c>
      <c r="H31" s="14" t="s">
        <v>278</v>
      </c>
    </row>
    <row r="32" spans="1:18" s="1" customFormat="1" ht="26.25" customHeight="1">
      <c r="A32" s="160">
        <v>2</v>
      </c>
      <c r="B32" s="584" t="s">
        <v>279</v>
      </c>
      <c r="C32" s="584"/>
      <c r="D32" s="584"/>
      <c r="E32" s="584"/>
      <c r="F32" s="584"/>
      <c r="G32" s="155">
        <v>48.43</v>
      </c>
      <c r="H32" s="14" t="s">
        <v>278</v>
      </c>
    </row>
    <row r="33" spans="1:17" s="1" customFormat="1" ht="26.25" customHeight="1">
      <c r="A33" s="586">
        <v>3</v>
      </c>
      <c r="B33" s="587" t="s">
        <v>280</v>
      </c>
      <c r="C33" s="587"/>
      <c r="D33" s="584" t="s">
        <v>281</v>
      </c>
      <c r="E33" s="584"/>
      <c r="F33" s="584"/>
      <c r="G33" s="161">
        <v>3</v>
      </c>
      <c r="H33" s="14" t="s">
        <v>282</v>
      </c>
      <c r="I33" s="128"/>
      <c r="O33" s="53"/>
      <c r="P33" s="53"/>
    </row>
    <row r="34" spans="1:17" s="1" customFormat="1" ht="26.25" customHeight="1">
      <c r="A34" s="586"/>
      <c r="B34" s="587"/>
      <c r="C34" s="587"/>
      <c r="D34" s="584" t="s">
        <v>283</v>
      </c>
      <c r="E34" s="584"/>
      <c r="F34" s="584"/>
      <c r="G34" s="161">
        <v>2</v>
      </c>
      <c r="H34" s="14" t="s">
        <v>284</v>
      </c>
      <c r="I34" s="128"/>
      <c r="O34" s="53"/>
      <c r="P34" s="53"/>
    </row>
    <row r="35" spans="1:17" s="1" customFormat="1" ht="26.25" customHeight="1">
      <c r="A35" s="586"/>
      <c r="B35" s="587"/>
      <c r="C35" s="587"/>
      <c r="D35" s="584" t="s">
        <v>285</v>
      </c>
      <c r="E35" s="584"/>
      <c r="F35" s="584"/>
      <c r="G35" s="162">
        <v>22</v>
      </c>
      <c r="H35" s="14" t="s">
        <v>286</v>
      </c>
      <c r="I35" s="128"/>
      <c r="O35" s="53"/>
      <c r="P35" s="53"/>
    </row>
    <row r="36" spans="1:17" ht="26.25" customHeight="1">
      <c r="A36" s="586"/>
      <c r="B36" s="587"/>
      <c r="C36" s="587"/>
      <c r="D36" s="588" t="s">
        <v>287</v>
      </c>
      <c r="E36" s="588"/>
      <c r="F36" s="588"/>
      <c r="G36" s="163">
        <v>0.06</v>
      </c>
      <c r="H36" s="14" t="s">
        <v>288</v>
      </c>
      <c r="O36" s="53"/>
      <c r="P36" s="53"/>
    </row>
    <row r="37" spans="1:17" s="1" customFormat="1" ht="29.25" customHeight="1">
      <c r="A37" s="586">
        <v>4</v>
      </c>
      <c r="B37" s="587" t="s">
        <v>289</v>
      </c>
      <c r="C37" s="587"/>
      <c r="D37" s="588" t="s">
        <v>290</v>
      </c>
      <c r="E37" s="588"/>
      <c r="F37" s="588"/>
      <c r="G37" s="155">
        <v>27.24</v>
      </c>
      <c r="H37" s="14" t="s">
        <v>291</v>
      </c>
      <c r="I37" s="128"/>
    </row>
    <row r="38" spans="1:17" s="1" customFormat="1" ht="29.25" customHeight="1">
      <c r="A38" s="586"/>
      <c r="B38" s="587"/>
      <c r="C38" s="587"/>
      <c r="D38" s="588" t="s">
        <v>292</v>
      </c>
      <c r="E38" s="588"/>
      <c r="F38" s="588"/>
      <c r="G38" s="155"/>
      <c r="H38" s="14"/>
      <c r="I38" s="128"/>
    </row>
    <row r="39" spans="1:17" ht="26.25" customHeight="1">
      <c r="A39" s="586"/>
      <c r="B39" s="587"/>
      <c r="C39" s="587"/>
      <c r="D39" s="584" t="s">
        <v>285</v>
      </c>
      <c r="E39" s="584"/>
      <c r="F39" s="584"/>
      <c r="G39" s="162">
        <f>G35</f>
        <v>22</v>
      </c>
      <c r="H39" s="14" t="s">
        <v>286</v>
      </c>
      <c r="I39" s="164"/>
      <c r="J39" s="164"/>
      <c r="K39" s="128"/>
      <c r="O39" s="53"/>
      <c r="P39" s="53"/>
    </row>
    <row r="40" spans="1:17" s="1" customFormat="1" ht="26.25" customHeight="1">
      <c r="A40" s="586"/>
      <c r="B40" s="587"/>
      <c r="C40" s="587"/>
      <c r="D40" s="588" t="s">
        <v>287</v>
      </c>
      <c r="E40" s="588"/>
      <c r="F40" s="588"/>
      <c r="G40" s="154">
        <v>0.2</v>
      </c>
      <c r="H40" s="14" t="s">
        <v>288</v>
      </c>
      <c r="O40" s="53"/>
      <c r="P40" s="53"/>
    </row>
    <row r="41" spans="1:17" s="1" customFormat="1" ht="26.25" customHeight="1">
      <c r="A41" s="151">
        <v>5</v>
      </c>
      <c r="B41" s="589" t="s">
        <v>293</v>
      </c>
      <c r="C41" s="589"/>
      <c r="D41" s="589"/>
      <c r="E41" s="589"/>
      <c r="F41" s="589"/>
      <c r="G41" s="155">
        <v>0</v>
      </c>
      <c r="H41" s="14" t="s">
        <v>294</v>
      </c>
      <c r="O41" s="53"/>
      <c r="P41" s="53"/>
    </row>
    <row r="42" spans="1:17" s="1" customFormat="1" ht="26.25" customHeight="1">
      <c r="A42" s="151">
        <v>6</v>
      </c>
      <c r="B42" s="589" t="s">
        <v>293</v>
      </c>
      <c r="C42" s="589"/>
      <c r="D42" s="589"/>
      <c r="E42" s="589"/>
      <c r="F42" s="589"/>
      <c r="G42" s="155">
        <v>0</v>
      </c>
      <c r="H42" s="14" t="s">
        <v>294</v>
      </c>
    </row>
    <row r="43" spans="1:17" s="1" customFormat="1" ht="12.75" customHeight="1">
      <c r="H43" s="14"/>
    </row>
    <row r="44" spans="1:17" s="51" customFormat="1" ht="24.75" customHeight="1">
      <c r="A44" s="583" t="s">
        <v>295</v>
      </c>
      <c r="B44" s="583"/>
      <c r="C44" s="583"/>
      <c r="D44" s="583"/>
      <c r="E44" s="583"/>
      <c r="F44" s="583"/>
      <c r="G44" s="583"/>
      <c r="H44" s="14"/>
      <c r="I44" s="128"/>
      <c r="J44" s="128"/>
      <c r="K44" s="128"/>
      <c r="L44" s="128"/>
      <c r="M44" s="128"/>
      <c r="N44" s="128"/>
      <c r="O44" s="128"/>
      <c r="P44" s="128"/>
      <c r="Q44" s="128"/>
    </row>
    <row r="45" spans="1:17" s="1" customFormat="1" ht="24.75" customHeight="1">
      <c r="A45" s="151">
        <v>1</v>
      </c>
      <c r="B45" s="584" t="s">
        <v>296</v>
      </c>
      <c r="C45" s="584"/>
      <c r="D45" s="584"/>
      <c r="E45" s="584"/>
      <c r="F45" s="584"/>
      <c r="G45" s="154">
        <v>0.03</v>
      </c>
      <c r="H45" s="14" t="s">
        <v>297</v>
      </c>
    </row>
    <row r="46" spans="1:17" s="1" customFormat="1" ht="24.75" customHeight="1">
      <c r="A46" s="151">
        <v>2</v>
      </c>
      <c r="B46" s="584" t="s">
        <v>298</v>
      </c>
      <c r="C46" s="584"/>
      <c r="D46" s="584"/>
      <c r="E46" s="584"/>
      <c r="F46" s="584"/>
      <c r="G46" s="154">
        <v>6.7900000000000002E-2</v>
      </c>
      <c r="H46" s="14" t="s">
        <v>297</v>
      </c>
    </row>
    <row r="47" spans="1:17" s="1" customFormat="1" ht="12.75" customHeight="1">
      <c r="H47" s="14"/>
    </row>
    <row r="48" spans="1:17" s="51" customFormat="1" ht="24.75" customHeight="1">
      <c r="A48" s="583" t="s">
        <v>299</v>
      </c>
      <c r="B48" s="583"/>
      <c r="C48" s="583"/>
      <c r="D48" s="583"/>
      <c r="E48" s="583"/>
      <c r="F48" s="583"/>
      <c r="G48" s="583"/>
      <c r="H48" s="14"/>
      <c r="I48" s="128"/>
      <c r="J48" s="128"/>
      <c r="K48" s="128"/>
      <c r="L48" s="128"/>
      <c r="M48" s="128"/>
      <c r="N48" s="128"/>
      <c r="O48" s="128"/>
      <c r="P48" s="128"/>
      <c r="Q48" s="128"/>
    </row>
    <row r="49" spans="1:17" s="51" customFormat="1" ht="24.75" customHeight="1">
      <c r="A49" s="581" t="s">
        <v>300</v>
      </c>
      <c r="B49" s="581" t="str">
        <f>IF(F52="LUCRO REAL","INFORMAR ALÍQUOTAS MÉDIAS DE RECOLHIMENTO DOS ÚLTIMOS 12 (DOZE) MESES.",IF(F52="LUCRO PRESUMIDO","ALÍQUOTAS FIXAS - PIS: 0,65%; COFINS: 3,00%.",IF(F52="SIMPLES NACIONAL","NECESSÁRIO COMUNICAR A EXCLUSÃO DO SIMPLES NACIONAL - REGIME DE CONTRATAÇÃO INCOMPATÍVEL COM A LEI 123/2003. DEFINIR OUTRO REGIME TRIBUTÁRIO PARA O PRESENTE PROCESSO, OU APRESENTAR AS JUSTIFICATIVAS LEGAIS.","INFORMAR ALÍQUOTA E APRESENTAR AS JUSTIFICATIVAS LEGAIS.")))</f>
        <v>INFORMAR ALÍQUOTAS MÉDIAS DE RECOLHIMENTO DOS ÚLTIMOS 12 (DOZE) MESES.</v>
      </c>
      <c r="C49" s="581"/>
      <c r="D49" s="581"/>
      <c r="E49" s="581"/>
      <c r="F49" s="581"/>
      <c r="G49" s="581"/>
      <c r="H49" s="14"/>
      <c r="I49" s="128"/>
      <c r="J49" s="128"/>
      <c r="K49" s="128"/>
      <c r="L49" s="128"/>
      <c r="M49" s="128"/>
      <c r="N49" s="128"/>
      <c r="O49" s="128"/>
      <c r="P49" s="128"/>
      <c r="Q49" s="128"/>
    </row>
    <row r="50" spans="1:17" s="51" customFormat="1" ht="24.75" customHeight="1">
      <c r="A50" s="581"/>
      <c r="B50" s="581"/>
      <c r="C50" s="581"/>
      <c r="D50" s="581"/>
      <c r="E50" s="581"/>
      <c r="F50" s="581"/>
      <c r="G50" s="581"/>
      <c r="H50" s="14"/>
      <c r="I50" s="128"/>
      <c r="J50" s="128"/>
      <c r="K50" s="128"/>
      <c r="L50" s="128"/>
      <c r="M50" s="128"/>
      <c r="N50" s="128"/>
      <c r="O50" s="128"/>
      <c r="P50" s="128"/>
      <c r="Q50" s="128"/>
    </row>
    <row r="51" spans="1:17" s="51" customFormat="1" ht="24.75" customHeight="1">
      <c r="A51" s="581"/>
      <c r="B51" s="581"/>
      <c r="C51" s="581"/>
      <c r="D51" s="581"/>
      <c r="E51" s="581"/>
      <c r="F51" s="581"/>
      <c r="G51" s="581"/>
      <c r="H51" s="14"/>
      <c r="I51" s="128"/>
      <c r="J51" s="128"/>
      <c r="K51" s="128"/>
      <c r="L51" s="128"/>
      <c r="M51" s="128"/>
      <c r="N51" s="128"/>
      <c r="O51" s="128"/>
      <c r="P51" s="128"/>
      <c r="Q51" s="128"/>
    </row>
    <row r="52" spans="1:17" s="1" customFormat="1" ht="24" customHeight="1">
      <c r="A52" s="151">
        <v>1</v>
      </c>
      <c r="B52" s="584" t="s">
        <v>301</v>
      </c>
      <c r="C52" s="584"/>
      <c r="D52" s="584"/>
      <c r="E52" s="584"/>
      <c r="F52" s="585" t="s">
        <v>302</v>
      </c>
      <c r="G52" s="585"/>
      <c r="H52" s="14" t="s">
        <v>303</v>
      </c>
      <c r="Q52" s="165"/>
    </row>
    <row r="53" spans="1:17" s="1" customFormat="1" ht="24" customHeight="1">
      <c r="A53" s="151">
        <v>2</v>
      </c>
      <c r="B53" s="584" t="s">
        <v>304</v>
      </c>
      <c r="C53" s="584"/>
      <c r="D53" s="584"/>
      <c r="E53" s="584"/>
      <c r="F53" s="584"/>
      <c r="G53" s="154">
        <v>7.5999999999999998E-2</v>
      </c>
      <c r="H53" s="14" t="s">
        <v>305</v>
      </c>
    </row>
    <row r="54" spans="1:17" s="1" customFormat="1" ht="24" customHeight="1">
      <c r="A54" s="151">
        <v>3</v>
      </c>
      <c r="B54" s="584" t="s">
        <v>306</v>
      </c>
      <c r="C54" s="584"/>
      <c r="D54" s="584"/>
      <c r="E54" s="584"/>
      <c r="F54" s="584"/>
      <c r="G54" s="154">
        <v>1.6500000000000001E-2</v>
      </c>
      <c r="H54" s="14" t="s">
        <v>305</v>
      </c>
    </row>
    <row r="55" spans="1:17" s="1" customFormat="1" ht="24" customHeight="1">
      <c r="A55" s="151">
        <v>4</v>
      </c>
      <c r="B55" s="584" t="s">
        <v>307</v>
      </c>
      <c r="C55" s="584"/>
      <c r="D55" s="584"/>
      <c r="E55" s="584"/>
      <c r="F55" s="584"/>
      <c r="G55" s="154">
        <v>0.02</v>
      </c>
      <c r="H55" s="14" t="s">
        <v>308</v>
      </c>
    </row>
    <row r="56" spans="1:17" s="1" customFormat="1" ht="24" customHeight="1">
      <c r="A56" s="151">
        <v>5</v>
      </c>
      <c r="B56" s="589" t="s">
        <v>293</v>
      </c>
      <c r="C56" s="589"/>
      <c r="D56" s="589"/>
      <c r="E56" s="589"/>
      <c r="F56" s="589"/>
      <c r="G56" s="154">
        <v>0</v>
      </c>
      <c r="H56" s="14" t="s">
        <v>309</v>
      </c>
    </row>
    <row r="57" spans="1:17" s="1" customFormat="1" ht="21.75" customHeight="1">
      <c r="A57" s="151">
        <v>6</v>
      </c>
      <c r="B57" s="584" t="s">
        <v>310</v>
      </c>
      <c r="C57" s="584"/>
      <c r="D57" s="584"/>
      <c r="E57" s="584"/>
      <c r="F57" s="584"/>
      <c r="G57" s="146">
        <f>SUM(G53:G56)</f>
        <v>0.1125</v>
      </c>
      <c r="H57" s="14"/>
    </row>
    <row r="58" spans="1:17" ht="12.75" customHeight="1"/>
    <row r="59" spans="1:17" s="1" customFormat="1"/>
    <row r="60" spans="1:17" hidden="1"/>
    <row r="61" spans="1:17" ht="66.75" hidden="1" customHeight="1">
      <c r="A61" s="581" t="s">
        <v>311</v>
      </c>
      <c r="B61" s="581"/>
      <c r="C61" s="581"/>
      <c r="D61" s="581"/>
      <c r="E61" s="581"/>
      <c r="F61" s="581"/>
      <c r="G61" s="581"/>
      <c r="H61" s="581"/>
      <c r="I61" s="150" t="s">
        <v>312</v>
      </c>
      <c r="J61" s="132" t="s">
        <v>313</v>
      </c>
      <c r="K61" s="150" t="s">
        <v>312</v>
      </c>
      <c r="L61" s="150" t="s">
        <v>314</v>
      </c>
      <c r="M61" s="166" t="s">
        <v>315</v>
      </c>
      <c r="N61" s="132" t="s">
        <v>316</v>
      </c>
      <c r="O61" s="132" t="s">
        <v>317</v>
      </c>
      <c r="P61" s="167"/>
      <c r="Q61" s="168"/>
    </row>
    <row r="62" spans="1:17" ht="15" hidden="1" customHeight="1">
      <c r="A62" s="586" t="s">
        <v>318</v>
      </c>
      <c r="B62" s="586"/>
      <c r="C62" s="151" t="s">
        <v>319</v>
      </c>
      <c r="D62" s="169">
        <f>IPCA!G23</f>
        <v>0</v>
      </c>
      <c r="E62" s="584" t="s">
        <v>320</v>
      </c>
      <c r="F62" s="584"/>
      <c r="G62" s="584"/>
      <c r="H62" s="584"/>
      <c r="I62" s="170" t="s">
        <v>321</v>
      </c>
      <c r="J62" s="170" t="s">
        <v>321</v>
      </c>
      <c r="K62" s="170" t="s">
        <v>321</v>
      </c>
      <c r="L62" s="170" t="s">
        <v>321</v>
      </c>
      <c r="M62" s="171">
        <f>ROUND((100%+D62),2)</f>
        <v>1</v>
      </c>
      <c r="N62" s="172"/>
      <c r="O62" s="173"/>
      <c r="P62" s="174"/>
      <c r="Q62" s="174"/>
    </row>
    <row r="63" spans="1:17" ht="15" hidden="1" customHeight="1">
      <c r="A63" s="586" t="s">
        <v>322</v>
      </c>
      <c r="B63" s="586"/>
      <c r="C63" s="151" t="s">
        <v>319</v>
      </c>
      <c r="D63" s="169">
        <f>IPCA!N23</f>
        <v>0</v>
      </c>
      <c r="E63" s="584" t="s">
        <v>320</v>
      </c>
      <c r="F63" s="584"/>
      <c r="G63" s="584"/>
      <c r="H63" s="584"/>
      <c r="I63" s="170" t="s">
        <v>321</v>
      </c>
      <c r="J63" s="170" t="s">
        <v>321</v>
      </c>
      <c r="K63" s="170" t="s">
        <v>321</v>
      </c>
      <c r="L63" s="170" t="s">
        <v>321</v>
      </c>
      <c r="M63" s="171">
        <f>ROUND((100%+D63),2)</f>
        <v>1</v>
      </c>
      <c r="N63" s="172"/>
      <c r="O63" s="173"/>
      <c r="P63" s="174"/>
      <c r="Q63" s="174"/>
    </row>
    <row r="64" spans="1:17" ht="15" hidden="1" customHeight="1">
      <c r="A64" s="586" t="s">
        <v>323</v>
      </c>
      <c r="B64" s="586"/>
      <c r="C64" s="151" t="s">
        <v>319</v>
      </c>
      <c r="D64" s="169">
        <f>IPCA!U23</f>
        <v>0</v>
      </c>
      <c r="E64" s="584" t="s">
        <v>320</v>
      </c>
      <c r="F64" s="584"/>
      <c r="G64" s="584"/>
      <c r="H64" s="584"/>
      <c r="I64" s="170" t="s">
        <v>321</v>
      </c>
      <c r="J64" s="170" t="s">
        <v>321</v>
      </c>
      <c r="K64" s="170" t="s">
        <v>321</v>
      </c>
      <c r="L64" s="170" t="s">
        <v>321</v>
      </c>
      <c r="M64" s="171">
        <f>ROUND((100%+D64),2)</f>
        <v>1</v>
      </c>
      <c r="N64" s="172"/>
      <c r="O64" s="173"/>
      <c r="P64" s="174"/>
      <c r="Q64" s="174"/>
    </row>
    <row r="65" spans="1:17" ht="15" hidden="1" customHeight="1">
      <c r="A65" s="586" t="s">
        <v>324</v>
      </c>
      <c r="B65" s="586"/>
      <c r="C65" s="151" t="s">
        <v>319</v>
      </c>
      <c r="D65" s="169">
        <f>IPCA!AB23</f>
        <v>0</v>
      </c>
      <c r="E65" s="584" t="s">
        <v>320</v>
      </c>
      <c r="F65" s="584"/>
      <c r="G65" s="584"/>
      <c r="H65" s="584"/>
      <c r="I65" s="170" t="s">
        <v>321</v>
      </c>
      <c r="J65" s="170" t="s">
        <v>321</v>
      </c>
      <c r="K65" s="170" t="s">
        <v>321</v>
      </c>
      <c r="L65" s="170" t="s">
        <v>321</v>
      </c>
      <c r="M65" s="171">
        <f>ROUND((100%+D65),2)</f>
        <v>1</v>
      </c>
      <c r="N65" s="172"/>
      <c r="O65" s="173"/>
      <c r="P65" s="174"/>
      <c r="Q65" s="174"/>
    </row>
    <row r="66" spans="1:17" ht="15" hidden="1" customHeight="1">
      <c r="A66" s="586" t="s">
        <v>325</v>
      </c>
      <c r="B66" s="586"/>
      <c r="C66" s="151" t="s">
        <v>319</v>
      </c>
      <c r="D66" s="169">
        <f>IPCA!AI23</f>
        <v>0</v>
      </c>
      <c r="E66" s="584" t="s">
        <v>320</v>
      </c>
      <c r="F66" s="584"/>
      <c r="G66" s="584"/>
      <c r="H66" s="584"/>
      <c r="I66" s="170" t="s">
        <v>321</v>
      </c>
      <c r="J66" s="170" t="s">
        <v>321</v>
      </c>
      <c r="K66" s="170" t="s">
        <v>321</v>
      </c>
      <c r="L66" s="170" t="s">
        <v>321</v>
      </c>
      <c r="M66" s="171">
        <f>ROUND((100%+D66),2)</f>
        <v>1</v>
      </c>
      <c r="N66" s="172"/>
      <c r="O66" s="173"/>
      <c r="P66" s="174"/>
      <c r="Q66" s="174"/>
    </row>
    <row r="67" spans="1:17" hidden="1">
      <c r="B67" s="175"/>
      <c r="C67" s="175"/>
      <c r="D67" s="175"/>
      <c r="E67" s="175"/>
    </row>
    <row r="68" spans="1:17" ht="30" hidden="1" customHeight="1">
      <c r="A68" s="581" t="s">
        <v>326</v>
      </c>
      <c r="B68" s="581"/>
      <c r="C68" s="581"/>
      <c r="D68" s="132" t="s">
        <v>327</v>
      </c>
      <c r="E68" s="175"/>
    </row>
    <row r="69" spans="1:17" ht="15.75" hidden="1" customHeight="1">
      <c r="A69" s="581"/>
      <c r="B69" s="581"/>
      <c r="C69" s="581"/>
      <c r="D69" s="170" t="s">
        <v>328</v>
      </c>
      <c r="E69" s="175"/>
    </row>
    <row r="70" spans="1:17" ht="30" hidden="1" customHeight="1">
      <c r="A70" s="581" t="s">
        <v>329</v>
      </c>
      <c r="B70" s="581"/>
      <c r="C70" s="581"/>
      <c r="D70" s="132" t="s">
        <v>327</v>
      </c>
      <c r="E70" s="175"/>
    </row>
    <row r="71" spans="1:17" ht="15.75" hidden="1" customHeight="1">
      <c r="A71" s="581"/>
      <c r="B71" s="581"/>
      <c r="C71" s="581"/>
      <c r="D71" s="170" t="s">
        <v>328</v>
      </c>
      <c r="E71" s="175"/>
    </row>
    <row r="72" spans="1:17" ht="30" hidden="1" customHeight="1">
      <c r="A72" s="581" t="s">
        <v>330</v>
      </c>
      <c r="B72" s="581"/>
      <c r="C72" s="581"/>
      <c r="D72" s="132" t="s">
        <v>327</v>
      </c>
      <c r="E72" s="175"/>
    </row>
    <row r="73" spans="1:17" ht="15.75" hidden="1" customHeight="1">
      <c r="A73" s="581"/>
      <c r="B73" s="581"/>
      <c r="C73" s="581"/>
      <c r="D73" s="170" t="s">
        <v>328</v>
      </c>
      <c r="E73" s="175"/>
    </row>
    <row r="74" spans="1:17" ht="42.75" hidden="1" customHeight="1">
      <c r="A74" s="581" t="s">
        <v>331</v>
      </c>
      <c r="B74" s="581"/>
      <c r="C74" s="581"/>
      <c r="D74" s="132" t="s">
        <v>327</v>
      </c>
      <c r="E74" s="176" t="s">
        <v>332</v>
      </c>
      <c r="F74" s="132" t="s">
        <v>333</v>
      </c>
      <c r="G74" s="132" t="s">
        <v>334</v>
      </c>
      <c r="H74" s="132" t="s">
        <v>335</v>
      </c>
      <c r="I74" s="132" t="s">
        <v>336</v>
      </c>
      <c r="J74" s="132" t="s">
        <v>337</v>
      </c>
      <c r="K74" s="175" t="s">
        <v>338</v>
      </c>
    </row>
    <row r="75" spans="1:17" ht="15.75" hidden="1" customHeight="1">
      <c r="A75" s="581"/>
      <c r="B75" s="581"/>
      <c r="C75" s="581"/>
      <c r="D75" s="170" t="s">
        <v>328</v>
      </c>
      <c r="E75" s="170">
        <f>G31</f>
        <v>16.75</v>
      </c>
      <c r="F75" s="151">
        <f>ROUND(IF(Dados!$M$62="SIM",E75*Dados!$N$62,E75),2)</f>
        <v>16.75</v>
      </c>
      <c r="G75" s="151">
        <f>ROUND(IF(Dados!$M$63="SIM",F75*Dados!$N$63,F75),2)</f>
        <v>16.75</v>
      </c>
      <c r="H75" s="151">
        <f>ROUND(IF(Dados!$M$64="SIM",G75*Dados!$N$64,G75),2)</f>
        <v>16.75</v>
      </c>
      <c r="I75" s="151">
        <f>ROUND(IF(Dados!$M$65="SIM",H75*Dados!$N$65,H75),2)</f>
        <v>16.75</v>
      </c>
      <c r="J75" s="151">
        <f>ROUND(IF(Dados!$M$66="SIM",I75*Dados!$N$66,I75),2)</f>
        <v>16.75</v>
      </c>
      <c r="K75" s="2">
        <f>IF(D75="INICIAL",E75,IF(D75="1º IPCA",F75,IF(D75="2º IPCA",G75,IF(D75="3º IPCA",H75,IF(D75="4º IPCA",I75,IF(D75="5º IPCA",J75,))))))</f>
        <v>16.75</v>
      </c>
    </row>
    <row r="76" spans="1:17" hidden="1">
      <c r="E76" s="175"/>
    </row>
    <row r="77" spans="1:17" ht="15.75" hidden="1" customHeight="1">
      <c r="A77" s="590" t="s">
        <v>339</v>
      </c>
      <c r="B77" s="590"/>
      <c r="C77" s="590"/>
      <c r="D77" s="590"/>
      <c r="E77" s="590"/>
      <c r="F77" s="590"/>
      <c r="G77" s="590"/>
      <c r="H77" s="590"/>
    </row>
    <row r="78" spans="1:17" hidden="1">
      <c r="A78" s="591" t="s">
        <v>340</v>
      </c>
      <c r="B78" s="591"/>
      <c r="C78" s="591"/>
      <c r="D78" s="591"/>
      <c r="E78" s="591"/>
      <c r="F78" s="592" t="s">
        <v>341</v>
      </c>
      <c r="G78" s="592"/>
      <c r="H78" s="177"/>
    </row>
    <row r="79" spans="1:17" ht="43.5" hidden="1" customHeight="1">
      <c r="A79" s="593" t="s">
        <v>342</v>
      </c>
      <c r="B79" s="593"/>
      <c r="C79" s="593"/>
      <c r="D79" s="593"/>
      <c r="E79" s="593"/>
      <c r="F79" s="593"/>
      <c r="G79" s="593"/>
      <c r="H79" s="593"/>
    </row>
    <row r="80" spans="1:17" hidden="1">
      <c r="A80" s="591" t="s">
        <v>343</v>
      </c>
      <c r="B80" s="591"/>
      <c r="C80" s="591"/>
      <c r="D80" s="591"/>
      <c r="E80" s="591"/>
      <c r="F80" s="592" t="s">
        <v>341</v>
      </c>
      <c r="G80" s="592"/>
      <c r="H80" s="177"/>
    </row>
    <row r="81" spans="1:8" ht="43.5" hidden="1" customHeight="1">
      <c r="A81" s="594" t="s">
        <v>344</v>
      </c>
      <c r="B81" s="594"/>
      <c r="C81" s="594"/>
      <c r="D81" s="594"/>
      <c r="E81" s="594"/>
      <c r="F81" s="594"/>
      <c r="G81" s="594"/>
      <c r="H81" s="594"/>
    </row>
    <row r="82" spans="1:8" hidden="1">
      <c r="A82" s="591" t="s">
        <v>345</v>
      </c>
      <c r="B82" s="591"/>
      <c r="C82" s="591"/>
      <c r="D82" s="591"/>
      <c r="E82" s="591"/>
      <c r="F82" s="592" t="s">
        <v>341</v>
      </c>
      <c r="G82" s="592"/>
      <c r="H82" s="177"/>
    </row>
    <row r="83" spans="1:8" ht="43.5" hidden="1" customHeight="1">
      <c r="A83" s="593" t="s">
        <v>346</v>
      </c>
      <c r="B83" s="593"/>
      <c r="C83" s="593"/>
      <c r="D83" s="593"/>
      <c r="E83" s="593"/>
      <c r="F83" s="593"/>
      <c r="G83" s="593"/>
      <c r="H83" s="593"/>
    </row>
    <row r="84" spans="1:8" hidden="1">
      <c r="A84" s="595" t="s">
        <v>347</v>
      </c>
      <c r="B84" s="595"/>
      <c r="C84" s="595"/>
      <c r="D84" s="595"/>
      <c r="E84" s="595"/>
      <c r="F84" s="592" t="s">
        <v>341</v>
      </c>
      <c r="G84" s="592"/>
      <c r="H84" s="178"/>
    </row>
    <row r="85" spans="1:8" ht="43.5" hidden="1" customHeight="1">
      <c r="A85" s="593" t="s">
        <v>348</v>
      </c>
      <c r="B85" s="593"/>
      <c r="C85" s="593"/>
      <c r="D85" s="593"/>
      <c r="E85" s="593"/>
      <c r="F85" s="593"/>
      <c r="G85" s="593"/>
      <c r="H85" s="593"/>
    </row>
    <row r="86" spans="1:8" hidden="1">
      <c r="A86" s="179"/>
      <c r="H86" s="180"/>
    </row>
  </sheetData>
  <sheetProtection algorithmName="SHA-512" hashValue="r1Exzi2iY556MwfPYyBPYSDxWsep1X2UckBVjp0q5nMl9jDZSzKkJZxEDsOORyuyqEhBjHLpWfRiovY+1WJFSA==" saltValue="Tdfaa4Ymy+l2oRjw3Egjog==" spinCount="100000" sheet="1" objects="1" scenarios="1"/>
  <mergeCells count="91">
    <mergeCell ref="A85:H85"/>
    <mergeCell ref="A81:H81"/>
    <mergeCell ref="A82:E82"/>
    <mergeCell ref="F82:G82"/>
    <mergeCell ref="A83:H83"/>
    <mergeCell ref="A84:E84"/>
    <mergeCell ref="F84:G84"/>
    <mergeCell ref="A78:E78"/>
    <mergeCell ref="F78:G78"/>
    <mergeCell ref="A79:H79"/>
    <mergeCell ref="A80:E80"/>
    <mergeCell ref="F80:G80"/>
    <mergeCell ref="A68:C69"/>
    <mergeCell ref="A70:C71"/>
    <mergeCell ref="A72:C73"/>
    <mergeCell ref="A74:C75"/>
    <mergeCell ref="A77:H77"/>
    <mergeCell ref="A64:B64"/>
    <mergeCell ref="E64:H64"/>
    <mergeCell ref="A65:B65"/>
    <mergeCell ref="E65:H65"/>
    <mergeCell ref="A66:B66"/>
    <mergeCell ref="E66:H66"/>
    <mergeCell ref="A61:H61"/>
    <mergeCell ref="A62:B62"/>
    <mergeCell ref="E62:H62"/>
    <mergeCell ref="A63:B63"/>
    <mergeCell ref="E63:H63"/>
    <mergeCell ref="B53:F53"/>
    <mergeCell ref="B54:F54"/>
    <mergeCell ref="B55:F55"/>
    <mergeCell ref="B56:F56"/>
    <mergeCell ref="B57:F57"/>
    <mergeCell ref="A48:G48"/>
    <mergeCell ref="A49:A51"/>
    <mergeCell ref="B49:G51"/>
    <mergeCell ref="B52:E52"/>
    <mergeCell ref="F52:G52"/>
    <mergeCell ref="B41:F41"/>
    <mergeCell ref="B42:F42"/>
    <mergeCell ref="A44:G44"/>
    <mergeCell ref="B45:F45"/>
    <mergeCell ref="B46:F46"/>
    <mergeCell ref="A37:A40"/>
    <mergeCell ref="B37:C40"/>
    <mergeCell ref="D37:F37"/>
    <mergeCell ref="D38:F38"/>
    <mergeCell ref="D39:F39"/>
    <mergeCell ref="D40:F40"/>
    <mergeCell ref="A33:A36"/>
    <mergeCell ref="B33:C36"/>
    <mergeCell ref="D33:F33"/>
    <mergeCell ref="D34:F34"/>
    <mergeCell ref="D35:F35"/>
    <mergeCell ref="D36:F36"/>
    <mergeCell ref="A27:G27"/>
    <mergeCell ref="B28:F28"/>
    <mergeCell ref="A30:G30"/>
    <mergeCell ref="B31:F31"/>
    <mergeCell ref="B32:F32"/>
    <mergeCell ref="A20:G20"/>
    <mergeCell ref="B21:F21"/>
    <mergeCell ref="B23:F23"/>
    <mergeCell ref="B24:F24"/>
    <mergeCell ref="B25:F25"/>
    <mergeCell ref="B16:D16"/>
    <mergeCell ref="E16:G16"/>
    <mergeCell ref="B17:D17"/>
    <mergeCell ref="E17:G17"/>
    <mergeCell ref="B18:D18"/>
    <mergeCell ref="E18:G18"/>
    <mergeCell ref="A13:G13"/>
    <mergeCell ref="B14:D14"/>
    <mergeCell ref="E14:G14"/>
    <mergeCell ref="B15:D15"/>
    <mergeCell ref="E15:G15"/>
    <mergeCell ref="K5:K6"/>
    <mergeCell ref="L5:L6"/>
    <mergeCell ref="M5:M6"/>
    <mergeCell ref="R5:R6"/>
    <mergeCell ref="A7:A11"/>
    <mergeCell ref="F5:F6"/>
    <mergeCell ref="G5:G6"/>
    <mergeCell ref="H5:H6"/>
    <mergeCell ref="I5:I6"/>
    <mergeCell ref="J5:J6"/>
    <mergeCell ref="A5:A6"/>
    <mergeCell ref="B5:B6"/>
    <mergeCell ref="C5:C6"/>
    <mergeCell ref="D5:D6"/>
    <mergeCell ref="E5:E6"/>
  </mergeCells>
  <dataValidations disablePrompts="1" count="3">
    <dataValidation type="list" allowBlank="1" showInputMessage="1" showErrorMessage="1" sqref="F52" xr:uid="{00000000-0002-0000-0200-000000000000}">
      <formula1>"LUCRO REAL,LUCRO PRESUMIDO,SIMPLES NACIONAL,OUTRO"</formula1>
      <formula2>0</formula2>
    </dataValidation>
    <dataValidation type="list" allowBlank="1" showInputMessage="1" showErrorMessage="1" sqref="I62:L66" xr:uid="{00000000-0002-0000-0200-000001000000}">
      <formula1>"NÃO,SIM"</formula1>
      <formula2>0</formula2>
    </dataValidation>
    <dataValidation type="list" allowBlank="1" showInputMessage="1" showErrorMessage="1" sqref="D69 D71 D73 D75" xr:uid="{00000000-0002-0000-0200-000002000000}">
      <formula1>"INICIAL,1º IPCA,2º IPCA,3º IPCA,4º IPCA,5º IPCA"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1"/>
  <sheetViews>
    <sheetView showGridLines="0" zoomScaleNormal="100" workbookViewId="0">
      <selection activeCell="H57" sqref="H57"/>
    </sheetView>
  </sheetViews>
  <sheetFormatPr defaultColWidth="9" defaultRowHeight="15"/>
  <cols>
    <col min="2" max="2" width="55.5703125" customWidth="1"/>
    <col min="3" max="3" width="13.140625" customWidth="1"/>
    <col min="4" max="4" width="4.85546875" customWidth="1"/>
    <col min="5" max="5" width="41.7109375" customWidth="1"/>
    <col min="6" max="8" width="11" customWidth="1"/>
    <col min="258" max="258" width="55.5703125" customWidth="1"/>
    <col min="259" max="259" width="13.140625" customWidth="1"/>
    <col min="261" max="261" width="35.140625" customWidth="1"/>
    <col min="262" max="264" width="11" customWidth="1"/>
    <col min="514" max="514" width="55.5703125" customWidth="1"/>
    <col min="515" max="515" width="13.140625" customWidth="1"/>
    <col min="517" max="517" width="35.140625" customWidth="1"/>
    <col min="518" max="520" width="11" customWidth="1"/>
    <col min="770" max="770" width="55.5703125" customWidth="1"/>
    <col min="771" max="771" width="13.140625" customWidth="1"/>
    <col min="773" max="773" width="35.140625" customWidth="1"/>
    <col min="774" max="776" width="11" customWidth="1"/>
  </cols>
  <sheetData>
    <row r="1" spans="1:4">
      <c r="A1" s="181"/>
      <c r="B1" s="108" t="str">
        <f>INSTRUÇÕES!B1</f>
        <v>Tribunal Regional Federal da 6ª Região</v>
      </c>
      <c r="C1" s="182"/>
    </row>
    <row r="2" spans="1:4">
      <c r="A2" s="183"/>
      <c r="B2" s="110" t="str">
        <f>INSTRUÇÕES!B2</f>
        <v>Seção Judiciária de Minas Gerais</v>
      </c>
      <c r="C2" s="184"/>
    </row>
    <row r="3" spans="1:4">
      <c r="A3" s="185"/>
      <c r="B3" s="110" t="str">
        <f>INSTRUÇÕES!B3</f>
        <v>Subseção Judiciária de Pouso Alegre</v>
      </c>
      <c r="C3" s="184"/>
    </row>
    <row r="4" spans="1:4" ht="21.75" customHeight="1">
      <c r="A4" s="596" t="s">
        <v>349</v>
      </c>
      <c r="B4" s="596"/>
      <c r="C4" s="596"/>
    </row>
    <row r="5" spans="1:4" ht="21.75" customHeight="1">
      <c r="A5" s="596" t="s">
        <v>350</v>
      </c>
      <c r="B5" s="596"/>
      <c r="C5" s="596"/>
    </row>
    <row r="6" spans="1:4" ht="26.25" customHeight="1">
      <c r="A6" s="597" t="s">
        <v>351</v>
      </c>
      <c r="B6" s="597"/>
      <c r="C6" s="597"/>
    </row>
    <row r="7" spans="1:4">
      <c r="A7" s="598" t="s">
        <v>352</v>
      </c>
      <c r="B7" s="598"/>
      <c r="C7" s="598"/>
    </row>
    <row r="8" spans="1:4" ht="15.75" customHeight="1">
      <c r="A8" s="186" t="s">
        <v>61</v>
      </c>
      <c r="B8" s="187" t="s">
        <v>353</v>
      </c>
      <c r="C8" s="188" t="s">
        <v>354</v>
      </c>
    </row>
    <row r="9" spans="1:4" ht="15.75" customHeight="1">
      <c r="A9" s="189" t="s">
        <v>355</v>
      </c>
      <c r="B9" s="599" t="s">
        <v>356</v>
      </c>
      <c r="C9" s="599"/>
    </row>
    <row r="10" spans="1:4" ht="15.75" customHeight="1">
      <c r="A10" s="190">
        <v>1</v>
      </c>
      <c r="B10" s="191" t="s">
        <v>357</v>
      </c>
      <c r="C10" s="192">
        <v>0.2</v>
      </c>
    </row>
    <row r="11" spans="1:4" ht="15.75" customHeight="1">
      <c r="A11" s="190">
        <v>2</v>
      </c>
      <c r="B11" s="191" t="s">
        <v>358</v>
      </c>
      <c r="C11" s="192">
        <v>1.4999999999999999E-2</v>
      </c>
    </row>
    <row r="12" spans="1:4" ht="15.75" customHeight="1">
      <c r="A12" s="190">
        <v>3</v>
      </c>
      <c r="B12" s="191" t="s">
        <v>359</v>
      </c>
      <c r="C12" s="192">
        <v>0.01</v>
      </c>
    </row>
    <row r="13" spans="1:4" ht="15.75" customHeight="1">
      <c r="A13" s="190">
        <v>4</v>
      </c>
      <c r="B13" s="191" t="s">
        <v>360</v>
      </c>
      <c r="C13" s="192">
        <v>2E-3</v>
      </c>
    </row>
    <row r="14" spans="1:4" ht="15.75" customHeight="1">
      <c r="A14" s="190">
        <v>5</v>
      </c>
      <c r="B14" s="191" t="s">
        <v>361</v>
      </c>
      <c r="C14" s="192">
        <v>2.5000000000000001E-2</v>
      </c>
    </row>
    <row r="15" spans="1:4" ht="15.75" customHeight="1">
      <c r="A15" s="190">
        <v>6</v>
      </c>
      <c r="B15" s="191" t="s">
        <v>362</v>
      </c>
      <c r="C15" s="192">
        <v>0.08</v>
      </c>
    </row>
    <row r="16" spans="1:4" ht="15.75" customHeight="1">
      <c r="A16" s="190">
        <v>7</v>
      </c>
      <c r="B16" s="191" t="s">
        <v>363</v>
      </c>
      <c r="C16" s="193">
        <f>Dados!G23</f>
        <v>0.06</v>
      </c>
      <c r="D16" s="194" t="s">
        <v>364</v>
      </c>
    </row>
    <row r="17" spans="1:3" ht="15.75" customHeight="1">
      <c r="A17" s="190">
        <v>8</v>
      </c>
      <c r="B17" s="191" t="s">
        <v>365</v>
      </c>
      <c r="C17" s="192">
        <v>6.0000000000000001E-3</v>
      </c>
    </row>
    <row r="18" spans="1:3" ht="15.75" customHeight="1">
      <c r="A18" s="600" t="s">
        <v>366</v>
      </c>
      <c r="B18" s="600"/>
      <c r="C18" s="195">
        <f>SUM(C10:C17)</f>
        <v>0.39800000000000008</v>
      </c>
    </row>
    <row r="19" spans="1:3" ht="15.75" customHeight="1">
      <c r="A19" s="601" t="s">
        <v>367</v>
      </c>
      <c r="B19" s="601"/>
      <c r="C19" s="601"/>
    </row>
    <row r="20" spans="1:3" ht="15.75" customHeight="1">
      <c r="A20" s="601" t="s">
        <v>368</v>
      </c>
      <c r="B20" s="601"/>
      <c r="C20" s="601"/>
    </row>
    <row r="21" spans="1:3" ht="15.75" customHeight="1">
      <c r="A21" s="190">
        <v>9</v>
      </c>
      <c r="B21" s="196" t="s">
        <v>369</v>
      </c>
      <c r="C21" s="197">
        <f>ROUND((100%/11),4)</f>
        <v>9.0899999999999995E-2</v>
      </c>
    </row>
    <row r="22" spans="1:3" ht="15.75" customHeight="1">
      <c r="A22" s="190">
        <v>10</v>
      </c>
      <c r="B22" s="196" t="s">
        <v>370</v>
      </c>
      <c r="C22" s="197">
        <f>ROUND((C21/3),4)</f>
        <v>3.0300000000000001E-2</v>
      </c>
    </row>
    <row r="23" spans="1:3" ht="15.75" customHeight="1">
      <c r="A23" s="602" t="s">
        <v>371</v>
      </c>
      <c r="B23" s="602"/>
      <c r="C23" s="198">
        <f>SUM(C21:C22)</f>
        <v>0.1212</v>
      </c>
    </row>
    <row r="24" spans="1:3" ht="15.75" customHeight="1">
      <c r="A24" s="603" t="s">
        <v>372</v>
      </c>
      <c r="B24" s="603"/>
      <c r="C24" s="193">
        <f>(C18*C23)</f>
        <v>4.8237600000000012E-2</v>
      </c>
    </row>
    <row r="25" spans="1:3" ht="15.75" customHeight="1">
      <c r="A25" s="602" t="s">
        <v>373</v>
      </c>
      <c r="B25" s="602"/>
      <c r="C25" s="198">
        <f>SUM(C23:C24)</f>
        <v>0.16943760000000002</v>
      </c>
    </row>
    <row r="26" spans="1:3" ht="15.75" customHeight="1">
      <c r="A26" s="189" t="s">
        <v>374</v>
      </c>
      <c r="B26" s="599" t="s">
        <v>375</v>
      </c>
      <c r="C26" s="599"/>
    </row>
    <row r="27" spans="1:3" ht="15.75" customHeight="1">
      <c r="A27" s="190">
        <v>11</v>
      </c>
      <c r="B27" s="191" t="s">
        <v>376</v>
      </c>
      <c r="C27" s="192">
        <f>ROUND((0.0144*0.1*0.4509*6/12),4)</f>
        <v>2.9999999999999997E-4</v>
      </c>
    </row>
    <row r="28" spans="1:3" ht="15.75" customHeight="1">
      <c r="A28" s="603" t="s">
        <v>377</v>
      </c>
      <c r="B28" s="603"/>
      <c r="C28" s="199">
        <f>C18*C27</f>
        <v>1.1940000000000002E-4</v>
      </c>
    </row>
    <row r="29" spans="1:3" ht="15.75" customHeight="1">
      <c r="A29" s="602" t="s">
        <v>378</v>
      </c>
      <c r="B29" s="602"/>
      <c r="C29" s="200">
        <f>SUM(C27:C28)</f>
        <v>4.194E-4</v>
      </c>
    </row>
    <row r="30" spans="1:3" ht="15.75" customHeight="1">
      <c r="A30" s="189" t="s">
        <v>379</v>
      </c>
      <c r="B30" s="599" t="s">
        <v>380</v>
      </c>
      <c r="C30" s="599"/>
    </row>
    <row r="31" spans="1:3" ht="15.75" customHeight="1">
      <c r="A31" s="190">
        <v>12</v>
      </c>
      <c r="B31" s="191" t="s">
        <v>381</v>
      </c>
      <c r="C31" s="192">
        <f>ROUND((100%/12)*5%,4)</f>
        <v>4.1999999999999997E-3</v>
      </c>
    </row>
    <row r="32" spans="1:3" ht="15.75" customHeight="1">
      <c r="A32" s="604" t="s">
        <v>382</v>
      </c>
      <c r="B32" s="604"/>
      <c r="C32" s="193">
        <f>C15*C31</f>
        <v>3.3599999999999998E-4</v>
      </c>
    </row>
    <row r="33" spans="1:8" ht="15.75" customHeight="1">
      <c r="A33" s="190">
        <v>13</v>
      </c>
      <c r="B33" s="191" t="s">
        <v>383</v>
      </c>
      <c r="C33" s="197">
        <f>ROUND((C15*0.4*0.9*(1+1/11+1/11+(1/3*1/11))),5)</f>
        <v>3.4909999999999997E-2</v>
      </c>
    </row>
    <row r="34" spans="1:8" ht="15.75" customHeight="1">
      <c r="A34" s="190">
        <v>14</v>
      </c>
      <c r="B34" s="191" t="s">
        <v>384</v>
      </c>
      <c r="C34" s="192">
        <f>ROUND((100%/30)*7/12,4)</f>
        <v>1.9400000000000001E-2</v>
      </c>
    </row>
    <row r="35" spans="1:8" ht="15.75" customHeight="1">
      <c r="A35" s="604" t="s">
        <v>385</v>
      </c>
      <c r="B35" s="604"/>
      <c r="C35" s="193">
        <f>ROUND((C34*C18),4)</f>
        <v>7.7000000000000002E-3</v>
      </c>
    </row>
    <row r="36" spans="1:8" ht="15.75" customHeight="1">
      <c r="A36" s="190">
        <v>15</v>
      </c>
      <c r="B36" s="191" t="s">
        <v>386</v>
      </c>
      <c r="C36" s="193">
        <f>(0.4*C15/100)</f>
        <v>3.2000000000000003E-4</v>
      </c>
    </row>
    <row r="37" spans="1:8" ht="15.75" customHeight="1">
      <c r="A37" s="605" t="s">
        <v>387</v>
      </c>
      <c r="B37" s="605"/>
      <c r="C37" s="198">
        <f>SUM(C31:C36)</f>
        <v>6.6865999999999995E-2</v>
      </c>
    </row>
    <row r="38" spans="1:8" ht="15.75" customHeight="1">
      <c r="A38" s="189" t="s">
        <v>388</v>
      </c>
      <c r="B38" s="599" t="s">
        <v>389</v>
      </c>
      <c r="C38" s="599"/>
    </row>
    <row r="39" spans="1:8" ht="15.75" customHeight="1">
      <c r="A39" s="190">
        <v>16</v>
      </c>
      <c r="B39" s="191" t="s">
        <v>390</v>
      </c>
      <c r="C39" s="197">
        <f>ROUND((100%/11),4)</f>
        <v>9.0899999999999995E-2</v>
      </c>
    </row>
    <row r="40" spans="1:8" ht="15.75" customHeight="1">
      <c r="A40" s="190">
        <v>17</v>
      </c>
      <c r="B40" s="191" t="s">
        <v>391</v>
      </c>
      <c r="C40" s="192">
        <f>ROUND((5.96/30/12),4)</f>
        <v>1.66E-2</v>
      </c>
    </row>
    <row r="41" spans="1:8" ht="15.75" customHeight="1">
      <c r="A41" s="190">
        <v>18</v>
      </c>
      <c r="B41" s="191" t="s">
        <v>392</v>
      </c>
      <c r="C41" s="192">
        <f>ROUND((5/30/12)*0.022,4)</f>
        <v>2.9999999999999997E-4</v>
      </c>
    </row>
    <row r="42" spans="1:8" ht="15.75" customHeight="1">
      <c r="A42" s="190">
        <v>19</v>
      </c>
      <c r="B42" s="191" t="s">
        <v>393</v>
      </c>
      <c r="C42" s="192">
        <f>ROUND((1/30/12),4)</f>
        <v>2.8E-3</v>
      </c>
    </row>
    <row r="43" spans="1:8" ht="15.75" customHeight="1">
      <c r="A43" s="190">
        <v>20</v>
      </c>
      <c r="B43" s="191" t="s">
        <v>394</v>
      </c>
      <c r="C43" s="192">
        <f>ROUND((15/30/12*0.0078),4)</f>
        <v>2.9999999999999997E-4</v>
      </c>
    </row>
    <row r="44" spans="1:8" ht="15.75" customHeight="1">
      <c r="A44" s="605" t="s">
        <v>371</v>
      </c>
      <c r="B44" s="605"/>
      <c r="C44" s="198">
        <f>SUM(C39:C43)</f>
        <v>0.11089999999999998</v>
      </c>
      <c r="E44" s="606" t="s">
        <v>395</v>
      </c>
      <c r="F44" s="606"/>
      <c r="G44" s="606"/>
      <c r="H44" s="606"/>
    </row>
    <row r="45" spans="1:8" ht="15.75" customHeight="1">
      <c r="A45" s="604" t="s">
        <v>396</v>
      </c>
      <c r="B45" s="604"/>
      <c r="C45" s="193">
        <f>C18*C44</f>
        <v>4.4138200000000002E-2</v>
      </c>
      <c r="E45" s="606"/>
      <c r="F45" s="606"/>
      <c r="G45" s="606"/>
      <c r="H45" s="606"/>
    </row>
    <row r="46" spans="1:8" ht="15" customHeight="1">
      <c r="A46" s="605" t="s">
        <v>397</v>
      </c>
      <c r="B46" s="605"/>
      <c r="C46" s="198">
        <f>SUM(C44:C45)</f>
        <v>0.15503819999999999</v>
      </c>
      <c r="E46" s="607" t="s">
        <v>398</v>
      </c>
      <c r="F46" s="608" t="s">
        <v>399</v>
      </c>
      <c r="G46" s="608"/>
      <c r="H46" s="608"/>
    </row>
    <row r="47" spans="1:8" ht="15.75" customHeight="1">
      <c r="A47" s="201" t="s">
        <v>400</v>
      </c>
      <c r="B47" s="202" t="s">
        <v>401</v>
      </c>
      <c r="C47" s="198" t="s">
        <v>266</v>
      </c>
      <c r="E47" s="607"/>
      <c r="F47" s="608" t="s">
        <v>402</v>
      </c>
      <c r="G47" s="608"/>
      <c r="H47" s="608"/>
    </row>
    <row r="48" spans="1:8" ht="15.75" customHeight="1">
      <c r="A48" s="190">
        <v>21</v>
      </c>
      <c r="B48" s="191" t="s">
        <v>403</v>
      </c>
      <c r="C48" s="192">
        <f>1*1%/12</f>
        <v>8.3333333333333339E-4</v>
      </c>
      <c r="E48" s="203" t="s">
        <v>404</v>
      </c>
      <c r="F48" s="204" t="s">
        <v>405</v>
      </c>
      <c r="G48" s="204" t="s">
        <v>406</v>
      </c>
      <c r="H48" s="205" t="s">
        <v>407</v>
      </c>
    </row>
    <row r="49" spans="1:8" ht="15.75" customHeight="1">
      <c r="A49" s="605" t="s">
        <v>408</v>
      </c>
      <c r="B49" s="605"/>
      <c r="C49" s="198">
        <f>SUM(C47:C48)</f>
        <v>8.3333333333333339E-4</v>
      </c>
      <c r="E49" s="203" t="s">
        <v>409</v>
      </c>
      <c r="F49" s="206">
        <v>0.34300000000000003</v>
      </c>
      <c r="G49" s="206">
        <v>0.39800000000000002</v>
      </c>
      <c r="H49" s="207">
        <f>$C$18</f>
        <v>0.39800000000000008</v>
      </c>
    </row>
    <row r="50" spans="1:8" ht="15.75" customHeight="1">
      <c r="A50" s="609" t="s">
        <v>410</v>
      </c>
      <c r="B50" s="609"/>
      <c r="C50" s="609"/>
      <c r="E50" s="203" t="s">
        <v>411</v>
      </c>
      <c r="F50" s="206">
        <v>5.0000000000000001E-3</v>
      </c>
      <c r="G50" s="206">
        <v>0.06</v>
      </c>
      <c r="H50" s="207">
        <f>$C$16</f>
        <v>0.06</v>
      </c>
    </row>
    <row r="51" spans="1:8" ht="15.75" customHeight="1">
      <c r="A51" s="604" t="s">
        <v>356</v>
      </c>
      <c r="B51" s="604"/>
      <c r="C51" s="193">
        <f>ROUND(C18,4)</f>
        <v>0.39800000000000002</v>
      </c>
      <c r="E51" s="208" t="s">
        <v>412</v>
      </c>
      <c r="F51" s="209">
        <f>$C$21</f>
        <v>9.0899999999999995E-2</v>
      </c>
      <c r="G51" s="209">
        <f>$F$51</f>
        <v>9.0899999999999995E-2</v>
      </c>
      <c r="H51" s="210">
        <f>$F$51</f>
        <v>9.0899999999999995E-2</v>
      </c>
    </row>
    <row r="52" spans="1:8" ht="15.75" customHeight="1">
      <c r="A52" s="604" t="s">
        <v>413</v>
      </c>
      <c r="B52" s="604"/>
      <c r="C52" s="193">
        <f>ROUND(C25,4)</f>
        <v>0.1694</v>
      </c>
      <c r="E52" s="208" t="s">
        <v>414</v>
      </c>
      <c r="F52" s="209">
        <f>$C$39</f>
        <v>9.0899999999999995E-2</v>
      </c>
      <c r="G52" s="209">
        <f>$F$52</f>
        <v>9.0899999999999995E-2</v>
      </c>
      <c r="H52" s="210">
        <f>$F$52</f>
        <v>9.0899999999999995E-2</v>
      </c>
    </row>
    <row r="53" spans="1:8" ht="15.75" customHeight="1">
      <c r="A53" s="604" t="s">
        <v>375</v>
      </c>
      <c r="B53" s="604"/>
      <c r="C53" s="193">
        <f>ROUND(C29,4)</f>
        <v>4.0000000000000002E-4</v>
      </c>
      <c r="E53" s="208" t="s">
        <v>415</v>
      </c>
      <c r="F53" s="209">
        <f>$C$22</f>
        <v>3.0300000000000001E-2</v>
      </c>
      <c r="G53" s="209">
        <f>$F$53</f>
        <v>3.0300000000000001E-2</v>
      </c>
      <c r="H53" s="210">
        <f>$F$53</f>
        <v>3.0300000000000001E-2</v>
      </c>
    </row>
    <row r="54" spans="1:8" ht="15.75" customHeight="1">
      <c r="A54" s="604" t="s">
        <v>416</v>
      </c>
      <c r="B54" s="604"/>
      <c r="C54" s="193">
        <f>ROUND(C37,4)</f>
        <v>6.6900000000000001E-2</v>
      </c>
      <c r="E54" s="211" t="s">
        <v>371</v>
      </c>
      <c r="F54" s="212">
        <f>SUM(F51:F53)</f>
        <v>0.21209999999999998</v>
      </c>
      <c r="G54" s="212">
        <f>SUM(G51:G53)</f>
        <v>0.21209999999999998</v>
      </c>
      <c r="H54" s="213">
        <f>SUM(H51:H53)</f>
        <v>0.21209999999999998</v>
      </c>
    </row>
    <row r="55" spans="1:8" ht="15.75" customHeight="1">
      <c r="A55" s="604" t="s">
        <v>417</v>
      </c>
      <c r="B55" s="604"/>
      <c r="C55" s="193">
        <f>ROUND(C46,4)</f>
        <v>0.155</v>
      </c>
      <c r="E55" s="208" t="s">
        <v>418</v>
      </c>
      <c r="F55" s="209">
        <f>F54*F49</f>
        <v>7.2750300000000004E-2</v>
      </c>
      <c r="G55" s="209">
        <f>G54*G49</f>
        <v>8.4415799999999999E-2</v>
      </c>
      <c r="H55" s="210">
        <f>H54*H49</f>
        <v>8.4415800000000013E-2</v>
      </c>
    </row>
    <row r="56" spans="1:8" ht="15.75" customHeight="1">
      <c r="A56" s="604" t="s">
        <v>403</v>
      </c>
      <c r="B56" s="604"/>
      <c r="C56" s="193">
        <f>ROUND(C49,4)</f>
        <v>8.0000000000000004E-4</v>
      </c>
      <c r="E56" s="208" t="s">
        <v>419</v>
      </c>
      <c r="F56" s="209">
        <v>3.4909999999999997E-2</v>
      </c>
      <c r="G56" s="209">
        <v>3.4909999999999997E-2</v>
      </c>
      <c r="H56" s="210">
        <v>3.4909999999999997E-2</v>
      </c>
    </row>
    <row r="57" spans="1:8" ht="15.75" customHeight="1">
      <c r="A57" s="610" t="s">
        <v>420</v>
      </c>
      <c r="B57" s="610"/>
      <c r="C57" s="195">
        <f>SUM(C51:C56)</f>
        <v>0.79049999999999998</v>
      </c>
      <c r="E57" s="214" t="s">
        <v>421</v>
      </c>
      <c r="F57" s="215">
        <v>0.3197603</v>
      </c>
      <c r="G57" s="215">
        <f>SUM(G54:G56)</f>
        <v>0.33142579999999999</v>
      </c>
      <c r="H57" s="216">
        <f>ROUND((SUM(H54:H56)),4)</f>
        <v>0.33139999999999997</v>
      </c>
    </row>
    <row r="58" spans="1:8" ht="24">
      <c r="A58" s="217" t="s">
        <v>52</v>
      </c>
      <c r="B58" s="218"/>
      <c r="C58" s="219"/>
      <c r="E58" s="208" t="s">
        <v>422</v>
      </c>
      <c r="F58" s="209" t="s">
        <v>266</v>
      </c>
      <c r="G58" s="209" t="s">
        <v>266</v>
      </c>
      <c r="H58" s="210" t="s">
        <v>266</v>
      </c>
    </row>
    <row r="59" spans="1:8" ht="54.75" customHeight="1">
      <c r="A59" s="611" t="s">
        <v>423</v>
      </c>
      <c r="B59" s="611"/>
      <c r="C59" s="611"/>
      <c r="E59" s="220" t="s">
        <v>424</v>
      </c>
      <c r="F59" s="221">
        <v>0.3197603</v>
      </c>
      <c r="G59" s="221">
        <v>0.33142579999999999</v>
      </c>
      <c r="H59" s="222">
        <f>H57</f>
        <v>0.33139999999999997</v>
      </c>
    </row>
    <row r="61" spans="1:8" ht="12.75" customHeight="1"/>
  </sheetData>
  <sheetProtection algorithmName="SHA-512" hashValue="ng0Phl3coltq/pNdblc0TAuoC+UJ7pX0BzlJ8DBjNOxZ4auENLSnUyFgCQZ7yrBxvfs8SkFnROg3Gh3AOJP/TQ==" saltValue="0S29pWfxFW/rIBVkp5MTCA==" spinCount="100000" sheet="1" objects="1" scenarios="1"/>
  <mergeCells count="36">
    <mergeCell ref="A54:B54"/>
    <mergeCell ref="A55:B55"/>
    <mergeCell ref="A56:B56"/>
    <mergeCell ref="A57:B57"/>
    <mergeCell ref="A59:C59"/>
    <mergeCell ref="A49:B49"/>
    <mergeCell ref="A50:C50"/>
    <mergeCell ref="A51:B51"/>
    <mergeCell ref="A52:B52"/>
    <mergeCell ref="A53:B53"/>
    <mergeCell ref="E44:H45"/>
    <mergeCell ref="A45:B45"/>
    <mergeCell ref="A46:B46"/>
    <mergeCell ref="E46:E47"/>
    <mergeCell ref="F46:H46"/>
    <mergeCell ref="F47:H47"/>
    <mergeCell ref="A32:B32"/>
    <mergeCell ref="A35:B35"/>
    <mergeCell ref="A37:B37"/>
    <mergeCell ref="B38:C38"/>
    <mergeCell ref="A44:B44"/>
    <mergeCell ref="A25:B25"/>
    <mergeCell ref="B26:C26"/>
    <mergeCell ref="A28:B28"/>
    <mergeCell ref="A29:B29"/>
    <mergeCell ref="B30:C30"/>
    <mergeCell ref="A18:B18"/>
    <mergeCell ref="A19:C19"/>
    <mergeCell ref="A20:C20"/>
    <mergeCell ref="A23:B23"/>
    <mergeCell ref="A24:B24"/>
    <mergeCell ref="A4:C4"/>
    <mergeCell ref="A5:C5"/>
    <mergeCell ref="A6:C6"/>
    <mergeCell ref="A7:C7"/>
    <mergeCell ref="B9:C9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3"/>
  <sheetViews>
    <sheetView showGridLines="0" zoomScaleNormal="100" workbookViewId="0">
      <selection activeCell="H10" sqref="H10"/>
    </sheetView>
  </sheetViews>
  <sheetFormatPr defaultColWidth="9" defaultRowHeight="15"/>
  <cols>
    <col min="1" max="1" width="5" style="57" customWidth="1"/>
    <col min="2" max="2" width="59.140625" style="61" customWidth="1"/>
    <col min="3" max="3" width="10.42578125" style="61" customWidth="1"/>
    <col min="4" max="4" width="18.42578125" style="61" customWidth="1"/>
    <col min="5" max="5" width="11.5703125" style="61" customWidth="1"/>
    <col min="6" max="6" width="9.42578125" style="57" customWidth="1"/>
    <col min="7" max="7" width="11.42578125" style="61" customWidth="1"/>
    <col min="8" max="8" width="23.7109375" customWidth="1"/>
    <col min="9" max="9" width="4.28515625" customWidth="1"/>
    <col min="10" max="10" width="11.42578125" customWidth="1"/>
    <col min="11" max="11" width="12.42578125" style="61" customWidth="1"/>
    <col min="12" max="12" width="10" customWidth="1"/>
    <col min="14" max="14" width="24.140625" hidden="1" customWidth="1"/>
    <col min="15" max="15" width="10.7109375" hidden="1" customWidth="1"/>
    <col min="16" max="16" width="10.28515625" hidden="1" customWidth="1"/>
    <col min="17" max="17" width="10.85546875" hidden="1" customWidth="1"/>
    <col min="18" max="18" width="11.5703125" hidden="1" customWidth="1"/>
    <col min="19" max="19" width="11.28515625" hidden="1" customWidth="1"/>
    <col min="257" max="257" width="8.28515625" customWidth="1"/>
    <col min="258" max="258" width="44.5703125" customWidth="1"/>
    <col min="259" max="259" width="7.42578125" customWidth="1"/>
    <col min="260" max="260" width="13" customWidth="1"/>
    <col min="261" max="261" width="11.7109375" customWidth="1"/>
    <col min="262" max="262" width="10.5703125" customWidth="1"/>
    <col min="263" max="263" width="14.42578125" customWidth="1"/>
    <col min="264" max="264" width="35.42578125" customWidth="1"/>
    <col min="265" max="265" width="14" customWidth="1"/>
    <col min="266" max="266" width="11.7109375" customWidth="1"/>
    <col min="267" max="267" width="13.5703125" customWidth="1"/>
    <col min="513" max="513" width="8.28515625" customWidth="1"/>
    <col min="514" max="514" width="44.5703125" customWidth="1"/>
    <col min="515" max="515" width="7.42578125" customWidth="1"/>
    <col min="516" max="516" width="13" customWidth="1"/>
    <col min="517" max="517" width="11.7109375" customWidth="1"/>
    <col min="518" max="518" width="10.5703125" customWidth="1"/>
    <col min="519" max="519" width="14.42578125" customWidth="1"/>
    <col min="520" max="520" width="35.42578125" customWidth="1"/>
    <col min="521" max="521" width="14" customWidth="1"/>
    <col min="522" max="522" width="11.7109375" customWidth="1"/>
    <col min="523" max="523" width="13.5703125" customWidth="1"/>
    <col min="769" max="769" width="8.28515625" customWidth="1"/>
    <col min="770" max="770" width="44.5703125" customWidth="1"/>
    <col min="771" max="771" width="7.42578125" customWidth="1"/>
    <col min="772" max="772" width="13" customWidth="1"/>
    <col min="773" max="773" width="11.7109375" customWidth="1"/>
    <col min="774" max="774" width="10.5703125" customWidth="1"/>
    <col min="775" max="775" width="14.42578125" customWidth="1"/>
    <col min="776" max="776" width="35.42578125" customWidth="1"/>
    <col min="777" max="777" width="14" customWidth="1"/>
    <col min="778" max="778" width="11.7109375" customWidth="1"/>
    <col min="779" max="779" width="13.5703125" customWidth="1"/>
  </cols>
  <sheetData>
    <row r="1" spans="1:19" s="61" customFormat="1" ht="15" customHeight="1">
      <c r="A1" s="223"/>
      <c r="B1" s="108" t="str">
        <f>INSTRUÇÕES!B1</f>
        <v>Tribunal Regional Federal da 6ª Região</v>
      </c>
      <c r="C1" s="224"/>
      <c r="D1" s="224"/>
      <c r="E1" s="224"/>
      <c r="F1" s="225"/>
      <c r="G1" s="224"/>
      <c r="H1" s="226"/>
    </row>
    <row r="2" spans="1:19" s="61" customFormat="1" ht="17.25" customHeight="1">
      <c r="A2" s="227"/>
      <c r="B2" s="110" t="str">
        <f>INSTRUÇÕES!B2</f>
        <v>Seção Judiciária de Minas Gerais</v>
      </c>
      <c r="F2" s="57"/>
      <c r="H2" s="228"/>
    </row>
    <row r="3" spans="1:19" s="61" customFormat="1" ht="16.5" customHeight="1">
      <c r="A3" s="227"/>
      <c r="B3" s="110" t="str">
        <f>INSTRUÇÕES!B3</f>
        <v>Subseção Judiciária de Pouso Alegre</v>
      </c>
      <c r="F3" s="57"/>
      <c r="H3" s="228"/>
    </row>
    <row r="4" spans="1:19" s="61" customFormat="1" ht="27.75" customHeight="1">
      <c r="A4" s="612" t="s">
        <v>425</v>
      </c>
      <c r="B4" s="612"/>
      <c r="C4" s="612"/>
      <c r="D4" s="612"/>
      <c r="E4" s="612"/>
      <c r="F4" s="612"/>
      <c r="G4" s="612"/>
      <c r="H4" s="612"/>
      <c r="I4" s="229"/>
      <c r="J4" s="229"/>
    </row>
    <row r="5" spans="1:19" s="1" customFormat="1" ht="24" customHeight="1">
      <c r="A5" s="613" t="s">
        <v>426</v>
      </c>
      <c r="B5" s="613"/>
      <c r="C5" s="613"/>
      <c r="D5" s="613"/>
      <c r="E5" s="613"/>
      <c r="F5" s="613"/>
      <c r="G5" s="613"/>
      <c r="H5" s="613"/>
      <c r="K5" s="230"/>
    </row>
    <row r="6" spans="1:19" s="61" customFormat="1" ht="12.75" customHeight="1">
      <c r="A6" s="614" t="s">
        <v>61</v>
      </c>
      <c r="B6" s="615" t="s">
        <v>427</v>
      </c>
      <c r="C6" s="615"/>
      <c r="D6" s="615"/>
      <c r="E6" s="616" t="s">
        <v>63</v>
      </c>
      <c r="F6" s="616"/>
      <c r="G6" s="616"/>
      <c r="H6" s="617" t="s">
        <v>428</v>
      </c>
      <c r="I6" s="60"/>
      <c r="J6" s="60"/>
    </row>
    <row r="7" spans="1:19" s="61" customFormat="1" ht="12.75" customHeight="1">
      <c r="A7" s="614"/>
      <c r="B7" s="615"/>
      <c r="C7" s="615"/>
      <c r="D7" s="615"/>
      <c r="E7" s="616"/>
      <c r="F7" s="616"/>
      <c r="G7" s="616"/>
      <c r="H7" s="617"/>
      <c r="I7" s="60"/>
      <c r="J7" s="619" t="s">
        <v>429</v>
      </c>
      <c r="K7" s="619"/>
      <c r="L7" s="619"/>
      <c r="N7" s="561" t="s">
        <v>430</v>
      </c>
      <c r="O7" s="561"/>
      <c r="P7" s="561"/>
      <c r="Q7" s="561"/>
      <c r="R7" s="561"/>
      <c r="S7" s="561"/>
    </row>
    <row r="8" spans="1:19" s="61" customFormat="1" ht="51">
      <c r="A8" s="614"/>
      <c r="B8" s="231" t="s">
        <v>66</v>
      </c>
      <c r="C8" s="233" t="s">
        <v>67</v>
      </c>
      <c r="D8" s="233" t="s">
        <v>68</v>
      </c>
      <c r="E8" s="233" t="s">
        <v>71</v>
      </c>
      <c r="F8" s="233" t="s">
        <v>431</v>
      </c>
      <c r="G8" s="233" t="s">
        <v>70</v>
      </c>
      <c r="H8" s="617"/>
      <c r="I8" s="60"/>
      <c r="J8" s="234" t="s">
        <v>432</v>
      </c>
      <c r="K8" s="235" t="s">
        <v>73</v>
      </c>
      <c r="L8" s="234" t="s">
        <v>433</v>
      </c>
      <c r="N8" s="236" t="s">
        <v>434</v>
      </c>
      <c r="O8" s="56" t="s">
        <v>333</v>
      </c>
      <c r="P8" s="56" t="s">
        <v>334</v>
      </c>
      <c r="Q8" s="56" t="s">
        <v>335</v>
      </c>
      <c r="R8" s="56" t="s">
        <v>336</v>
      </c>
      <c r="S8" s="56" t="s">
        <v>337</v>
      </c>
    </row>
    <row r="9" spans="1:19" s="61" customFormat="1">
      <c r="A9" s="67">
        <v>1</v>
      </c>
      <c r="B9" s="68" t="s">
        <v>75</v>
      </c>
      <c r="C9" s="69" t="s">
        <v>76</v>
      </c>
      <c r="D9" s="69"/>
      <c r="E9" s="96">
        <f>'Ocorrências Mensais - FAT'!G27</f>
        <v>0.33333333333333331</v>
      </c>
      <c r="F9" s="237">
        <v>12.2</v>
      </c>
      <c r="G9" s="238">
        <f t="shared" ref="G9:G50" si="0">E9*F9</f>
        <v>4.0666666666666664</v>
      </c>
      <c r="H9" s="239"/>
      <c r="I9" s="60"/>
      <c r="J9" s="69">
        <v>1</v>
      </c>
      <c r="K9" s="69" t="s">
        <v>435</v>
      </c>
      <c r="L9" s="37">
        <f t="shared" ref="L9:L50" si="1">IF(K9="Semestral",6,IF(K9="Mensal",1,IF(K9="Anual",12,IF(K9="Bienal",24,IF(K9="Trimestral",3,IF(K9="Bimestral",2,IF(K9="Quadrimestral",4)))))))</f>
        <v>3</v>
      </c>
      <c r="N9" s="237">
        <v>12.2</v>
      </c>
      <c r="O9" s="37">
        <f>ROUND(IF(Dados!$J$58="SIM",N9*Dados!$N$58,N9),2)</f>
        <v>12.2</v>
      </c>
      <c r="P9" s="37">
        <f>ROUND(IF(Dados!$J$59="SIM",O9*Dados!$N$59,O9),2)</f>
        <v>12.2</v>
      </c>
      <c r="Q9" s="37">
        <f>ROUND(IF(Dados!$J$60="SIM",P9*Dados!$N$60,P9),2)</f>
        <v>12.2</v>
      </c>
      <c r="R9" s="37">
        <f>ROUND(IF(Dados!$J$61="SIM",Q9*Dados!$N$61,Q9),2)</f>
        <v>12.2</v>
      </c>
      <c r="S9" s="37">
        <f>ROUND(IF(Dados!$J$62="SIM",R9*Dados!$N$62,R9),2)</f>
        <v>12.2</v>
      </c>
    </row>
    <row r="10" spans="1:19" s="61" customFormat="1">
      <c r="A10" s="67">
        <v>2</v>
      </c>
      <c r="B10" s="68" t="s">
        <v>77</v>
      </c>
      <c r="C10" s="69" t="s">
        <v>76</v>
      </c>
      <c r="D10" s="240"/>
      <c r="E10" s="96">
        <f>'Ocorrências Mensais - FAT'!G28</f>
        <v>10</v>
      </c>
      <c r="F10" s="237">
        <v>10.07</v>
      </c>
      <c r="G10" s="238">
        <f t="shared" si="0"/>
        <v>100.7</v>
      </c>
      <c r="H10" s="239"/>
      <c r="I10" s="60"/>
      <c r="J10" s="69">
        <v>10</v>
      </c>
      <c r="K10" s="69" t="s">
        <v>436</v>
      </c>
      <c r="L10" s="37">
        <f t="shared" si="1"/>
        <v>1</v>
      </c>
      <c r="N10" s="237">
        <v>10.07</v>
      </c>
      <c r="O10" s="37">
        <f>ROUND(IF(Dados!$J$58="SIM",N10*Dados!$N$58,N10),2)</f>
        <v>10.07</v>
      </c>
      <c r="P10" s="37">
        <f>ROUND(IF(Dados!$J$59="SIM",O10*Dados!$N$59,O10),2)</f>
        <v>10.07</v>
      </c>
      <c r="Q10" s="37">
        <f>ROUND(IF(Dados!$J$60="SIM",P10*Dados!$N$60,P10),2)</f>
        <v>10.07</v>
      </c>
      <c r="R10" s="37">
        <f>ROUND(IF(Dados!$J$61="SIM",Q10*Dados!$N$61,Q10),2)</f>
        <v>10.07</v>
      </c>
      <c r="S10" s="37">
        <f>ROUND(IF(Dados!$J$62="SIM",R10*Dados!$N$62,R10),2)</f>
        <v>10.07</v>
      </c>
    </row>
    <row r="11" spans="1:19" s="61" customFormat="1">
      <c r="A11" s="67">
        <v>3</v>
      </c>
      <c r="B11" s="68" t="s">
        <v>78</v>
      </c>
      <c r="C11" s="69" t="s">
        <v>76</v>
      </c>
      <c r="D11" s="69"/>
      <c r="E11" s="96">
        <f>'Ocorrências Mensais - FAT'!G29</f>
        <v>3</v>
      </c>
      <c r="F11" s="237">
        <v>12</v>
      </c>
      <c r="G11" s="238">
        <f t="shared" si="0"/>
        <v>36</v>
      </c>
      <c r="H11" s="239"/>
      <c r="I11" s="60"/>
      <c r="J11" s="69">
        <v>3</v>
      </c>
      <c r="K11" s="69" t="s">
        <v>436</v>
      </c>
      <c r="L11" s="37">
        <f t="shared" si="1"/>
        <v>1</v>
      </c>
      <c r="N11" s="237">
        <v>12</v>
      </c>
      <c r="O11" s="37">
        <f>ROUND(IF(Dados!$J$58="SIM",N11*Dados!$N$58,N11),2)</f>
        <v>12</v>
      </c>
      <c r="P11" s="37">
        <f>ROUND(IF(Dados!$J$59="SIM",O11*Dados!$N$59,O11),2)</f>
        <v>12</v>
      </c>
      <c r="Q11" s="37">
        <f>ROUND(IF(Dados!$J$60="SIM",P11*Dados!$N$60,P11),2)</f>
        <v>12</v>
      </c>
      <c r="R11" s="37">
        <f>ROUND(IF(Dados!$J$61="SIM",Q11*Dados!$N$61,Q11),2)</f>
        <v>12</v>
      </c>
      <c r="S11" s="37">
        <f>ROUND(IF(Dados!$J$62="SIM",R11*Dados!$N$62,R11),2)</f>
        <v>12</v>
      </c>
    </row>
    <row r="12" spans="1:19" s="61" customFormat="1">
      <c r="A12" s="67">
        <v>4</v>
      </c>
      <c r="B12" s="68" t="s">
        <v>79</v>
      </c>
      <c r="C12" s="69" t="s">
        <v>76</v>
      </c>
      <c r="D12" s="69"/>
      <c r="E12" s="96">
        <f>'Ocorrências Mensais - FAT'!G30</f>
        <v>8.3333333333333329E-2</v>
      </c>
      <c r="F12" s="237">
        <v>14.96</v>
      </c>
      <c r="G12" s="238">
        <f t="shared" si="0"/>
        <v>1.2466666666666666</v>
      </c>
      <c r="H12" s="239"/>
      <c r="I12" s="60"/>
      <c r="J12" s="69">
        <v>1</v>
      </c>
      <c r="K12" s="69" t="s">
        <v>437</v>
      </c>
      <c r="L12" s="37">
        <f t="shared" si="1"/>
        <v>12</v>
      </c>
      <c r="N12" s="237">
        <v>14.96</v>
      </c>
      <c r="O12" s="37">
        <f>ROUND(IF(Dados!$J$58="SIM",N12*Dados!$N$58,N12),2)</f>
        <v>14.96</v>
      </c>
      <c r="P12" s="37">
        <f>ROUND(IF(Dados!$J$59="SIM",O12*Dados!$N$59,O12),2)</f>
        <v>14.96</v>
      </c>
      <c r="Q12" s="37">
        <f>ROUND(IF(Dados!$J$60="SIM",P12*Dados!$N$60,P12),2)</f>
        <v>14.96</v>
      </c>
      <c r="R12" s="37">
        <f>ROUND(IF(Dados!$J$61="SIM",Q12*Dados!$N$61,Q12),2)</f>
        <v>14.96</v>
      </c>
      <c r="S12" s="37">
        <f>ROUND(IF(Dados!$J$62="SIM",R12*Dados!$N$62,R12),2)</f>
        <v>14.96</v>
      </c>
    </row>
    <row r="13" spans="1:19" s="61" customFormat="1">
      <c r="A13" s="67">
        <v>5</v>
      </c>
      <c r="B13" s="68" t="s">
        <v>80</v>
      </c>
      <c r="C13" s="69" t="s">
        <v>76</v>
      </c>
      <c r="D13" s="69"/>
      <c r="E13" s="96">
        <f>'Ocorrências Mensais - FAT'!G31</f>
        <v>8.3333333333333329E-2</v>
      </c>
      <c r="F13" s="237">
        <v>14.66</v>
      </c>
      <c r="G13" s="238">
        <f t="shared" si="0"/>
        <v>1.2216666666666667</v>
      </c>
      <c r="H13" s="239"/>
      <c r="I13" s="60"/>
      <c r="J13" s="69">
        <v>1</v>
      </c>
      <c r="K13" s="69" t="s">
        <v>437</v>
      </c>
      <c r="L13" s="37">
        <f t="shared" si="1"/>
        <v>12</v>
      </c>
      <c r="N13" s="237">
        <v>14.66</v>
      </c>
      <c r="O13" s="37">
        <f>ROUND(IF(Dados!$J$58="SIM",N13*Dados!$N$58,N13),2)</f>
        <v>14.66</v>
      </c>
      <c r="P13" s="37">
        <f>ROUND(IF(Dados!$J$59="SIM",O13*Dados!$N$59,O13),2)</f>
        <v>14.66</v>
      </c>
      <c r="Q13" s="37">
        <f>ROUND(IF(Dados!$J$60="SIM",P13*Dados!$N$60,P13),2)</f>
        <v>14.66</v>
      </c>
      <c r="R13" s="37">
        <f>ROUND(IF(Dados!$J$61="SIM",Q13*Dados!$N$61,Q13),2)</f>
        <v>14.66</v>
      </c>
      <c r="S13" s="37">
        <f>ROUND(IF(Dados!$J$62="SIM",R13*Dados!$N$62,R13),2)</f>
        <v>14.66</v>
      </c>
    </row>
    <row r="14" spans="1:19" s="61" customFormat="1">
      <c r="A14" s="67">
        <v>6</v>
      </c>
      <c r="B14" s="68" t="s">
        <v>81</v>
      </c>
      <c r="C14" s="69" t="s">
        <v>76</v>
      </c>
      <c r="D14" s="241"/>
      <c r="E14" s="96">
        <f>'Ocorrências Mensais - FAT'!G32</f>
        <v>1</v>
      </c>
      <c r="F14" s="237">
        <v>25.57</v>
      </c>
      <c r="G14" s="238">
        <f t="shared" si="0"/>
        <v>25.57</v>
      </c>
      <c r="H14" s="239"/>
      <c r="I14" s="60"/>
      <c r="J14" s="69">
        <v>1</v>
      </c>
      <c r="K14" s="69" t="s">
        <v>436</v>
      </c>
      <c r="L14" s="37">
        <f t="shared" si="1"/>
        <v>1</v>
      </c>
      <c r="N14" s="237">
        <v>25.57</v>
      </c>
      <c r="O14" s="37">
        <f>ROUND(IF(Dados!$J$58="SIM",N14*Dados!$N$58,N14),2)</f>
        <v>25.57</v>
      </c>
      <c r="P14" s="37">
        <f>ROUND(IF(Dados!$J$59="SIM",O14*Dados!$N$59,O14),2)</f>
        <v>25.57</v>
      </c>
      <c r="Q14" s="37">
        <f>ROUND(IF(Dados!$J$60="SIM",P14*Dados!$N$60,P14),2)</f>
        <v>25.57</v>
      </c>
      <c r="R14" s="37">
        <f>ROUND(IF(Dados!$J$61="SIM",Q14*Dados!$N$61,Q14),2)</f>
        <v>25.57</v>
      </c>
      <c r="S14" s="37">
        <f>ROUND(IF(Dados!$J$62="SIM",R14*Dados!$N$62,R14),2)</f>
        <v>25.57</v>
      </c>
    </row>
    <row r="15" spans="1:19" s="61" customFormat="1">
      <c r="A15" s="67">
        <v>7</v>
      </c>
      <c r="B15" s="68" t="s">
        <v>82</v>
      </c>
      <c r="C15" s="69" t="s">
        <v>76</v>
      </c>
      <c r="D15" s="69"/>
      <c r="E15" s="96">
        <f>'Ocorrências Mensais - FAT'!G33</f>
        <v>2</v>
      </c>
      <c r="F15" s="237">
        <v>9</v>
      </c>
      <c r="G15" s="238">
        <f t="shared" si="0"/>
        <v>18</v>
      </c>
      <c r="H15" s="242"/>
      <c r="I15" s="60"/>
      <c r="J15" s="69">
        <v>2</v>
      </c>
      <c r="K15" s="69" t="s">
        <v>436</v>
      </c>
      <c r="L15" s="37">
        <f t="shared" si="1"/>
        <v>1</v>
      </c>
      <c r="N15" s="237">
        <v>9</v>
      </c>
      <c r="O15" s="37">
        <f>ROUND(IF(Dados!$J$58="SIM",N15*Dados!$N$58,N15),2)</f>
        <v>9</v>
      </c>
      <c r="P15" s="37">
        <f>ROUND(IF(Dados!$J$59="SIM",O15*Dados!$N$59,O15),2)</f>
        <v>9</v>
      </c>
      <c r="Q15" s="37">
        <f>ROUND(IF(Dados!$J$60="SIM",P15*Dados!$N$60,P15),2)</f>
        <v>9</v>
      </c>
      <c r="R15" s="37">
        <f>ROUND(IF(Dados!$J$61="SIM",Q15*Dados!$N$61,Q15),2)</f>
        <v>9</v>
      </c>
      <c r="S15" s="37">
        <f>ROUND(IF(Dados!$J$62="SIM",R15*Dados!$N$62,R15),2)</f>
        <v>9</v>
      </c>
    </row>
    <row r="16" spans="1:19" s="61" customFormat="1">
      <c r="A16" s="79">
        <v>8</v>
      </c>
      <c r="B16" s="68" t="s">
        <v>83</v>
      </c>
      <c r="C16" s="69" t="s">
        <v>76</v>
      </c>
      <c r="D16" s="69"/>
      <c r="E16" s="96">
        <f>'Ocorrências Mensais - FAT'!G34</f>
        <v>15</v>
      </c>
      <c r="F16" s="237">
        <v>7.89</v>
      </c>
      <c r="G16" s="238">
        <f t="shared" si="0"/>
        <v>118.35</v>
      </c>
      <c r="H16" s="242"/>
      <c r="I16" s="60"/>
      <c r="J16" s="69">
        <v>15</v>
      </c>
      <c r="K16" s="69" t="s">
        <v>436</v>
      </c>
      <c r="L16" s="37">
        <f t="shared" si="1"/>
        <v>1</v>
      </c>
      <c r="N16" s="237">
        <v>7.89</v>
      </c>
      <c r="O16" s="37">
        <f>ROUND(IF(Dados!$J$58="SIM",N16*Dados!$N$58,N16),2)</f>
        <v>7.89</v>
      </c>
      <c r="P16" s="37">
        <f>ROUND(IF(Dados!$J$59="SIM",O16*Dados!$N$59,O16),2)</f>
        <v>7.89</v>
      </c>
      <c r="Q16" s="37">
        <f>ROUND(IF(Dados!$J$60="SIM",P16*Dados!$N$60,P16),2)</f>
        <v>7.89</v>
      </c>
      <c r="R16" s="37">
        <f>ROUND(IF(Dados!$J$61="SIM",Q16*Dados!$N$61,Q16),2)</f>
        <v>7.89</v>
      </c>
      <c r="S16" s="37">
        <f>ROUND(IF(Dados!$J$62="SIM",R16*Dados!$N$62,R16),2)</f>
        <v>7.89</v>
      </c>
    </row>
    <row r="17" spans="1:19" s="61" customFormat="1">
      <c r="A17" s="67">
        <v>9</v>
      </c>
      <c r="B17" s="68" t="s">
        <v>84</v>
      </c>
      <c r="C17" s="69" t="s">
        <v>67</v>
      </c>
      <c r="D17" s="69"/>
      <c r="E17" s="96">
        <f>'Ocorrências Mensais - FAT'!G35</f>
        <v>2</v>
      </c>
      <c r="F17" s="237">
        <v>10.15</v>
      </c>
      <c r="G17" s="238">
        <f t="shared" si="0"/>
        <v>20.3</v>
      </c>
      <c r="H17" s="239"/>
      <c r="I17" s="60"/>
      <c r="J17" s="69">
        <v>2</v>
      </c>
      <c r="K17" s="69" t="s">
        <v>436</v>
      </c>
      <c r="L17" s="37">
        <f t="shared" si="1"/>
        <v>1</v>
      </c>
      <c r="N17" s="237">
        <v>10.15</v>
      </c>
      <c r="O17" s="37">
        <f>ROUND(IF(Dados!$J$58="SIM",N17*Dados!$N$58,N17),2)</f>
        <v>10.15</v>
      </c>
      <c r="P17" s="37">
        <f>ROUND(IF(Dados!$J$59="SIM",O17*Dados!$N$59,O17),2)</f>
        <v>10.15</v>
      </c>
      <c r="Q17" s="37">
        <f>ROUND(IF(Dados!$J$60="SIM",P17*Dados!$N$60,P17),2)</f>
        <v>10.15</v>
      </c>
      <c r="R17" s="37">
        <f>ROUND(IF(Dados!$J$61="SIM",Q17*Dados!$N$61,Q17),2)</f>
        <v>10.15</v>
      </c>
      <c r="S17" s="37">
        <f>ROUND(IF(Dados!$J$62="SIM",R17*Dados!$N$62,R17),2)</f>
        <v>10.15</v>
      </c>
    </row>
    <row r="18" spans="1:19" s="61" customFormat="1">
      <c r="A18" s="67">
        <v>10</v>
      </c>
      <c r="B18" s="243" t="s">
        <v>86</v>
      </c>
      <c r="C18" s="69" t="s">
        <v>76</v>
      </c>
      <c r="D18" s="69"/>
      <c r="E18" s="96">
        <f>'Ocorrências Mensais - FAT'!G36</f>
        <v>8</v>
      </c>
      <c r="F18" s="237">
        <v>1.72</v>
      </c>
      <c r="G18" s="238">
        <f t="shared" si="0"/>
        <v>13.76</v>
      </c>
      <c r="H18" s="239"/>
      <c r="I18" s="60"/>
      <c r="J18" s="69">
        <v>8</v>
      </c>
      <c r="K18" s="69" t="s">
        <v>436</v>
      </c>
      <c r="L18" s="37">
        <f t="shared" si="1"/>
        <v>1</v>
      </c>
      <c r="N18" s="237">
        <v>1.72</v>
      </c>
      <c r="O18" s="37">
        <f>ROUND(IF(Dados!$J$58="SIM",N18*Dados!$N$58,N18),2)</f>
        <v>1.72</v>
      </c>
      <c r="P18" s="37">
        <f>ROUND(IF(Dados!$J$59="SIM",O18*Dados!$N$59,O18),2)</f>
        <v>1.72</v>
      </c>
      <c r="Q18" s="37">
        <f>ROUND(IF(Dados!$J$60="SIM",P18*Dados!$N$60,P18),2)</f>
        <v>1.72</v>
      </c>
      <c r="R18" s="37">
        <f>ROUND(IF(Dados!$J$61="SIM",Q18*Dados!$N$61,Q18),2)</f>
        <v>1.72</v>
      </c>
      <c r="S18" s="37">
        <f>ROUND(IF(Dados!$J$62="SIM",R18*Dados!$N$62,R18),2)</f>
        <v>1.72</v>
      </c>
    </row>
    <row r="19" spans="1:19" s="61" customFormat="1">
      <c r="A19" s="67">
        <v>11</v>
      </c>
      <c r="B19" s="243" t="s">
        <v>87</v>
      </c>
      <c r="C19" s="69" t="s">
        <v>76</v>
      </c>
      <c r="D19" s="69"/>
      <c r="E19" s="96">
        <f>'Ocorrências Mensais - FAT'!G37</f>
        <v>8.3333333333333329E-2</v>
      </c>
      <c r="F19" s="237">
        <v>2.85</v>
      </c>
      <c r="G19" s="238">
        <f t="shared" si="0"/>
        <v>0.23749999999999999</v>
      </c>
      <c r="H19" s="239"/>
      <c r="I19" s="60"/>
      <c r="J19" s="69">
        <v>1</v>
      </c>
      <c r="K19" s="69" t="s">
        <v>437</v>
      </c>
      <c r="L19" s="37">
        <f t="shared" si="1"/>
        <v>12</v>
      </c>
      <c r="N19" s="237">
        <v>2.85</v>
      </c>
      <c r="O19" s="37">
        <f>ROUND(IF(Dados!$J$58="SIM",N19*Dados!$N$58,N19),2)</f>
        <v>2.85</v>
      </c>
      <c r="P19" s="37">
        <f>ROUND(IF(Dados!$J$59="SIM",O19*Dados!$N$59,O19),2)</f>
        <v>2.85</v>
      </c>
      <c r="Q19" s="37">
        <f>ROUND(IF(Dados!$J$60="SIM",P19*Dados!$N$60,P19),2)</f>
        <v>2.85</v>
      </c>
      <c r="R19" s="37">
        <f>ROUND(IF(Dados!$J$61="SIM",Q19*Dados!$N$61,Q19),2)</f>
        <v>2.85</v>
      </c>
      <c r="S19" s="37">
        <f>ROUND(IF(Dados!$J$62="SIM",R19*Dados!$N$62,R19),2)</f>
        <v>2.85</v>
      </c>
    </row>
    <row r="20" spans="1:19" s="61" customFormat="1">
      <c r="A20" s="67">
        <v>12</v>
      </c>
      <c r="B20" s="243" t="s">
        <v>438</v>
      </c>
      <c r="C20" s="69" t="s">
        <v>76</v>
      </c>
      <c r="D20" s="69"/>
      <c r="E20" s="96">
        <f>'Ocorrências Mensais - FAT'!G38</f>
        <v>10</v>
      </c>
      <c r="F20" s="237">
        <v>1.1200000000000001</v>
      </c>
      <c r="G20" s="238">
        <f t="shared" si="0"/>
        <v>11.200000000000001</v>
      </c>
      <c r="H20" s="239"/>
      <c r="I20" s="60"/>
      <c r="J20" s="69">
        <v>10</v>
      </c>
      <c r="K20" s="69" t="s">
        <v>436</v>
      </c>
      <c r="L20" s="37">
        <f t="shared" si="1"/>
        <v>1</v>
      </c>
      <c r="N20" s="237">
        <v>1.1200000000000001</v>
      </c>
      <c r="O20" s="37">
        <f>ROUND(IF(Dados!$J$58="SIM",N20*Dados!$N$58,N20),2)</f>
        <v>1.1200000000000001</v>
      </c>
      <c r="P20" s="37">
        <f>ROUND(IF(Dados!$J$59="SIM",O20*Dados!$N$59,O20),2)</f>
        <v>1.1200000000000001</v>
      </c>
      <c r="Q20" s="37">
        <f>ROUND(IF(Dados!$J$60="SIM",P20*Dados!$N$60,P20),2)</f>
        <v>1.1200000000000001</v>
      </c>
      <c r="R20" s="37">
        <f>ROUND(IF(Dados!$J$61="SIM",Q20*Dados!$N$61,Q20),2)</f>
        <v>1.1200000000000001</v>
      </c>
      <c r="S20" s="37">
        <f>ROUND(IF(Dados!$J$62="SIM",R20*Dados!$N$62,R20),2)</f>
        <v>1.1200000000000001</v>
      </c>
    </row>
    <row r="21" spans="1:19" s="61" customFormat="1">
      <c r="A21" s="67">
        <v>13</v>
      </c>
      <c r="B21" s="243" t="s">
        <v>89</v>
      </c>
      <c r="C21" s="69" t="s">
        <v>76</v>
      </c>
      <c r="D21" s="69"/>
      <c r="E21" s="96">
        <f>'Ocorrências Mensais - FAT'!G39</f>
        <v>8.3333333333333329E-2</v>
      </c>
      <c r="F21" s="237">
        <v>8.5399999999999991</v>
      </c>
      <c r="G21" s="238">
        <f t="shared" si="0"/>
        <v>0.71166666666666656</v>
      </c>
      <c r="H21" s="239"/>
      <c r="I21" s="60"/>
      <c r="J21" s="69">
        <v>1</v>
      </c>
      <c r="K21" s="69" t="s">
        <v>437</v>
      </c>
      <c r="L21" s="37">
        <f t="shared" si="1"/>
        <v>12</v>
      </c>
      <c r="N21" s="237">
        <v>8.5399999999999991</v>
      </c>
      <c r="O21" s="37">
        <f>ROUND(IF(Dados!$J$58="SIM",N21*Dados!$N$58,N21),2)</f>
        <v>8.5399999999999991</v>
      </c>
      <c r="P21" s="37">
        <f>ROUND(IF(Dados!$J$59="SIM",O21*Dados!$N$59,O21),2)</f>
        <v>8.5399999999999991</v>
      </c>
      <c r="Q21" s="37">
        <f>ROUND(IF(Dados!$J$60="SIM",P21*Dados!$N$60,P21),2)</f>
        <v>8.5399999999999991</v>
      </c>
      <c r="R21" s="37">
        <f>ROUND(IF(Dados!$J$61="SIM",Q21*Dados!$N$61,Q21),2)</f>
        <v>8.5399999999999991</v>
      </c>
      <c r="S21" s="37">
        <f>ROUND(IF(Dados!$J$62="SIM",R21*Dados!$N$62,R21),2)</f>
        <v>8.5399999999999991</v>
      </c>
    </row>
    <row r="22" spans="1:19" s="61" customFormat="1">
      <c r="A22" s="67">
        <v>14</v>
      </c>
      <c r="B22" s="244" t="s">
        <v>439</v>
      </c>
      <c r="C22" s="69" t="s">
        <v>76</v>
      </c>
      <c r="D22" s="69"/>
      <c r="E22" s="96">
        <f>'Ocorrências Mensais - FAT'!G40</f>
        <v>4</v>
      </c>
      <c r="F22" s="237">
        <v>2.2000000000000002</v>
      </c>
      <c r="G22" s="238">
        <f t="shared" si="0"/>
        <v>8.8000000000000007</v>
      </c>
      <c r="H22" s="242"/>
      <c r="I22" s="60"/>
      <c r="J22" s="69">
        <v>4</v>
      </c>
      <c r="K22" s="69" t="s">
        <v>436</v>
      </c>
      <c r="L22" s="37">
        <f t="shared" si="1"/>
        <v>1</v>
      </c>
      <c r="N22" s="237">
        <v>2.2000000000000002</v>
      </c>
      <c r="O22" s="37">
        <f>ROUND(IF(Dados!$J$58="SIM",N22*Dados!$N$58,N22),2)</f>
        <v>2.2000000000000002</v>
      </c>
      <c r="P22" s="37">
        <f>ROUND(IF(Dados!$J$59="SIM",O22*Dados!$N$59,O22),2)</f>
        <v>2.2000000000000002</v>
      </c>
      <c r="Q22" s="37">
        <f>ROUND(IF(Dados!$J$60="SIM",P22*Dados!$N$60,P22),2)</f>
        <v>2.2000000000000002</v>
      </c>
      <c r="R22" s="37">
        <f>ROUND(IF(Dados!$J$61="SIM",Q22*Dados!$N$61,Q22),2)</f>
        <v>2.2000000000000002</v>
      </c>
      <c r="S22" s="37">
        <f>ROUND(IF(Dados!$J$62="SIM",R22*Dados!$N$62,R22),2)</f>
        <v>2.2000000000000002</v>
      </c>
    </row>
    <row r="23" spans="1:19" s="61" customFormat="1">
      <c r="A23" s="67">
        <v>15</v>
      </c>
      <c r="B23" s="245" t="s">
        <v>440</v>
      </c>
      <c r="C23" s="69" t="s">
        <v>76</v>
      </c>
      <c r="D23" s="92"/>
      <c r="E23" s="96">
        <f>'Ocorrências Mensais - FAT'!G41</f>
        <v>2</v>
      </c>
      <c r="F23" s="237">
        <v>3.22</v>
      </c>
      <c r="G23" s="238">
        <f t="shared" si="0"/>
        <v>6.44</v>
      </c>
      <c r="H23" s="242"/>
      <c r="I23" s="60"/>
      <c r="J23" s="92">
        <v>2</v>
      </c>
      <c r="K23" s="92" t="s">
        <v>436</v>
      </c>
      <c r="L23" s="37">
        <f t="shared" si="1"/>
        <v>1</v>
      </c>
      <c r="N23" s="237">
        <v>3.22</v>
      </c>
      <c r="O23" s="37">
        <f>ROUND(IF(Dados!$J$58="SIM",N23*Dados!$N$58,N23),2)</f>
        <v>3.22</v>
      </c>
      <c r="P23" s="37">
        <f>ROUND(IF(Dados!$J$59="SIM",O23*Dados!$N$59,O23),2)</f>
        <v>3.22</v>
      </c>
      <c r="Q23" s="37">
        <f>ROUND(IF(Dados!$J$60="SIM",P23*Dados!$N$60,P23),2)</f>
        <v>3.22</v>
      </c>
      <c r="R23" s="37">
        <f>ROUND(IF(Dados!$J$61="SIM",Q23*Dados!$N$61,Q23),2)</f>
        <v>3.22</v>
      </c>
      <c r="S23" s="37">
        <f>ROUND(IF(Dados!$J$62="SIM",R23*Dados!$N$62,R23),2)</f>
        <v>3.22</v>
      </c>
    </row>
    <row r="24" spans="1:19" s="61" customFormat="1">
      <c r="A24" s="67">
        <v>16</v>
      </c>
      <c r="B24" s="243" t="s">
        <v>92</v>
      </c>
      <c r="C24" s="69" t="s">
        <v>76</v>
      </c>
      <c r="D24" s="246"/>
      <c r="E24" s="96">
        <f>'Ocorrências Mensais - FAT'!G42</f>
        <v>4</v>
      </c>
      <c r="F24" s="237">
        <v>5.5</v>
      </c>
      <c r="G24" s="238">
        <f t="shared" si="0"/>
        <v>22</v>
      </c>
      <c r="H24" s="242"/>
      <c r="I24" s="60"/>
      <c r="J24" s="69">
        <v>4</v>
      </c>
      <c r="K24" s="69" t="s">
        <v>436</v>
      </c>
      <c r="L24" s="37">
        <f t="shared" si="1"/>
        <v>1</v>
      </c>
      <c r="N24" s="237">
        <v>5.5</v>
      </c>
      <c r="O24" s="37">
        <f>ROUND(IF(Dados!$J$58="SIM",N24*Dados!$N$58,N24),2)</f>
        <v>5.5</v>
      </c>
      <c r="P24" s="37">
        <f>ROUND(IF(Dados!$J$59="SIM",O24*Dados!$N$59,O24),2)</f>
        <v>5.5</v>
      </c>
      <c r="Q24" s="37">
        <f>ROUND(IF(Dados!$J$60="SIM",P24*Dados!$N$60,P24),2)</f>
        <v>5.5</v>
      </c>
      <c r="R24" s="37">
        <f>ROUND(IF(Dados!$J$61="SIM",Q24*Dados!$N$61,Q24),2)</f>
        <v>5.5</v>
      </c>
      <c r="S24" s="37">
        <f>ROUND(IF(Dados!$J$62="SIM",R24*Dados!$N$62,R24),2)</f>
        <v>5.5</v>
      </c>
    </row>
    <row r="25" spans="1:19" s="61" customFormat="1">
      <c r="A25" s="67">
        <v>17</v>
      </c>
      <c r="B25" s="243" t="s">
        <v>93</v>
      </c>
      <c r="C25" s="69" t="s">
        <v>76</v>
      </c>
      <c r="D25" s="69"/>
      <c r="E25" s="96">
        <f>'Ocorrências Mensais - FAT'!G43</f>
        <v>1</v>
      </c>
      <c r="F25" s="237">
        <v>2.59</v>
      </c>
      <c r="G25" s="238">
        <f t="shared" si="0"/>
        <v>2.59</v>
      </c>
      <c r="H25" s="239"/>
      <c r="I25" s="60"/>
      <c r="J25" s="69">
        <v>1</v>
      </c>
      <c r="K25" s="69" t="s">
        <v>436</v>
      </c>
      <c r="L25" s="37">
        <f t="shared" si="1"/>
        <v>1</v>
      </c>
      <c r="N25" s="237">
        <v>2.59</v>
      </c>
      <c r="O25" s="37">
        <f>ROUND(IF(Dados!$J$58="SIM",N25*Dados!$N$58,N25),2)</f>
        <v>2.59</v>
      </c>
      <c r="P25" s="37">
        <f>ROUND(IF(Dados!$J$59="SIM",O25*Dados!$N$59,O25),2)</f>
        <v>2.59</v>
      </c>
      <c r="Q25" s="37">
        <f>ROUND(IF(Dados!$J$60="SIM",P25*Dados!$N$60,P25),2)</f>
        <v>2.59</v>
      </c>
      <c r="R25" s="37">
        <f>ROUND(IF(Dados!$J$61="SIM",Q25*Dados!$N$61,Q25),2)</f>
        <v>2.59</v>
      </c>
      <c r="S25" s="37">
        <f>ROUND(IF(Dados!$J$62="SIM",R25*Dados!$N$62,R25),2)</f>
        <v>2.59</v>
      </c>
    </row>
    <row r="26" spans="1:19" s="61" customFormat="1">
      <c r="A26" s="67">
        <v>18</v>
      </c>
      <c r="B26" s="243" t="s">
        <v>94</v>
      </c>
      <c r="C26" s="69" t="s">
        <v>76</v>
      </c>
      <c r="D26" s="69"/>
      <c r="E26" s="96">
        <f>'Ocorrências Mensais - FAT'!G44</f>
        <v>1</v>
      </c>
      <c r="F26" s="237">
        <v>3.25</v>
      </c>
      <c r="G26" s="238">
        <f t="shared" si="0"/>
        <v>3.25</v>
      </c>
      <c r="H26" s="239"/>
      <c r="I26" s="60"/>
      <c r="J26" s="69">
        <v>1</v>
      </c>
      <c r="K26" s="69" t="s">
        <v>436</v>
      </c>
      <c r="L26" s="37">
        <f t="shared" si="1"/>
        <v>1</v>
      </c>
      <c r="N26" s="237">
        <v>3.25</v>
      </c>
      <c r="O26" s="37">
        <f>ROUND(IF(Dados!$J$58="SIM",N26*Dados!$N$58,N26),2)</f>
        <v>3.25</v>
      </c>
      <c r="P26" s="37">
        <f>ROUND(IF(Dados!$J$59="SIM",O26*Dados!$N$59,O26),2)</f>
        <v>3.25</v>
      </c>
      <c r="Q26" s="37">
        <f>ROUND(IF(Dados!$J$60="SIM",P26*Dados!$N$60,P26),2)</f>
        <v>3.25</v>
      </c>
      <c r="R26" s="37">
        <f>ROUND(IF(Dados!$J$61="SIM",Q26*Dados!$N$61,Q26),2)</f>
        <v>3.25</v>
      </c>
      <c r="S26" s="37">
        <f>ROUND(IF(Dados!$J$62="SIM",R26*Dados!$N$62,R26),2)</f>
        <v>3.25</v>
      </c>
    </row>
    <row r="27" spans="1:19" s="61" customFormat="1">
      <c r="A27" s="67">
        <v>19</v>
      </c>
      <c r="B27" s="244" t="s">
        <v>441</v>
      </c>
      <c r="C27" s="69" t="s">
        <v>76</v>
      </c>
      <c r="D27" s="247"/>
      <c r="E27" s="96">
        <f>'Ocorrências Mensais - FAT'!G45</f>
        <v>2.5</v>
      </c>
      <c r="F27" s="237">
        <v>8</v>
      </c>
      <c r="G27" s="238">
        <f t="shared" si="0"/>
        <v>20</v>
      </c>
      <c r="H27" s="239"/>
      <c r="I27" s="60"/>
      <c r="J27" s="69">
        <v>5</v>
      </c>
      <c r="K27" s="69" t="s">
        <v>442</v>
      </c>
      <c r="L27" s="37">
        <f t="shared" si="1"/>
        <v>2</v>
      </c>
      <c r="N27" s="237">
        <v>8</v>
      </c>
      <c r="O27" s="37">
        <f>ROUND(IF(Dados!$J$58="SIM",N27*Dados!$N$58,N27),2)</f>
        <v>8</v>
      </c>
      <c r="P27" s="37">
        <f>ROUND(IF(Dados!$J$59="SIM",O27*Dados!$N$59,O27),2)</f>
        <v>8</v>
      </c>
      <c r="Q27" s="37">
        <f>ROUND(IF(Dados!$J$60="SIM",P27*Dados!$N$60,P27),2)</f>
        <v>8</v>
      </c>
      <c r="R27" s="37">
        <f>ROUND(IF(Dados!$J$61="SIM",Q27*Dados!$N$61,Q27),2)</f>
        <v>8</v>
      </c>
      <c r="S27" s="37">
        <f>ROUND(IF(Dados!$J$62="SIM",R27*Dados!$N$62,R27),2)</f>
        <v>8</v>
      </c>
    </row>
    <row r="28" spans="1:19" s="61" customFormat="1">
      <c r="A28" s="67">
        <v>20</v>
      </c>
      <c r="B28" s="243" t="s">
        <v>96</v>
      </c>
      <c r="C28" s="69" t="s">
        <v>76</v>
      </c>
      <c r="D28" s="69"/>
      <c r="E28" s="96">
        <f>'Ocorrências Mensais - FAT'!G46</f>
        <v>1</v>
      </c>
      <c r="F28" s="237">
        <v>3.37</v>
      </c>
      <c r="G28" s="238">
        <f t="shared" si="0"/>
        <v>3.37</v>
      </c>
      <c r="H28" s="242"/>
      <c r="I28" s="60"/>
      <c r="J28" s="69">
        <v>1</v>
      </c>
      <c r="K28" s="69" t="s">
        <v>436</v>
      </c>
      <c r="L28" s="37">
        <f t="shared" si="1"/>
        <v>1</v>
      </c>
      <c r="N28" s="237">
        <v>3.37</v>
      </c>
      <c r="O28" s="37">
        <f>ROUND(IF(Dados!$J$58="SIM",N28*Dados!$N$58,N28),2)</f>
        <v>3.37</v>
      </c>
      <c r="P28" s="37">
        <f>ROUND(IF(Dados!$J$59="SIM",O28*Dados!$N$59,O28),2)</f>
        <v>3.37</v>
      </c>
      <c r="Q28" s="37">
        <f>ROUND(IF(Dados!$J$60="SIM",P28*Dados!$N$60,P28),2)</f>
        <v>3.37</v>
      </c>
      <c r="R28" s="37">
        <f>ROUND(IF(Dados!$J$61="SIM",Q28*Dados!$N$61,Q28),2)</f>
        <v>3.37</v>
      </c>
      <c r="S28" s="37">
        <f>ROUND(IF(Dados!$J$62="SIM",R28*Dados!$N$62,R28),2)</f>
        <v>3.37</v>
      </c>
    </row>
    <row r="29" spans="1:19" s="61" customFormat="1">
      <c r="A29" s="67">
        <v>21</v>
      </c>
      <c r="B29" s="68" t="s">
        <v>97</v>
      </c>
      <c r="C29" s="69" t="s">
        <v>98</v>
      </c>
      <c r="D29" s="69"/>
      <c r="E29" s="96">
        <f>'Ocorrências Mensais - FAT'!G47</f>
        <v>3</v>
      </c>
      <c r="F29" s="237">
        <v>4.03</v>
      </c>
      <c r="G29" s="238">
        <f t="shared" si="0"/>
        <v>12.09</v>
      </c>
      <c r="H29" s="242"/>
      <c r="I29" s="60"/>
      <c r="J29" s="69">
        <v>3</v>
      </c>
      <c r="K29" s="69" t="s">
        <v>436</v>
      </c>
      <c r="L29" s="37">
        <f t="shared" si="1"/>
        <v>1</v>
      </c>
      <c r="N29" s="237">
        <v>4.03</v>
      </c>
      <c r="O29" s="37">
        <f>ROUND(IF(Dados!$J$58="SIM",N29*Dados!$N$58,N29),2)</f>
        <v>4.03</v>
      </c>
      <c r="P29" s="37">
        <f>ROUND(IF(Dados!$J$59="SIM",O29*Dados!$N$59,O29),2)</f>
        <v>4.03</v>
      </c>
      <c r="Q29" s="37">
        <f>ROUND(IF(Dados!$J$60="SIM",P29*Dados!$N$60,P29),2)</f>
        <v>4.03</v>
      </c>
      <c r="R29" s="37">
        <f>ROUND(IF(Dados!$J$61="SIM",Q29*Dados!$N$61,Q29),2)</f>
        <v>4.03</v>
      </c>
      <c r="S29" s="37">
        <f>ROUND(IF(Dados!$J$62="SIM",R29*Dados!$N$62,R29),2)</f>
        <v>4.03</v>
      </c>
    </row>
    <row r="30" spans="1:19" s="61" customFormat="1">
      <c r="A30" s="67">
        <v>22</v>
      </c>
      <c r="B30" s="68" t="s">
        <v>99</v>
      </c>
      <c r="C30" s="69" t="s">
        <v>85</v>
      </c>
      <c r="D30" s="247"/>
      <c r="E30" s="96">
        <f>'Ocorrências Mensais - FAT'!G48</f>
        <v>0.16666666666666666</v>
      </c>
      <c r="F30" s="237">
        <v>17.86</v>
      </c>
      <c r="G30" s="238">
        <f t="shared" si="0"/>
        <v>2.9766666666666666</v>
      </c>
      <c r="H30" s="239"/>
      <c r="I30" s="60"/>
      <c r="J30" s="69">
        <v>1</v>
      </c>
      <c r="K30" s="69" t="s">
        <v>443</v>
      </c>
      <c r="L30" s="37">
        <f t="shared" si="1"/>
        <v>6</v>
      </c>
      <c r="N30" s="237">
        <v>17.86</v>
      </c>
      <c r="O30" s="37">
        <f>ROUND(IF(Dados!$J$58="SIM",N30*Dados!$N$58,N30),2)</f>
        <v>17.86</v>
      </c>
      <c r="P30" s="37">
        <f>ROUND(IF(Dados!$J$59="SIM",O30*Dados!$N$59,O30),2)</f>
        <v>17.86</v>
      </c>
      <c r="Q30" s="37">
        <f>ROUND(IF(Dados!$J$60="SIM",P30*Dados!$N$60,P30),2)</f>
        <v>17.86</v>
      </c>
      <c r="R30" s="37">
        <f>ROUND(IF(Dados!$J$61="SIM",Q30*Dados!$N$61,Q30),2)</f>
        <v>17.86</v>
      </c>
      <c r="S30" s="37">
        <f>ROUND(IF(Dados!$J$62="SIM",R30*Dados!$N$62,R30),2)</f>
        <v>17.86</v>
      </c>
    </row>
    <row r="31" spans="1:19" s="61" customFormat="1">
      <c r="A31" s="67">
        <v>23</v>
      </c>
      <c r="B31" s="243" t="s">
        <v>100</v>
      </c>
      <c r="C31" s="69" t="s">
        <v>76</v>
      </c>
      <c r="D31" s="247"/>
      <c r="E31" s="96">
        <f>'Ocorrências Mensais - FAT'!G49</f>
        <v>0.16666666666666666</v>
      </c>
      <c r="F31" s="237">
        <v>22.31</v>
      </c>
      <c r="G31" s="238">
        <f t="shared" si="0"/>
        <v>3.7183333333333328</v>
      </c>
      <c r="H31" s="239"/>
      <c r="I31" s="60"/>
      <c r="J31" s="69">
        <v>1</v>
      </c>
      <c r="K31" s="69" t="s">
        <v>443</v>
      </c>
      <c r="L31" s="37">
        <f t="shared" si="1"/>
        <v>6</v>
      </c>
      <c r="N31" s="237">
        <v>22.31</v>
      </c>
      <c r="O31" s="37">
        <f>ROUND(IF(Dados!$J$58="SIM",N31*Dados!$N$58,N31),2)</f>
        <v>22.31</v>
      </c>
      <c r="P31" s="37">
        <f>ROUND(IF(Dados!$J$59="SIM",O31*Dados!$N$59,O31),2)</f>
        <v>22.31</v>
      </c>
      <c r="Q31" s="37">
        <f>ROUND(IF(Dados!$J$60="SIM",P31*Dados!$N$60,P31),2)</f>
        <v>22.31</v>
      </c>
      <c r="R31" s="37">
        <f>ROUND(IF(Dados!$J$61="SIM",Q31*Dados!$N$61,Q31),2)</f>
        <v>22.31</v>
      </c>
      <c r="S31" s="37">
        <f>ROUND(IF(Dados!$J$62="SIM",R31*Dados!$N$62,R31),2)</f>
        <v>22.31</v>
      </c>
    </row>
    <row r="32" spans="1:19" s="61" customFormat="1">
      <c r="A32" s="67">
        <v>24</v>
      </c>
      <c r="B32" s="248" t="s">
        <v>101</v>
      </c>
      <c r="C32" s="69" t="s">
        <v>76</v>
      </c>
      <c r="D32" s="69"/>
      <c r="E32" s="96">
        <f>'Ocorrências Mensais - FAT'!G50</f>
        <v>0.16666666666666666</v>
      </c>
      <c r="F32" s="237">
        <v>1.53</v>
      </c>
      <c r="G32" s="238">
        <f t="shared" si="0"/>
        <v>0.255</v>
      </c>
      <c r="H32" s="239"/>
      <c r="I32" s="60"/>
      <c r="J32" s="69">
        <v>2</v>
      </c>
      <c r="K32" s="69" t="s">
        <v>437</v>
      </c>
      <c r="L32" s="37">
        <f t="shared" si="1"/>
        <v>12</v>
      </c>
      <c r="N32" s="237">
        <v>1.53</v>
      </c>
      <c r="O32" s="37">
        <f>ROUND(IF(Dados!$J$58="SIM",N32*Dados!$N$58,N32),2)</f>
        <v>1.53</v>
      </c>
      <c r="P32" s="37">
        <f>ROUND(IF(Dados!$J$59="SIM",O32*Dados!$N$59,O32),2)</f>
        <v>1.53</v>
      </c>
      <c r="Q32" s="37">
        <f>ROUND(IF(Dados!$J$60="SIM",P32*Dados!$N$60,P32),2)</f>
        <v>1.53</v>
      </c>
      <c r="R32" s="37">
        <f>ROUND(IF(Dados!$J$61="SIM",Q32*Dados!$N$61,Q32),2)</f>
        <v>1.53</v>
      </c>
      <c r="S32" s="37">
        <f>ROUND(IF(Dados!$J$62="SIM",R32*Dados!$N$62,R32),2)</f>
        <v>1.53</v>
      </c>
    </row>
    <row r="33" spans="1:19" s="61" customFormat="1">
      <c r="A33" s="67">
        <v>25</v>
      </c>
      <c r="B33" s="243" t="s">
        <v>102</v>
      </c>
      <c r="C33" s="69" t="s">
        <v>76</v>
      </c>
      <c r="D33" s="69"/>
      <c r="E33" s="96">
        <f>'Ocorrências Mensais - FAT'!G51</f>
        <v>8.3333333333333329E-2</v>
      </c>
      <c r="F33" s="237">
        <v>6.14</v>
      </c>
      <c r="G33" s="238">
        <f t="shared" si="0"/>
        <v>0.5116666666666666</v>
      </c>
      <c r="H33" s="239"/>
      <c r="I33" s="60"/>
      <c r="J33" s="69">
        <v>1</v>
      </c>
      <c r="K33" s="69" t="s">
        <v>437</v>
      </c>
      <c r="L33" s="37">
        <f t="shared" si="1"/>
        <v>12</v>
      </c>
      <c r="N33" s="237">
        <v>6.14</v>
      </c>
      <c r="O33" s="37">
        <f>ROUND(IF(Dados!$J$58="SIM",N33*Dados!$N$58,N33),2)</f>
        <v>6.14</v>
      </c>
      <c r="P33" s="37">
        <f>ROUND(IF(Dados!$J$59="SIM",O33*Dados!$N$59,O33),2)</f>
        <v>6.14</v>
      </c>
      <c r="Q33" s="37">
        <f>ROUND(IF(Dados!$J$60="SIM",P33*Dados!$N$60,P33),2)</f>
        <v>6.14</v>
      </c>
      <c r="R33" s="37">
        <f>ROUND(IF(Dados!$J$61="SIM",Q33*Dados!$N$61,Q33),2)</f>
        <v>6.14</v>
      </c>
      <c r="S33" s="37">
        <f>ROUND(IF(Dados!$J$62="SIM",R33*Dados!$N$62,R33),2)</f>
        <v>6.14</v>
      </c>
    </row>
    <row r="34" spans="1:19" s="61" customFormat="1">
      <c r="A34" s="67">
        <v>26</v>
      </c>
      <c r="B34" s="243" t="s">
        <v>103</v>
      </c>
      <c r="C34" s="69" t="s">
        <v>67</v>
      </c>
      <c r="D34" s="69"/>
      <c r="E34" s="96">
        <f>'Ocorrências Mensais - FAT'!G52</f>
        <v>200</v>
      </c>
      <c r="F34" s="237">
        <v>2.7</v>
      </c>
      <c r="G34" s="238">
        <f t="shared" si="0"/>
        <v>540</v>
      </c>
      <c r="H34" s="242"/>
      <c r="I34" s="60"/>
      <c r="J34" s="69">
        <v>200</v>
      </c>
      <c r="K34" s="69" t="s">
        <v>436</v>
      </c>
      <c r="L34" s="37">
        <f t="shared" si="1"/>
        <v>1</v>
      </c>
      <c r="N34" s="237">
        <v>2.7</v>
      </c>
      <c r="O34" s="37">
        <f>ROUND(IF(Dados!$J$58="SIM",N34*Dados!$N$58,N34),2)</f>
        <v>2.7</v>
      </c>
      <c r="P34" s="37">
        <f>ROUND(IF(Dados!$J$59="SIM",O34*Dados!$N$59,O34),2)</f>
        <v>2.7</v>
      </c>
      <c r="Q34" s="37">
        <f>ROUND(IF(Dados!$J$60="SIM",P34*Dados!$N$60,P34),2)</f>
        <v>2.7</v>
      </c>
      <c r="R34" s="37">
        <f>ROUND(IF(Dados!$J$61="SIM",Q34*Dados!$N$61,Q34),2)</f>
        <v>2.7</v>
      </c>
      <c r="S34" s="37">
        <f>ROUND(IF(Dados!$J$62="SIM",R34*Dados!$N$62,R34),2)</f>
        <v>2.7</v>
      </c>
    </row>
    <row r="35" spans="1:19" s="61" customFormat="1">
      <c r="A35" s="67">
        <v>27</v>
      </c>
      <c r="B35" s="243" t="s">
        <v>105</v>
      </c>
      <c r="C35" s="69" t="s">
        <v>67</v>
      </c>
      <c r="D35" s="69"/>
      <c r="E35" s="96">
        <f>'Ocorrências Mensais - FAT'!G53</f>
        <v>20</v>
      </c>
      <c r="F35" s="237">
        <v>14.08</v>
      </c>
      <c r="G35" s="238">
        <f t="shared" si="0"/>
        <v>281.60000000000002</v>
      </c>
      <c r="H35" s="242"/>
      <c r="I35" s="60"/>
      <c r="J35" s="69">
        <v>20</v>
      </c>
      <c r="K35" s="69" t="s">
        <v>436</v>
      </c>
      <c r="L35" s="37">
        <f t="shared" si="1"/>
        <v>1</v>
      </c>
      <c r="N35" s="237">
        <v>14.08</v>
      </c>
      <c r="O35" s="37">
        <f>ROUND(IF(Dados!$J$58="SIM",N35*Dados!$N$58,N35),2)</f>
        <v>14.08</v>
      </c>
      <c r="P35" s="37">
        <f>ROUND(IF(Dados!$J$59="SIM",O35*Dados!$N$59,O35),2)</f>
        <v>14.08</v>
      </c>
      <c r="Q35" s="37">
        <f>ROUND(IF(Dados!$J$60="SIM",P35*Dados!$N$60,P35),2)</f>
        <v>14.08</v>
      </c>
      <c r="R35" s="37">
        <f>ROUND(IF(Dados!$J$61="SIM",Q35*Dados!$N$61,Q35),2)</f>
        <v>14.08</v>
      </c>
      <c r="S35" s="37">
        <f>ROUND(IF(Dados!$J$62="SIM",R35*Dados!$N$62,R35),2)</f>
        <v>14.08</v>
      </c>
    </row>
    <row r="36" spans="1:19" s="61" customFormat="1">
      <c r="A36" s="67">
        <v>28</v>
      </c>
      <c r="B36" s="243" t="s">
        <v>106</v>
      </c>
      <c r="C36" s="69" t="s">
        <v>76</v>
      </c>
      <c r="D36" s="69"/>
      <c r="E36" s="96">
        <f>'Ocorrências Mensais - FAT'!G54</f>
        <v>0.16666666666666666</v>
      </c>
      <c r="F36" s="237">
        <v>10</v>
      </c>
      <c r="G36" s="238">
        <f t="shared" si="0"/>
        <v>1.6666666666666665</v>
      </c>
      <c r="H36" s="242"/>
      <c r="I36" s="60"/>
      <c r="J36" s="69">
        <v>2</v>
      </c>
      <c r="K36" s="69" t="s">
        <v>437</v>
      </c>
      <c r="L36" s="37">
        <f t="shared" si="1"/>
        <v>12</v>
      </c>
      <c r="N36" s="237">
        <v>10</v>
      </c>
      <c r="O36" s="37">
        <f>ROUND(IF(Dados!$J$58="SIM",N36*Dados!$N$58,N36),2)</f>
        <v>10</v>
      </c>
      <c r="P36" s="37">
        <f>ROUND(IF(Dados!$J$59="SIM",O36*Dados!$N$59,O36),2)</f>
        <v>10</v>
      </c>
      <c r="Q36" s="37">
        <f>ROUND(IF(Dados!$J$60="SIM",P36*Dados!$N$60,P36),2)</f>
        <v>10</v>
      </c>
      <c r="R36" s="37">
        <f>ROUND(IF(Dados!$J$61="SIM",Q36*Dados!$N$61,Q36),2)</f>
        <v>10</v>
      </c>
      <c r="S36" s="37">
        <f>ROUND(IF(Dados!$J$62="SIM",R36*Dados!$N$62,R36),2)</f>
        <v>10</v>
      </c>
    </row>
    <row r="37" spans="1:19" s="61" customFormat="1">
      <c r="A37" s="67">
        <v>29</v>
      </c>
      <c r="B37" s="243" t="s">
        <v>107</v>
      </c>
      <c r="C37" s="69" t="s">
        <v>76</v>
      </c>
      <c r="D37" s="69"/>
      <c r="E37" s="96">
        <f>'Ocorrências Mensais - FAT'!G55</f>
        <v>8.3333333333333329E-2</v>
      </c>
      <c r="F37" s="237">
        <v>32.450000000000003</v>
      </c>
      <c r="G37" s="238">
        <f t="shared" si="0"/>
        <v>2.7041666666666666</v>
      </c>
      <c r="H37" s="242"/>
      <c r="I37" s="60"/>
      <c r="J37" s="69">
        <v>1</v>
      </c>
      <c r="K37" s="69" t="s">
        <v>437</v>
      </c>
      <c r="L37" s="37">
        <f t="shared" si="1"/>
        <v>12</v>
      </c>
      <c r="N37" s="237">
        <v>32.450000000000003</v>
      </c>
      <c r="O37" s="37">
        <f>ROUND(IF(Dados!$J$58="SIM",N37*Dados!$N$58,N37),2)</f>
        <v>32.450000000000003</v>
      </c>
      <c r="P37" s="37">
        <f>ROUND(IF(Dados!$J$59="SIM",O37*Dados!$N$59,O37),2)</f>
        <v>32.450000000000003</v>
      </c>
      <c r="Q37" s="37">
        <f>ROUND(IF(Dados!$J$60="SIM",P37*Dados!$N$60,P37),2)</f>
        <v>32.450000000000003</v>
      </c>
      <c r="R37" s="37">
        <f>ROUND(IF(Dados!$J$61="SIM",Q37*Dados!$N$61,Q37),2)</f>
        <v>32.450000000000003</v>
      </c>
      <c r="S37" s="37">
        <f>ROUND(IF(Dados!$J$62="SIM",R37*Dados!$N$62,R37),2)</f>
        <v>32.450000000000003</v>
      </c>
    </row>
    <row r="38" spans="1:19" s="61" customFormat="1">
      <c r="A38" s="67">
        <v>30</v>
      </c>
      <c r="B38" s="248" t="s">
        <v>108</v>
      </c>
      <c r="C38" s="69" t="s">
        <v>109</v>
      </c>
      <c r="D38" s="69"/>
      <c r="E38" s="96">
        <f>'Ocorrências Mensais - FAT'!G56</f>
        <v>1</v>
      </c>
      <c r="F38" s="237">
        <v>10.16</v>
      </c>
      <c r="G38" s="238">
        <f t="shared" si="0"/>
        <v>10.16</v>
      </c>
      <c r="H38" s="242"/>
      <c r="I38" s="60"/>
      <c r="J38" s="69">
        <v>1</v>
      </c>
      <c r="K38" s="69" t="s">
        <v>436</v>
      </c>
      <c r="L38" s="37">
        <f t="shared" si="1"/>
        <v>1</v>
      </c>
      <c r="N38" s="237">
        <v>10.16</v>
      </c>
      <c r="O38" s="37">
        <f>ROUND(IF(Dados!$J$58="SIM",N38*Dados!$N$58,N38),2)</f>
        <v>10.16</v>
      </c>
      <c r="P38" s="37">
        <f>ROUND(IF(Dados!$J$59="SIM",O38*Dados!$N$59,O38),2)</f>
        <v>10.16</v>
      </c>
      <c r="Q38" s="37">
        <f>ROUND(IF(Dados!$J$60="SIM",P38*Dados!$N$60,P38),2)</f>
        <v>10.16</v>
      </c>
      <c r="R38" s="37">
        <f>ROUND(IF(Dados!$J$61="SIM",Q38*Dados!$N$61,Q38),2)</f>
        <v>10.16</v>
      </c>
      <c r="S38" s="37">
        <f>ROUND(IF(Dados!$J$62="SIM",R38*Dados!$N$62,R38),2)</f>
        <v>10.16</v>
      </c>
    </row>
    <row r="39" spans="1:19" s="61" customFormat="1">
      <c r="A39" s="67">
        <v>31</v>
      </c>
      <c r="B39" s="248" t="s">
        <v>110</v>
      </c>
      <c r="C39" s="69" t="s">
        <v>98</v>
      </c>
      <c r="D39" s="247"/>
      <c r="E39" s="96">
        <f>'Ocorrências Mensais - FAT'!G57</f>
        <v>1</v>
      </c>
      <c r="F39" s="237">
        <v>5.36</v>
      </c>
      <c r="G39" s="238">
        <f t="shared" si="0"/>
        <v>5.36</v>
      </c>
      <c r="H39" s="242"/>
      <c r="I39" s="60"/>
      <c r="J39" s="69">
        <v>1</v>
      </c>
      <c r="K39" s="69" t="s">
        <v>436</v>
      </c>
      <c r="L39" s="37">
        <f t="shared" si="1"/>
        <v>1</v>
      </c>
      <c r="N39" s="237">
        <v>5.36</v>
      </c>
      <c r="O39" s="37">
        <f>ROUND(IF(Dados!$J$58="SIM",N39*Dados!$N$58,N39),2)</f>
        <v>5.36</v>
      </c>
      <c r="P39" s="37">
        <f>ROUND(IF(Dados!$J$59="SIM",O39*Dados!$N$59,O39),2)</f>
        <v>5.36</v>
      </c>
      <c r="Q39" s="37">
        <f>ROUND(IF(Dados!$J$60="SIM",P39*Dados!$N$60,P39),2)</f>
        <v>5.36</v>
      </c>
      <c r="R39" s="37">
        <f>ROUND(IF(Dados!$J$61="SIM",Q39*Dados!$N$61,Q39),2)</f>
        <v>5.36</v>
      </c>
      <c r="S39" s="37">
        <f>ROUND(IF(Dados!$J$62="SIM",R39*Dados!$N$62,R39),2)</f>
        <v>5.36</v>
      </c>
    </row>
    <row r="40" spans="1:19" s="61" customFormat="1">
      <c r="A40" s="67">
        <v>32</v>
      </c>
      <c r="B40" s="248" t="s">
        <v>112</v>
      </c>
      <c r="C40" s="69" t="s">
        <v>85</v>
      </c>
      <c r="D40" s="69"/>
      <c r="E40" s="96">
        <f>'Ocorrências Mensais - FAT'!G58</f>
        <v>0.33333333333333331</v>
      </c>
      <c r="F40" s="237">
        <v>22.5</v>
      </c>
      <c r="G40" s="238">
        <f t="shared" si="0"/>
        <v>7.5</v>
      </c>
      <c r="H40" s="242"/>
      <c r="I40" s="60"/>
      <c r="J40" s="69">
        <v>1</v>
      </c>
      <c r="K40" s="69" t="s">
        <v>435</v>
      </c>
      <c r="L40" s="37">
        <f t="shared" si="1"/>
        <v>3</v>
      </c>
      <c r="N40" s="237">
        <v>22.5</v>
      </c>
      <c r="O40" s="37">
        <f>ROUND(IF(Dados!$J$58="SIM",N40*Dados!$N$58,N40),2)</f>
        <v>22.5</v>
      </c>
      <c r="P40" s="37">
        <f>ROUND(IF(Dados!$J$59="SIM",O40*Dados!$N$59,O40),2)</f>
        <v>22.5</v>
      </c>
      <c r="Q40" s="37">
        <f>ROUND(IF(Dados!$J$60="SIM",P40*Dados!$N$60,P40),2)</f>
        <v>22.5</v>
      </c>
      <c r="R40" s="37">
        <f>ROUND(IF(Dados!$J$61="SIM",Q40*Dados!$N$61,Q40),2)</f>
        <v>22.5</v>
      </c>
      <c r="S40" s="37">
        <f>ROUND(IF(Dados!$J$62="SIM",R40*Dados!$N$62,R40),2)</f>
        <v>22.5</v>
      </c>
    </row>
    <row r="41" spans="1:19" s="61" customFormat="1">
      <c r="A41" s="67">
        <v>33</v>
      </c>
      <c r="B41" s="243" t="s">
        <v>113</v>
      </c>
      <c r="C41" s="69" t="s">
        <v>76</v>
      </c>
      <c r="D41" s="69"/>
      <c r="E41" s="96">
        <f>'Ocorrências Mensais - FAT'!G59</f>
        <v>2</v>
      </c>
      <c r="F41" s="237">
        <v>6.78</v>
      </c>
      <c r="G41" s="238">
        <f t="shared" si="0"/>
        <v>13.56</v>
      </c>
      <c r="H41" s="242"/>
      <c r="I41" s="60"/>
      <c r="J41" s="69">
        <v>2</v>
      </c>
      <c r="K41" s="69" t="s">
        <v>436</v>
      </c>
      <c r="L41" s="37">
        <f t="shared" si="1"/>
        <v>1</v>
      </c>
      <c r="N41" s="237">
        <v>6.78</v>
      </c>
      <c r="O41" s="37">
        <f>ROUND(IF(Dados!$J$58="SIM",N41*Dados!$N$58,N41),2)</f>
        <v>6.78</v>
      </c>
      <c r="P41" s="37">
        <f>ROUND(IF(Dados!$J$59="SIM",O41*Dados!$N$59,O41),2)</f>
        <v>6.78</v>
      </c>
      <c r="Q41" s="37">
        <f>ROUND(IF(Dados!$J$60="SIM",P41*Dados!$N$60,P41),2)</f>
        <v>6.78</v>
      </c>
      <c r="R41" s="37">
        <f>ROUND(IF(Dados!$J$61="SIM",Q41*Dados!$N$61,Q41),2)</f>
        <v>6.78</v>
      </c>
      <c r="S41" s="37">
        <f>ROUND(IF(Dados!$J$62="SIM",R41*Dados!$N$62,R41),2)</f>
        <v>6.78</v>
      </c>
    </row>
    <row r="42" spans="1:19" s="61" customFormat="1">
      <c r="A42" s="67">
        <v>34</v>
      </c>
      <c r="B42" s="243" t="s">
        <v>114</v>
      </c>
      <c r="C42" s="69" t="s">
        <v>76</v>
      </c>
      <c r="D42" s="69"/>
      <c r="E42" s="96">
        <f>'Ocorrências Mensais - FAT'!G60</f>
        <v>1.5</v>
      </c>
      <c r="F42" s="249">
        <v>5.8</v>
      </c>
      <c r="G42" s="238">
        <f t="shared" si="0"/>
        <v>8.6999999999999993</v>
      </c>
      <c r="H42" s="242"/>
      <c r="I42" s="60"/>
      <c r="J42" s="69">
        <v>3</v>
      </c>
      <c r="K42" s="69" t="s">
        <v>442</v>
      </c>
      <c r="L42" s="37">
        <f t="shared" si="1"/>
        <v>2</v>
      </c>
      <c r="N42" s="249">
        <v>5.8</v>
      </c>
      <c r="O42" s="37">
        <f>ROUND(IF(Dados!$J$58="SIM",N42*Dados!$N$58,N42),2)</f>
        <v>5.8</v>
      </c>
      <c r="P42" s="37">
        <f>ROUND(IF(Dados!$J$59="SIM",O42*Dados!$N$59,O42),2)</f>
        <v>5.8</v>
      </c>
      <c r="Q42" s="37">
        <f>ROUND(IF(Dados!$J$60="SIM",P42*Dados!$N$60,P42),2)</f>
        <v>5.8</v>
      </c>
      <c r="R42" s="37">
        <f>ROUND(IF(Dados!$J$61="SIM",Q42*Dados!$N$61,Q42),2)</f>
        <v>5.8</v>
      </c>
      <c r="S42" s="37">
        <f>ROUND(IF(Dados!$J$62="SIM",R42*Dados!$N$62,R42),2)</f>
        <v>5.8</v>
      </c>
    </row>
    <row r="43" spans="1:19" s="61" customFormat="1">
      <c r="A43" s="82">
        <v>35</v>
      </c>
      <c r="B43" s="244" t="s">
        <v>444</v>
      </c>
      <c r="C43" s="69" t="s">
        <v>76</v>
      </c>
      <c r="D43" s="69"/>
      <c r="E43" s="96">
        <f>'Ocorrências Mensais - FAT'!G61</f>
        <v>2</v>
      </c>
      <c r="F43" s="249">
        <v>12.26</v>
      </c>
      <c r="G43" s="238">
        <f t="shared" si="0"/>
        <v>24.52</v>
      </c>
      <c r="H43" s="250"/>
      <c r="I43" s="60"/>
      <c r="J43" s="69">
        <v>2</v>
      </c>
      <c r="K43" s="69" t="s">
        <v>436</v>
      </c>
      <c r="L43" s="37">
        <f t="shared" si="1"/>
        <v>1</v>
      </c>
      <c r="N43" s="249">
        <v>12.26</v>
      </c>
      <c r="O43" s="37">
        <f>ROUND(IF(Dados!$J$58="SIM",N43*Dados!$N$58,N43),2)</f>
        <v>12.26</v>
      </c>
      <c r="P43" s="37">
        <f>ROUND(IF(Dados!$J$59="SIM",O43*Dados!$N$59,O43),2)</f>
        <v>12.26</v>
      </c>
      <c r="Q43" s="37">
        <f>ROUND(IF(Dados!$J$60="SIM",P43*Dados!$N$60,P43),2)</f>
        <v>12.26</v>
      </c>
      <c r="R43" s="37">
        <f>ROUND(IF(Dados!$J$61="SIM",Q43*Dados!$N$61,Q43),2)</f>
        <v>12.26</v>
      </c>
      <c r="S43" s="37">
        <f>ROUND(IF(Dados!$J$62="SIM",R43*Dados!$N$62,R43),2)</f>
        <v>12.26</v>
      </c>
    </row>
    <row r="44" spans="1:19" s="61" customFormat="1">
      <c r="A44" s="82">
        <v>36</v>
      </c>
      <c r="B44" s="243" t="s">
        <v>116</v>
      </c>
      <c r="C44" s="69" t="s">
        <v>76</v>
      </c>
      <c r="D44" s="69"/>
      <c r="E44" s="96">
        <f>'Ocorrências Mensais - FAT'!G62</f>
        <v>0.5</v>
      </c>
      <c r="F44" s="249">
        <v>39.5</v>
      </c>
      <c r="G44" s="238">
        <f t="shared" si="0"/>
        <v>19.75</v>
      </c>
      <c r="H44" s="250"/>
      <c r="I44" s="60"/>
      <c r="J44" s="69">
        <v>1</v>
      </c>
      <c r="K44" s="69" t="s">
        <v>442</v>
      </c>
      <c r="L44" s="37">
        <f t="shared" si="1"/>
        <v>2</v>
      </c>
      <c r="N44" s="249">
        <v>39.5</v>
      </c>
      <c r="O44" s="37">
        <f>ROUND(IF(Dados!$J$58="SIM",N44*Dados!$N$58,N44),2)</f>
        <v>39.5</v>
      </c>
      <c r="P44" s="37">
        <f>ROUND(IF(Dados!$J$59="SIM",O44*Dados!$N$59,O44),2)</f>
        <v>39.5</v>
      </c>
      <c r="Q44" s="37">
        <f>ROUND(IF(Dados!$J$60="SIM",P44*Dados!$N$60,P44),2)</f>
        <v>39.5</v>
      </c>
      <c r="R44" s="37">
        <f>ROUND(IF(Dados!$J$61="SIM",Q44*Dados!$N$61,Q44),2)</f>
        <v>39.5</v>
      </c>
      <c r="S44" s="37">
        <f>ROUND(IF(Dados!$J$62="SIM",R44*Dados!$N$62,R44),2)</f>
        <v>39.5</v>
      </c>
    </row>
    <row r="45" spans="1:19" s="61" customFormat="1">
      <c r="A45" s="82">
        <v>37</v>
      </c>
      <c r="B45" s="243" t="s">
        <v>117</v>
      </c>
      <c r="C45" s="69" t="s">
        <v>118</v>
      </c>
      <c r="D45" s="69"/>
      <c r="E45" s="96">
        <f>'Ocorrências Mensais - FAT'!G63</f>
        <v>18</v>
      </c>
      <c r="F45" s="249">
        <v>2.61</v>
      </c>
      <c r="G45" s="238">
        <f t="shared" si="0"/>
        <v>46.98</v>
      </c>
      <c r="H45" s="250"/>
      <c r="I45" s="60"/>
      <c r="J45" s="69">
        <v>18</v>
      </c>
      <c r="K45" s="69" t="s">
        <v>436</v>
      </c>
      <c r="L45" s="37">
        <f t="shared" si="1"/>
        <v>1</v>
      </c>
      <c r="N45" s="249">
        <v>2.61</v>
      </c>
      <c r="O45" s="37">
        <f>ROUND(IF(Dados!$J$58="SIM",N45*Dados!$N$58,N45),2)</f>
        <v>2.61</v>
      </c>
      <c r="P45" s="37">
        <f>ROUND(IF(Dados!$J$59="SIM",O45*Dados!$N$59,O45),2)</f>
        <v>2.61</v>
      </c>
      <c r="Q45" s="37">
        <f>ROUND(IF(Dados!$J$60="SIM",P45*Dados!$N$60,P45),2)</f>
        <v>2.61</v>
      </c>
      <c r="R45" s="37">
        <f>ROUND(IF(Dados!$J$61="SIM",Q45*Dados!$N$61,Q45),2)</f>
        <v>2.61</v>
      </c>
      <c r="S45" s="37">
        <f>ROUND(IF(Dados!$J$62="SIM",R45*Dados!$N$62,R45),2)</f>
        <v>2.61</v>
      </c>
    </row>
    <row r="46" spans="1:19" s="61" customFormat="1">
      <c r="A46" s="82">
        <v>38</v>
      </c>
      <c r="B46" s="243" t="s">
        <v>119</v>
      </c>
      <c r="C46" s="69" t="s">
        <v>76</v>
      </c>
      <c r="D46" s="69"/>
      <c r="E46" s="96">
        <f>'Ocorrências Mensais - FAT'!G64</f>
        <v>1</v>
      </c>
      <c r="F46" s="249">
        <v>13.29</v>
      </c>
      <c r="G46" s="238">
        <f t="shared" si="0"/>
        <v>13.29</v>
      </c>
      <c r="H46" s="250"/>
      <c r="I46" s="60"/>
      <c r="J46" s="69">
        <v>1</v>
      </c>
      <c r="K46" s="69" t="s">
        <v>436</v>
      </c>
      <c r="L46" s="37">
        <f t="shared" si="1"/>
        <v>1</v>
      </c>
      <c r="N46" s="249">
        <v>13.29</v>
      </c>
      <c r="O46" s="37">
        <f>ROUND(IF(Dados!$J$58="SIM",N46*Dados!$N$58,N46),2)</f>
        <v>13.29</v>
      </c>
      <c r="P46" s="37">
        <f>ROUND(IF(Dados!$J$59="SIM",O46*Dados!$N$59,O46),2)</f>
        <v>13.29</v>
      </c>
      <c r="Q46" s="37">
        <f>ROUND(IF(Dados!$J$60="SIM",P46*Dados!$N$60,P46),2)</f>
        <v>13.29</v>
      </c>
      <c r="R46" s="37">
        <f>ROUND(IF(Dados!$J$61="SIM",Q46*Dados!$N$61,Q46),2)</f>
        <v>13.29</v>
      </c>
      <c r="S46" s="37">
        <f>ROUND(IF(Dados!$J$62="SIM",R46*Dados!$N$62,R46),2)</f>
        <v>13.29</v>
      </c>
    </row>
    <row r="47" spans="1:19" s="61" customFormat="1">
      <c r="A47" s="82">
        <v>39</v>
      </c>
      <c r="B47" s="243" t="s">
        <v>120</v>
      </c>
      <c r="C47" s="69" t="s">
        <v>76</v>
      </c>
      <c r="D47" s="69"/>
      <c r="E47" s="96">
        <f>'Ocorrências Mensais - FAT'!G65</f>
        <v>0.5</v>
      </c>
      <c r="F47" s="249">
        <v>23.52</v>
      </c>
      <c r="G47" s="238">
        <f t="shared" si="0"/>
        <v>11.76</v>
      </c>
      <c r="H47" s="250"/>
      <c r="I47" s="60"/>
      <c r="J47" s="69">
        <v>1</v>
      </c>
      <c r="K47" s="69" t="s">
        <v>442</v>
      </c>
      <c r="L47" s="37">
        <f t="shared" si="1"/>
        <v>2</v>
      </c>
      <c r="N47" s="249">
        <v>23.52</v>
      </c>
      <c r="O47" s="37">
        <f>ROUND(IF(Dados!$J$58="SIM",N47*Dados!$N$58,N47),2)</f>
        <v>23.52</v>
      </c>
      <c r="P47" s="37">
        <f>ROUND(IF(Dados!$J$59="SIM",O47*Dados!$N$59,O47),2)</f>
        <v>23.52</v>
      </c>
      <c r="Q47" s="37">
        <f>ROUND(IF(Dados!$J$60="SIM",P47*Dados!$N$60,P47),2)</f>
        <v>23.52</v>
      </c>
      <c r="R47" s="37">
        <f>ROUND(IF(Dados!$J$61="SIM",Q47*Dados!$N$61,Q47),2)</f>
        <v>23.52</v>
      </c>
      <c r="S47" s="37">
        <f>ROUND(IF(Dados!$J$62="SIM",R47*Dados!$N$62,R47),2)</f>
        <v>23.52</v>
      </c>
    </row>
    <row r="48" spans="1:19" s="61" customFormat="1">
      <c r="A48" s="82">
        <v>40</v>
      </c>
      <c r="B48" s="243" t="s">
        <v>121</v>
      </c>
      <c r="C48" s="69" t="s">
        <v>76</v>
      </c>
      <c r="D48" s="69"/>
      <c r="E48" s="96">
        <f>'Ocorrências Mensais - FAT'!G66</f>
        <v>1</v>
      </c>
      <c r="F48" s="249">
        <v>12.14</v>
      </c>
      <c r="G48" s="238">
        <f t="shared" si="0"/>
        <v>12.14</v>
      </c>
      <c r="H48" s="250"/>
      <c r="I48" s="60"/>
      <c r="J48" s="69">
        <v>1</v>
      </c>
      <c r="K48" s="69" t="s">
        <v>436</v>
      </c>
      <c r="L48" s="37">
        <f t="shared" si="1"/>
        <v>1</v>
      </c>
      <c r="N48" s="249">
        <v>12.14</v>
      </c>
      <c r="O48" s="37">
        <f>ROUND(IF(Dados!$J$58="SIM",N48*Dados!$N$58,N48),2)</f>
        <v>12.14</v>
      </c>
      <c r="P48" s="37">
        <f>ROUND(IF(Dados!$J$59="SIM",O48*Dados!$N$59,O48),2)</f>
        <v>12.14</v>
      </c>
      <c r="Q48" s="37">
        <f>ROUND(IF(Dados!$J$60="SIM",P48*Dados!$N$60,P48),2)</f>
        <v>12.14</v>
      </c>
      <c r="R48" s="37">
        <f>ROUND(IF(Dados!$J$61="SIM",Q48*Dados!$N$61,Q48),2)</f>
        <v>12.14</v>
      </c>
      <c r="S48" s="37">
        <f>ROUND(IF(Dados!$J$62="SIM",R48*Dados!$N$62,R48),2)</f>
        <v>12.14</v>
      </c>
    </row>
    <row r="49" spans="1:19" s="61" customFormat="1">
      <c r="A49" s="82">
        <v>41</v>
      </c>
      <c r="B49" s="243" t="s">
        <v>122</v>
      </c>
      <c r="C49" s="69" t="s">
        <v>76</v>
      </c>
      <c r="D49" s="69"/>
      <c r="E49" s="96">
        <f>'Ocorrências Mensais - FAT'!G67</f>
        <v>0.66666666666666663</v>
      </c>
      <c r="F49" s="249">
        <v>13.36</v>
      </c>
      <c r="G49" s="238">
        <f t="shared" si="0"/>
        <v>8.9066666666666663</v>
      </c>
      <c r="H49" s="250"/>
      <c r="I49" s="60"/>
      <c r="J49" s="69">
        <v>2</v>
      </c>
      <c r="K49" s="69" t="s">
        <v>435</v>
      </c>
      <c r="L49" s="37">
        <f t="shared" si="1"/>
        <v>3</v>
      </c>
      <c r="N49" s="249">
        <v>13.36</v>
      </c>
      <c r="O49" s="37">
        <f>ROUND(IF(Dados!$J$58="SIM",N49*Dados!$N$58,N49),2)</f>
        <v>13.36</v>
      </c>
      <c r="P49" s="37">
        <f>ROUND(IF(Dados!$J$59="SIM",O49*Dados!$N$59,O49),2)</f>
        <v>13.36</v>
      </c>
      <c r="Q49" s="37">
        <f>ROUND(IF(Dados!$J$60="SIM",P49*Dados!$N$60,P49),2)</f>
        <v>13.36</v>
      </c>
      <c r="R49" s="37">
        <f>ROUND(IF(Dados!$J$61="SIM",Q49*Dados!$N$61,Q49),2)</f>
        <v>13.36</v>
      </c>
      <c r="S49" s="37">
        <f>ROUND(IF(Dados!$J$62="SIM",R49*Dados!$N$62,R49),2)</f>
        <v>13.36</v>
      </c>
    </row>
    <row r="50" spans="1:19" s="61" customFormat="1">
      <c r="A50" s="82">
        <v>42</v>
      </c>
      <c r="B50" s="243" t="s">
        <v>123</v>
      </c>
      <c r="C50" s="69" t="s">
        <v>76</v>
      </c>
      <c r="D50" s="69"/>
      <c r="E50" s="96">
        <f>'Ocorrências Mensais - FAT'!G68</f>
        <v>0.5</v>
      </c>
      <c r="F50" s="249">
        <v>2.4500000000000002</v>
      </c>
      <c r="G50" s="238">
        <f t="shared" si="0"/>
        <v>1.2250000000000001</v>
      </c>
      <c r="H50" s="250"/>
      <c r="I50" s="60"/>
      <c r="J50" s="69">
        <v>1</v>
      </c>
      <c r="K50" s="69" t="s">
        <v>442</v>
      </c>
      <c r="L50" s="37">
        <f t="shared" si="1"/>
        <v>2</v>
      </c>
      <c r="N50" s="249">
        <v>2.4500000000000002</v>
      </c>
      <c r="O50" s="37">
        <f>ROUND(IF(Dados!$J$58="SIM",N50*Dados!$N$58,N50),2)</f>
        <v>2.4500000000000002</v>
      </c>
      <c r="P50" s="37">
        <f>ROUND(IF(Dados!$J$59="SIM",O50*Dados!$N$59,O50),2)</f>
        <v>2.4500000000000002</v>
      </c>
      <c r="Q50" s="37">
        <f>ROUND(IF(Dados!$J$60="SIM",P50*Dados!$N$60,P50),2)</f>
        <v>2.4500000000000002</v>
      </c>
      <c r="R50" s="37">
        <f>ROUND(IF(Dados!$J$61="SIM",Q50*Dados!$N$61,Q50),2)</f>
        <v>2.4500000000000002</v>
      </c>
      <c r="S50" s="37">
        <f>ROUND(IF(Dados!$J$62="SIM",R50*Dados!$N$62,R50),2)</f>
        <v>2.4500000000000002</v>
      </c>
    </row>
    <row r="51" spans="1:19" ht="15.75">
      <c r="A51" s="618" t="s">
        <v>124</v>
      </c>
      <c r="B51" s="618"/>
      <c r="C51" s="618"/>
      <c r="D51" s="618"/>
      <c r="E51" s="618"/>
      <c r="F51" s="618"/>
      <c r="G51" s="251">
        <f>SUM(G9:G50)</f>
        <v>1447.1883333333333</v>
      </c>
      <c r="H51" s="252"/>
      <c r="I51" s="51"/>
      <c r="J51" s="51"/>
      <c r="K51" s="253"/>
    </row>
    <row r="52" spans="1:19">
      <c r="A52" s="254"/>
      <c r="H52" s="255"/>
    </row>
    <row r="53" spans="1:19" ht="18.75">
      <c r="A53" s="612" t="s">
        <v>445</v>
      </c>
      <c r="B53" s="612"/>
      <c r="C53" s="612"/>
      <c r="D53" s="612"/>
      <c r="E53" s="612"/>
      <c r="F53" s="612"/>
      <c r="G53" s="612"/>
      <c r="H53" s="612"/>
      <c r="I53" s="61"/>
      <c r="J53" s="61"/>
      <c r="L53" s="61"/>
    </row>
    <row r="54" spans="1:19">
      <c r="A54" s="256"/>
      <c r="B54" s="112"/>
      <c r="C54" s="112"/>
      <c r="D54" s="112"/>
      <c r="E54" s="112"/>
      <c r="F54" s="112"/>
      <c r="G54" s="112"/>
      <c r="H54" s="257"/>
      <c r="I54" s="61"/>
      <c r="J54" s="61"/>
      <c r="L54" s="61"/>
    </row>
    <row r="55" spans="1:19" ht="46.5" customHeight="1">
      <c r="A55" s="614" t="s">
        <v>61</v>
      </c>
      <c r="B55" s="615" t="s">
        <v>427</v>
      </c>
      <c r="C55" s="615"/>
      <c r="D55" s="615"/>
      <c r="E55" s="615" t="s">
        <v>63</v>
      </c>
      <c r="F55" s="615"/>
      <c r="G55" s="615"/>
      <c r="H55" s="617" t="s">
        <v>428</v>
      </c>
      <c r="I55" s="61"/>
      <c r="J55" s="619" t="s">
        <v>429</v>
      </c>
      <c r="K55" s="619"/>
      <c r="L55" s="619"/>
      <c r="N55" s="561" t="s">
        <v>430</v>
      </c>
      <c r="O55" s="561"/>
      <c r="P55" s="561"/>
      <c r="Q55" s="561"/>
      <c r="R55" s="561"/>
      <c r="S55" s="561"/>
    </row>
    <row r="56" spans="1:19" ht="51">
      <c r="A56" s="614"/>
      <c r="B56" s="231" t="s">
        <v>66</v>
      </c>
      <c r="C56" s="233" t="s">
        <v>67</v>
      </c>
      <c r="D56" s="233" t="s">
        <v>446</v>
      </c>
      <c r="E56" s="233" t="s">
        <v>71</v>
      </c>
      <c r="F56" s="233" t="s">
        <v>447</v>
      </c>
      <c r="G56" s="233" t="s">
        <v>448</v>
      </c>
      <c r="H56" s="617"/>
      <c r="I56" s="61"/>
      <c r="J56" s="258" t="s">
        <v>432</v>
      </c>
      <c r="K56" s="259" t="s">
        <v>73</v>
      </c>
      <c r="L56" s="234" t="s">
        <v>433</v>
      </c>
      <c r="N56" s="236" t="s">
        <v>434</v>
      </c>
      <c r="O56" s="56" t="s">
        <v>333</v>
      </c>
      <c r="P56" s="56" t="s">
        <v>334</v>
      </c>
      <c r="Q56" s="56" t="s">
        <v>335</v>
      </c>
      <c r="R56" s="56" t="s">
        <v>336</v>
      </c>
      <c r="S56" s="56" t="s">
        <v>337</v>
      </c>
    </row>
    <row r="57" spans="1:19">
      <c r="A57" s="91">
        <v>1</v>
      </c>
      <c r="B57" s="243" t="s">
        <v>130</v>
      </c>
      <c r="C57" s="92" t="s">
        <v>76</v>
      </c>
      <c r="D57" s="260"/>
      <c r="E57" s="96">
        <f>'Ocorrências Mensais - FAT'!G77</f>
        <v>0.33333333333333331</v>
      </c>
      <c r="F57" s="237">
        <v>7.32</v>
      </c>
      <c r="G57" s="238">
        <f t="shared" ref="G57:G62" si="2">E57*F57</f>
        <v>2.44</v>
      </c>
      <c r="H57" s="261"/>
      <c r="I57" s="61"/>
      <c r="J57" s="95">
        <v>2</v>
      </c>
      <c r="K57" s="96" t="s">
        <v>443</v>
      </c>
      <c r="L57" s="37">
        <f t="shared" ref="L57:L62" si="3">IF(K57="Semestral",6,IF(K57="Mensal",1,IF(K57="Anual",12,IF(K57="Bienal",24,IF(K57="Trimestral",3,IF(K57="Bimestral",2,IF(K57="Quadrimestral",4)))))))</f>
        <v>6</v>
      </c>
      <c r="N57" s="237">
        <v>7.32</v>
      </c>
      <c r="O57" s="37">
        <f>ROUND(IF(Dados!$J$58="SIM",N57*Dados!$N$58,N57),2)</f>
        <v>7.32</v>
      </c>
      <c r="P57" s="37">
        <f>ROUND(IF(Dados!$J$59="SIM",O57*Dados!$N$59,O57),2)</f>
        <v>7.32</v>
      </c>
      <c r="Q57" s="37">
        <f>ROUND(IF(Dados!$J$60="SIM",P57*Dados!$N$60,P57),2)</f>
        <v>7.32</v>
      </c>
      <c r="R57" s="37">
        <f>ROUND(IF(Dados!$J$61="SIM",Q57*Dados!$N$61,Q57),2)</f>
        <v>7.32</v>
      </c>
      <c r="S57" s="37">
        <f>ROUND(IF(Dados!$J$62="SIM",R57*Dados!$N$62,R57),2)</f>
        <v>7.32</v>
      </c>
    </row>
    <row r="58" spans="1:19" ht="15" customHeight="1">
      <c r="A58" s="91">
        <v>2</v>
      </c>
      <c r="B58" s="248" t="s">
        <v>131</v>
      </c>
      <c r="C58" s="92" t="s">
        <v>76</v>
      </c>
      <c r="D58" s="260"/>
      <c r="E58" s="96">
        <f>'Ocorrências Mensais - FAT'!G78</f>
        <v>0.16666666666666666</v>
      </c>
      <c r="F58" s="237">
        <v>17.11</v>
      </c>
      <c r="G58" s="238">
        <f t="shared" si="2"/>
        <v>2.8516666666666666</v>
      </c>
      <c r="H58" s="261"/>
      <c r="I58" s="61"/>
      <c r="J58" s="95">
        <v>1</v>
      </c>
      <c r="K58" s="96" t="s">
        <v>443</v>
      </c>
      <c r="L58" s="37">
        <f t="shared" si="3"/>
        <v>6</v>
      </c>
      <c r="N58" s="237">
        <v>17.11</v>
      </c>
      <c r="O58" s="37">
        <f>ROUND(IF(Dados!$J$58="SIM",N58*Dados!$N$58,N58),2)</f>
        <v>17.11</v>
      </c>
      <c r="P58" s="37">
        <f>ROUND(IF(Dados!$J$59="SIM",O58*Dados!$N$59,O58),2)</f>
        <v>17.11</v>
      </c>
      <c r="Q58" s="37">
        <f>ROUND(IF(Dados!$J$60="SIM",P58*Dados!$N$60,P58),2)</f>
        <v>17.11</v>
      </c>
      <c r="R58" s="37">
        <f>ROUND(IF(Dados!$J$61="SIM",Q58*Dados!$N$61,Q58),2)</f>
        <v>17.11</v>
      </c>
      <c r="S58" s="37">
        <f>ROUND(IF(Dados!$J$62="SIM",R58*Dados!$N$62,R58),2)</f>
        <v>17.11</v>
      </c>
    </row>
    <row r="59" spans="1:19">
      <c r="A59" s="91">
        <v>3</v>
      </c>
      <c r="B59" s="243" t="s">
        <v>132</v>
      </c>
      <c r="C59" s="92" t="s">
        <v>98</v>
      </c>
      <c r="D59" s="260"/>
      <c r="E59" s="96">
        <f>'Ocorrências Mensais - FAT'!G79</f>
        <v>6</v>
      </c>
      <c r="F59" s="237">
        <v>2.5099999999999998</v>
      </c>
      <c r="G59" s="238">
        <f t="shared" si="2"/>
        <v>15.059999999999999</v>
      </c>
      <c r="H59" s="261"/>
      <c r="I59" s="61"/>
      <c r="J59" s="95">
        <v>6</v>
      </c>
      <c r="K59" s="96" t="s">
        <v>436</v>
      </c>
      <c r="L59" s="37">
        <f t="shared" si="3"/>
        <v>1</v>
      </c>
      <c r="N59" s="237">
        <v>2.5099999999999998</v>
      </c>
      <c r="O59" s="37">
        <f>ROUND(IF(Dados!$J$58="SIM",N59*Dados!$N$58,N59),2)</f>
        <v>2.5099999999999998</v>
      </c>
      <c r="P59" s="37">
        <f>ROUND(IF(Dados!$J$59="SIM",O59*Dados!$N$59,O59),2)</f>
        <v>2.5099999999999998</v>
      </c>
      <c r="Q59" s="37">
        <f>ROUND(IF(Dados!$J$60="SIM",P59*Dados!$N$60,P59),2)</f>
        <v>2.5099999999999998</v>
      </c>
      <c r="R59" s="37">
        <f>ROUND(IF(Dados!$J$61="SIM",Q59*Dados!$N$61,Q59),2)</f>
        <v>2.5099999999999998</v>
      </c>
      <c r="S59" s="37">
        <f>ROUND(IF(Dados!$J$62="SIM",R59*Dados!$N$62,R59),2)</f>
        <v>2.5099999999999998</v>
      </c>
    </row>
    <row r="60" spans="1:19">
      <c r="A60" s="91">
        <v>4</v>
      </c>
      <c r="B60" s="243" t="s">
        <v>133</v>
      </c>
      <c r="C60" s="92" t="s">
        <v>76</v>
      </c>
      <c r="D60" s="260"/>
      <c r="E60" s="96">
        <f>'Ocorrências Mensais - FAT'!G80</f>
        <v>8.3333333333333329E-2</v>
      </c>
      <c r="F60" s="237">
        <v>22.26</v>
      </c>
      <c r="G60" s="238">
        <f t="shared" si="2"/>
        <v>1.855</v>
      </c>
      <c r="H60" s="261"/>
      <c r="I60" s="61"/>
      <c r="J60" s="95">
        <v>1</v>
      </c>
      <c r="K60" s="96" t="s">
        <v>437</v>
      </c>
      <c r="L60" s="37">
        <f t="shared" si="3"/>
        <v>12</v>
      </c>
      <c r="N60" s="237">
        <v>22.26</v>
      </c>
      <c r="O60" s="37">
        <f>ROUND(IF(Dados!$J$58="SIM",N60*Dados!$N$58,N60),2)</f>
        <v>22.26</v>
      </c>
      <c r="P60" s="37">
        <f>ROUND(IF(Dados!$J$59="SIM",O60*Dados!$N$59,O60),2)</f>
        <v>22.26</v>
      </c>
      <c r="Q60" s="37">
        <f>ROUND(IF(Dados!$J$60="SIM",P60*Dados!$N$60,P60),2)</f>
        <v>22.26</v>
      </c>
      <c r="R60" s="37">
        <f>ROUND(IF(Dados!$J$61="SIM",Q60*Dados!$N$61,Q60),2)</f>
        <v>22.26</v>
      </c>
      <c r="S60" s="37">
        <f>ROUND(IF(Dados!$J$62="SIM",R60*Dados!$N$62,R60),2)</f>
        <v>22.26</v>
      </c>
    </row>
    <row r="61" spans="1:19">
      <c r="A61" s="91">
        <v>5</v>
      </c>
      <c r="B61" s="243" t="s">
        <v>134</v>
      </c>
      <c r="C61" s="92" t="s">
        <v>76</v>
      </c>
      <c r="D61" s="260"/>
      <c r="E61" s="96">
        <f>'Ocorrências Mensais - FAT'!G81</f>
        <v>0.66666666666666663</v>
      </c>
      <c r="F61" s="237">
        <v>4.33</v>
      </c>
      <c r="G61" s="238">
        <f t="shared" si="2"/>
        <v>2.8866666666666667</v>
      </c>
      <c r="H61" s="261"/>
      <c r="I61" s="61"/>
      <c r="J61" s="95">
        <v>2</v>
      </c>
      <c r="K61" s="96" t="s">
        <v>435</v>
      </c>
      <c r="L61" s="37">
        <f t="shared" si="3"/>
        <v>3</v>
      </c>
      <c r="N61" s="237">
        <v>4.33</v>
      </c>
      <c r="O61" s="37">
        <f>ROUND(IF(Dados!$J$58="SIM",N61*Dados!$N$58,N61),2)</f>
        <v>4.33</v>
      </c>
      <c r="P61" s="37">
        <f>ROUND(IF(Dados!$J$59="SIM",O61*Dados!$N$59,O61),2)</f>
        <v>4.33</v>
      </c>
      <c r="Q61" s="37">
        <f>ROUND(IF(Dados!$J$60="SIM",P61*Dados!$N$60,P61),2)</f>
        <v>4.33</v>
      </c>
      <c r="R61" s="37">
        <f>ROUND(IF(Dados!$J$61="SIM",Q61*Dados!$N$61,Q61),2)</f>
        <v>4.33</v>
      </c>
      <c r="S61" s="37">
        <f>ROUND(IF(Dados!$J$62="SIM",R61*Dados!$N$62,R61),2)</f>
        <v>4.33</v>
      </c>
    </row>
    <row r="62" spans="1:19">
      <c r="A62" s="91">
        <v>6</v>
      </c>
      <c r="B62" s="243" t="s">
        <v>135</v>
      </c>
      <c r="C62" s="92" t="s">
        <v>98</v>
      </c>
      <c r="D62" s="260"/>
      <c r="E62" s="96">
        <f>'Ocorrências Mensais - FAT'!G82</f>
        <v>8.3333333333333329E-2</v>
      </c>
      <c r="F62" s="237">
        <v>9.6999999999999993</v>
      </c>
      <c r="G62" s="238">
        <f t="shared" si="2"/>
        <v>0.80833333333333324</v>
      </c>
      <c r="H62" s="261"/>
      <c r="I62" s="61"/>
      <c r="J62" s="95">
        <v>1</v>
      </c>
      <c r="K62" s="96" t="s">
        <v>437</v>
      </c>
      <c r="L62" s="37">
        <f t="shared" si="3"/>
        <v>12</v>
      </c>
      <c r="N62" s="237">
        <v>9.6999999999999993</v>
      </c>
      <c r="O62" s="37">
        <f>ROUND(IF(Dados!$J$58="SIM",N62*Dados!$N$58,N62),2)</f>
        <v>9.6999999999999993</v>
      </c>
      <c r="P62" s="37">
        <f>ROUND(IF(Dados!$J$59="SIM",O62*Dados!$N$59,O62),2)</f>
        <v>9.6999999999999993</v>
      </c>
      <c r="Q62" s="37">
        <f>ROUND(IF(Dados!$J$60="SIM",P62*Dados!$N$60,P62),2)</f>
        <v>9.6999999999999993</v>
      </c>
      <c r="R62" s="37">
        <f>ROUND(IF(Dados!$J$61="SIM",Q62*Dados!$N$61,Q62),2)</f>
        <v>9.6999999999999993</v>
      </c>
      <c r="S62" s="37">
        <f>ROUND(IF(Dados!$J$62="SIM",R62*Dados!$N$62,R62),2)</f>
        <v>9.6999999999999993</v>
      </c>
    </row>
    <row r="63" spans="1:19" ht="15.75">
      <c r="A63" s="618" t="s">
        <v>124</v>
      </c>
      <c r="B63" s="618"/>
      <c r="C63" s="618"/>
      <c r="D63" s="618"/>
      <c r="E63" s="618"/>
      <c r="F63" s="618"/>
      <c r="G63" s="251">
        <f>SUM(G57:G62)</f>
        <v>25.901666666666667</v>
      </c>
      <c r="H63" s="252"/>
      <c r="I63" s="61"/>
      <c r="J63" s="61"/>
      <c r="L63" s="61"/>
    </row>
  </sheetData>
  <sheetProtection algorithmName="SHA-512" hashValue="tCMVZEvTYLPzcs1KxAzP1tMylvZUDlQHXtRQs7xq6X7Y3DeRSg5wB41j6DMIm8KssPILjecN2kD2gQr7xzo3Cw==" saltValue="UYkGuZT+Mq2EQ14BgPQ0HA==" spinCount="100000" sheet="1" objects="1" scenarios="1"/>
  <mergeCells count="17">
    <mergeCell ref="A63:F63"/>
    <mergeCell ref="J7:L7"/>
    <mergeCell ref="N7:S7"/>
    <mergeCell ref="A51:F51"/>
    <mergeCell ref="A53:H53"/>
    <mergeCell ref="A55:A56"/>
    <mergeCell ref="B55:D55"/>
    <mergeCell ref="E55:G55"/>
    <mergeCell ref="H55:H56"/>
    <mergeCell ref="J55:L55"/>
    <mergeCell ref="N55:S55"/>
    <mergeCell ref="A4:H4"/>
    <mergeCell ref="A5:H5"/>
    <mergeCell ref="A6:A8"/>
    <mergeCell ref="B6:D7"/>
    <mergeCell ref="E6:G7"/>
    <mergeCell ref="H6:H8"/>
  </mergeCells>
  <dataValidations count="1">
    <dataValidation type="list" allowBlank="1" showInputMessage="1" showErrorMessage="1" sqref="K9:K50 K57:K62" xr:uid="{00000000-0002-0000-0400-000000000000}">
      <formula1>"Mensal,Bimestral,Trimestral,Quadrimestral,Semestral,Anual,Bienal"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4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showGridLines="0" zoomScaleNormal="100" workbookViewId="0">
      <selection activeCell="D20" activeCellId="1" sqref="D9:D16 D20:D21"/>
    </sheetView>
  </sheetViews>
  <sheetFormatPr defaultColWidth="9" defaultRowHeight="15"/>
  <cols>
    <col min="1" max="1" width="5.5703125" style="61" customWidth="1"/>
    <col min="2" max="2" width="45.140625" style="61" customWidth="1"/>
    <col min="3" max="3" width="7.85546875" style="61" customWidth="1"/>
    <col min="4" max="7" width="13.7109375" style="61" customWidth="1"/>
    <col min="257" max="257" width="5.5703125" customWidth="1"/>
    <col min="258" max="258" width="45.140625" customWidth="1"/>
    <col min="259" max="259" width="6.28515625" customWidth="1"/>
    <col min="260" max="263" width="13.7109375" customWidth="1"/>
    <col min="513" max="513" width="5.5703125" customWidth="1"/>
    <col min="514" max="514" width="45.140625" customWidth="1"/>
    <col min="515" max="515" width="6.28515625" customWidth="1"/>
    <col min="516" max="519" width="13.7109375" customWidth="1"/>
    <col min="769" max="769" width="5.5703125" customWidth="1"/>
    <col min="770" max="770" width="45.140625" customWidth="1"/>
    <col min="771" max="771" width="6.28515625" customWidth="1"/>
    <col min="772" max="775" width="13.7109375" customWidth="1"/>
  </cols>
  <sheetData>
    <row r="1" spans="1:8" s="61" customFormat="1" ht="11.25" customHeight="1">
      <c r="A1" s="181"/>
      <c r="B1" s="108" t="str">
        <f>INSTRUÇÕES!B1</f>
        <v>Tribunal Regional Federal da 6ª Região</v>
      </c>
      <c r="C1" s="262"/>
      <c r="D1" s="263"/>
      <c r="E1" s="263"/>
      <c r="F1" s="263"/>
      <c r="G1" s="264"/>
    </row>
    <row r="2" spans="1:8" s="61" customFormat="1" ht="11.25" customHeight="1">
      <c r="A2" s="183"/>
      <c r="B2" s="110" t="str">
        <f>INSTRUÇÕES!B2</f>
        <v>Seção Judiciária de Minas Gerais</v>
      </c>
      <c r="C2" s="265"/>
      <c r="D2" s="266"/>
      <c r="E2" s="266"/>
      <c r="F2" s="266"/>
      <c r="G2" s="267"/>
    </row>
    <row r="3" spans="1:8" s="61" customFormat="1" ht="10.5" customHeight="1">
      <c r="A3" s="185"/>
      <c r="B3" s="110" t="str">
        <f>INSTRUÇÕES!B3</f>
        <v>Subseção Judiciária de Pouso Alegre</v>
      </c>
      <c r="C3" s="265"/>
      <c r="D3" s="266"/>
      <c r="E3" s="266"/>
      <c r="F3" s="266"/>
      <c r="G3" s="267"/>
    </row>
    <row r="4" spans="1:8" s="61" customFormat="1" ht="21.75" customHeight="1">
      <c r="A4" s="621" t="s">
        <v>449</v>
      </c>
      <c r="B4" s="621"/>
      <c r="C4" s="621"/>
      <c r="D4" s="621"/>
      <c r="E4" s="621"/>
      <c r="F4" s="621"/>
      <c r="G4" s="621"/>
    </row>
    <row r="5" spans="1:8" s="61" customFormat="1" ht="26.25" customHeight="1">
      <c r="A5" s="622" t="s">
        <v>426</v>
      </c>
      <c r="B5" s="622"/>
      <c r="C5" s="622"/>
      <c r="D5" s="622"/>
      <c r="E5" s="622"/>
      <c r="F5" s="622"/>
      <c r="G5" s="622"/>
    </row>
    <row r="6" spans="1:8" s="61" customFormat="1" ht="15.75">
      <c r="A6" s="268"/>
      <c r="B6" s="111"/>
      <c r="C6" s="111"/>
      <c r="D6" s="111" t="s">
        <v>450</v>
      </c>
      <c r="E6" s="111"/>
      <c r="G6" s="269">
        <v>0.1</v>
      </c>
    </row>
    <row r="7" spans="1:8" s="61" customFormat="1" ht="25.5">
      <c r="A7" s="270" t="s">
        <v>451</v>
      </c>
      <c r="B7" s="231" t="s">
        <v>452</v>
      </c>
      <c r="C7" s="231" t="s">
        <v>453</v>
      </c>
      <c r="D7" s="271" t="s">
        <v>454</v>
      </c>
      <c r="E7" s="271" t="s">
        <v>455</v>
      </c>
      <c r="F7" s="271" t="s">
        <v>456</v>
      </c>
      <c r="G7" s="272" t="s">
        <v>457</v>
      </c>
    </row>
    <row r="8" spans="1:8" s="61" customFormat="1" ht="12.75">
      <c r="A8" s="623" t="s">
        <v>458</v>
      </c>
      <c r="B8" s="623"/>
      <c r="C8" s="623"/>
      <c r="D8" s="623"/>
      <c r="E8" s="623"/>
      <c r="F8" s="623"/>
      <c r="G8" s="623"/>
    </row>
    <row r="9" spans="1:8" s="61" customFormat="1" ht="30">
      <c r="A9" s="273">
        <v>1</v>
      </c>
      <c r="B9" s="274" t="s">
        <v>459</v>
      </c>
      <c r="C9" s="275">
        <v>1</v>
      </c>
      <c r="D9" s="276">
        <v>534.5</v>
      </c>
      <c r="E9" s="277">
        <f t="shared" ref="E9:E16" si="0">ROUND((D9*C9),2)</f>
        <v>534.5</v>
      </c>
      <c r="F9" s="277">
        <f t="shared" ref="F9:F16" si="1">ROUND(E9*$G$6,2)</f>
        <v>53.45</v>
      </c>
      <c r="G9" s="278">
        <f t="shared" ref="G9:G16" si="2">ROUND(F9/12,2)</f>
        <v>4.45</v>
      </c>
    </row>
    <row r="10" spans="1:8" s="61" customFormat="1">
      <c r="A10" s="273">
        <v>2</v>
      </c>
      <c r="B10" s="274" t="s">
        <v>460</v>
      </c>
      <c r="C10" s="275">
        <v>3</v>
      </c>
      <c r="D10" s="276">
        <v>121.5</v>
      </c>
      <c r="E10" s="277">
        <f t="shared" si="0"/>
        <v>364.5</v>
      </c>
      <c r="F10" s="277">
        <f t="shared" si="1"/>
        <v>36.450000000000003</v>
      </c>
      <c r="G10" s="278">
        <f t="shared" si="2"/>
        <v>3.04</v>
      </c>
    </row>
    <row r="11" spans="1:8" s="61" customFormat="1">
      <c r="A11" s="273">
        <v>3</v>
      </c>
      <c r="B11" s="274" t="s">
        <v>461</v>
      </c>
      <c r="C11" s="275">
        <v>1</v>
      </c>
      <c r="D11" s="276">
        <v>190</v>
      </c>
      <c r="E11" s="277">
        <f t="shared" si="0"/>
        <v>190</v>
      </c>
      <c r="F11" s="277">
        <f t="shared" si="1"/>
        <v>19</v>
      </c>
      <c r="G11" s="278">
        <f t="shared" si="2"/>
        <v>1.58</v>
      </c>
    </row>
    <row r="12" spans="1:8" s="61" customFormat="1" ht="30">
      <c r="A12" s="273">
        <v>4</v>
      </c>
      <c r="B12" s="136" t="s">
        <v>462</v>
      </c>
      <c r="C12" s="275">
        <v>1</v>
      </c>
      <c r="D12" s="276">
        <v>76.45</v>
      </c>
      <c r="E12" s="277">
        <f t="shared" si="0"/>
        <v>76.45</v>
      </c>
      <c r="F12" s="277">
        <f t="shared" si="1"/>
        <v>7.65</v>
      </c>
      <c r="G12" s="278">
        <f t="shared" si="2"/>
        <v>0.64</v>
      </c>
    </row>
    <row r="13" spans="1:8" s="61" customFormat="1" ht="12.75">
      <c r="A13" s="273">
        <v>5</v>
      </c>
      <c r="B13" s="279" t="s">
        <v>463</v>
      </c>
      <c r="C13" s="280">
        <v>1</v>
      </c>
      <c r="D13" s="281">
        <v>156</v>
      </c>
      <c r="E13" s="277">
        <f t="shared" si="0"/>
        <v>156</v>
      </c>
      <c r="F13" s="277">
        <f t="shared" si="1"/>
        <v>15.6</v>
      </c>
      <c r="G13" s="278">
        <f t="shared" si="2"/>
        <v>1.3</v>
      </c>
      <c r="H13" s="227"/>
    </row>
    <row r="14" spans="1:8" s="61" customFormat="1" ht="30">
      <c r="A14" s="273">
        <v>6</v>
      </c>
      <c r="B14" s="274" t="s">
        <v>464</v>
      </c>
      <c r="C14" s="275">
        <v>1</v>
      </c>
      <c r="D14" s="276">
        <v>1672.51</v>
      </c>
      <c r="E14" s="277">
        <f t="shared" si="0"/>
        <v>1672.51</v>
      </c>
      <c r="F14" s="277">
        <f t="shared" si="1"/>
        <v>167.25</v>
      </c>
      <c r="G14" s="278">
        <f t="shared" si="2"/>
        <v>13.94</v>
      </c>
    </row>
    <row r="15" spans="1:8" s="61" customFormat="1">
      <c r="A15" s="273">
        <v>7</v>
      </c>
      <c r="B15" s="274" t="s">
        <v>465</v>
      </c>
      <c r="C15" s="275">
        <v>2</v>
      </c>
      <c r="D15" s="276">
        <v>10</v>
      </c>
      <c r="E15" s="277">
        <f t="shared" si="0"/>
        <v>20</v>
      </c>
      <c r="F15" s="277">
        <f t="shared" si="1"/>
        <v>2</v>
      </c>
      <c r="G15" s="278">
        <f t="shared" si="2"/>
        <v>0.17</v>
      </c>
    </row>
    <row r="16" spans="1:8" s="61" customFormat="1" ht="25.5">
      <c r="A16" s="282">
        <v>8</v>
      </c>
      <c r="B16" s="283" t="s">
        <v>466</v>
      </c>
      <c r="C16" s="280">
        <v>1</v>
      </c>
      <c r="D16" s="281">
        <v>27.08</v>
      </c>
      <c r="E16" s="277">
        <f t="shared" si="0"/>
        <v>27.08</v>
      </c>
      <c r="F16" s="277">
        <f t="shared" si="1"/>
        <v>2.71</v>
      </c>
      <c r="G16" s="278">
        <f t="shared" si="2"/>
        <v>0.23</v>
      </c>
    </row>
    <row r="17" spans="1:8" s="61" customFormat="1" ht="15" customHeight="1">
      <c r="A17" s="624" t="s">
        <v>467</v>
      </c>
      <c r="B17" s="624"/>
      <c r="C17" s="624"/>
      <c r="D17" s="624"/>
      <c r="E17" s="624"/>
      <c r="F17" s="624"/>
      <c r="G17" s="284">
        <f>SUM(G9:G16)</f>
        <v>25.350000000000005</v>
      </c>
    </row>
    <row r="18" spans="1:8" s="61" customFormat="1" ht="15" customHeight="1">
      <c r="A18" s="285"/>
      <c r="B18" s="286"/>
      <c r="C18" s="286"/>
      <c r="D18" s="286"/>
      <c r="E18" s="286"/>
      <c r="F18" s="286"/>
      <c r="G18" s="287"/>
    </row>
    <row r="19" spans="1:8" s="61" customFormat="1" ht="15" customHeight="1">
      <c r="A19" s="625" t="s">
        <v>468</v>
      </c>
      <c r="B19" s="625"/>
      <c r="C19" s="625"/>
      <c r="D19" s="625"/>
      <c r="E19" s="625"/>
      <c r="F19" s="625"/>
      <c r="G19" s="625"/>
    </row>
    <row r="20" spans="1:8" s="61" customFormat="1">
      <c r="A20" s="273">
        <v>1</v>
      </c>
      <c r="B20" s="274" t="s">
        <v>461</v>
      </c>
      <c r="C20" s="275">
        <v>1</v>
      </c>
      <c r="D20" s="276">
        <v>190</v>
      </c>
      <c r="E20" s="277">
        <f>ROUND((D20*C20),2)</f>
        <v>190</v>
      </c>
      <c r="F20" s="277">
        <f>ROUND(E20*$G$6,2)</f>
        <v>19</v>
      </c>
      <c r="G20" s="278">
        <f>ROUND(F20/12,2)</f>
        <v>1.58</v>
      </c>
    </row>
    <row r="21" spans="1:8" s="61" customFormat="1">
      <c r="A21" s="273">
        <v>2</v>
      </c>
      <c r="B21" s="274" t="s">
        <v>469</v>
      </c>
      <c r="C21" s="275">
        <v>1</v>
      </c>
      <c r="D21" s="276">
        <v>424.42</v>
      </c>
      <c r="E21" s="277">
        <f>ROUND((D21*C21),2)</f>
        <v>424.42</v>
      </c>
      <c r="F21" s="277">
        <f>ROUND(E21*$G$6,2)</f>
        <v>42.44</v>
      </c>
      <c r="G21" s="278">
        <f>ROUND(F21/12,2)</f>
        <v>3.54</v>
      </c>
    </row>
    <row r="22" spans="1:8" s="61" customFormat="1" ht="15.75" customHeight="1">
      <c r="A22" s="620" t="s">
        <v>470</v>
      </c>
      <c r="B22" s="620"/>
      <c r="C22" s="620"/>
      <c r="D22" s="620"/>
      <c r="E22" s="620"/>
      <c r="F22" s="620"/>
      <c r="G22" s="288">
        <f>SUM(G20:G21)</f>
        <v>5.12</v>
      </c>
      <c r="H22" s="227"/>
    </row>
  </sheetData>
  <sheetProtection algorithmName="SHA-512" hashValue="muUtmbuKxD/3b3L5FRdgkdg8JJUor05jV6HRi9Aj4Eu1Mythg/N+8fS11F6QIOvyvZ6+6AN5/lvHIkiv1kw4VA==" saltValue="65nPAzLfuDJfkccwJprJLw==" spinCount="100000" sheet="1" objects="1" scenarios="1"/>
  <mergeCells count="6">
    <mergeCell ref="A22:F22"/>
    <mergeCell ref="A4:G4"/>
    <mergeCell ref="A5:G5"/>
    <mergeCell ref="A8:G8"/>
    <mergeCell ref="A17:F17"/>
    <mergeCell ref="A19:G19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2"/>
  <sheetViews>
    <sheetView showGridLines="0" zoomScale="80" zoomScaleNormal="80" workbookViewId="0">
      <selection activeCell="A25" sqref="A25"/>
    </sheetView>
  </sheetViews>
  <sheetFormatPr defaultColWidth="9" defaultRowHeight="15"/>
  <cols>
    <col min="1" max="1" width="14.42578125" style="3" customWidth="1"/>
    <col min="2" max="2" width="7.7109375" style="2" customWidth="1"/>
    <col min="3" max="3" width="6.140625" style="289" customWidth="1"/>
    <col min="4" max="4" width="56.140625" style="1" customWidth="1"/>
    <col min="5" max="5" width="14.28515625" style="1" customWidth="1"/>
    <col min="6" max="6" width="12.42578125" style="289" customWidth="1"/>
    <col min="7" max="7" width="12.42578125" style="290" customWidth="1"/>
    <col min="8" max="8" width="10.85546875" style="291" customWidth="1"/>
    <col min="11" max="11" width="11.5703125" hidden="1" customWidth="1"/>
    <col min="12" max="12" width="16.42578125" style="292" hidden="1" customWidth="1"/>
    <col min="13" max="17" width="11.28515625" style="292" hidden="1" customWidth="1"/>
    <col min="18" max="18" width="11.5703125" hidden="1" customWidth="1"/>
    <col min="257" max="257" width="13.28515625" customWidth="1"/>
    <col min="258" max="258" width="7.7109375" customWidth="1"/>
    <col min="259" max="259" width="6.140625" customWidth="1"/>
    <col min="260" max="260" width="56.140625" customWidth="1"/>
    <col min="261" max="261" width="9.28515625" customWidth="1"/>
    <col min="262" max="263" width="12.42578125" customWidth="1"/>
    <col min="264" max="264" width="10.85546875" customWidth="1"/>
    <col min="268" max="268" width="11.42578125" customWidth="1"/>
    <col min="269" max="273" width="11.28515625" customWidth="1"/>
    <col min="513" max="513" width="13.28515625" customWidth="1"/>
    <col min="514" max="514" width="7.7109375" customWidth="1"/>
    <col min="515" max="515" width="6.140625" customWidth="1"/>
    <col min="516" max="516" width="56.140625" customWidth="1"/>
    <col min="517" max="517" width="9.28515625" customWidth="1"/>
    <col min="518" max="519" width="12.42578125" customWidth="1"/>
    <col min="520" max="520" width="10.85546875" customWidth="1"/>
    <col min="524" max="524" width="11.42578125" customWidth="1"/>
    <col min="525" max="529" width="11.28515625" customWidth="1"/>
    <col min="769" max="769" width="13.28515625" customWidth="1"/>
    <col min="770" max="770" width="7.7109375" customWidth="1"/>
    <col min="771" max="771" width="6.140625" customWidth="1"/>
    <col min="772" max="772" width="56.140625" customWidth="1"/>
    <col min="773" max="773" width="9.28515625" customWidth="1"/>
    <col min="774" max="775" width="12.42578125" customWidth="1"/>
    <col min="776" max="776" width="10.85546875" customWidth="1"/>
    <col min="780" max="780" width="11.42578125" customWidth="1"/>
    <col min="781" max="785" width="11.28515625" customWidth="1"/>
  </cols>
  <sheetData>
    <row r="1" spans="1:18" s="1" customFormat="1" ht="12.75" customHeight="1">
      <c r="A1" s="293"/>
      <c r="B1" s="294" t="str">
        <f>INSTRUÇÕES!B1</f>
        <v>Tribunal Regional Federal da 6ª Região</v>
      </c>
      <c r="C1" s="295"/>
      <c r="D1" s="296"/>
      <c r="E1" s="297"/>
      <c r="F1" s="298"/>
      <c r="G1" s="299"/>
      <c r="H1" s="300"/>
      <c r="L1" s="626" t="s">
        <v>430</v>
      </c>
      <c r="M1" s="626"/>
      <c r="N1" s="626"/>
      <c r="O1" s="626"/>
      <c r="P1" s="626"/>
      <c r="Q1" s="626"/>
    </row>
    <row r="2" spans="1:18" s="1" customFormat="1" ht="12.75" customHeight="1">
      <c r="A2" s="301"/>
      <c r="B2" s="302" t="str">
        <f>INSTRUÇÕES!B2</f>
        <v>Seção Judiciária de Minas Gerais</v>
      </c>
      <c r="C2" s="303"/>
      <c r="D2" s="304"/>
      <c r="F2" s="289"/>
      <c r="G2" s="290"/>
      <c r="H2" s="305"/>
      <c r="L2" s="626"/>
      <c r="M2" s="626"/>
      <c r="N2" s="626"/>
      <c r="O2" s="626"/>
      <c r="P2" s="626"/>
      <c r="Q2" s="626"/>
    </row>
    <row r="3" spans="1:18" s="128" customFormat="1">
      <c r="A3" s="301"/>
      <c r="B3" s="306" t="str">
        <f>INSTRUÇÕES!B3</f>
        <v>Subseção Judiciária de Pouso Alegre</v>
      </c>
      <c r="C3" s="307"/>
      <c r="D3" s="308"/>
      <c r="F3" s="309"/>
      <c r="G3" s="174"/>
      <c r="H3" s="310"/>
      <c r="L3" s="626"/>
      <c r="M3" s="626"/>
      <c r="N3" s="626"/>
      <c r="O3" s="626"/>
      <c r="P3" s="626"/>
      <c r="Q3" s="626"/>
    </row>
    <row r="4" spans="1:18" s="266" customFormat="1" ht="15.75">
      <c r="A4" s="627" t="s">
        <v>471</v>
      </c>
      <c r="B4" s="627"/>
      <c r="C4" s="627"/>
      <c r="D4" s="627"/>
      <c r="E4" s="627"/>
      <c r="F4" s="627"/>
      <c r="G4" s="627"/>
      <c r="H4" s="627"/>
      <c r="L4" s="626"/>
      <c r="M4" s="626"/>
      <c r="N4" s="626"/>
      <c r="O4" s="626"/>
      <c r="P4" s="626"/>
      <c r="Q4" s="626"/>
    </row>
    <row r="5" spans="1:18" s="1" customFormat="1" ht="27" customHeight="1">
      <c r="A5" s="628" t="s">
        <v>426</v>
      </c>
      <c r="B5" s="628"/>
      <c r="C5" s="628"/>
      <c r="D5" s="628"/>
      <c r="E5" s="628"/>
      <c r="F5" s="628"/>
      <c r="G5" s="628"/>
      <c r="H5" s="628"/>
      <c r="L5" s="629" t="s">
        <v>434</v>
      </c>
      <c r="M5" s="561" t="s">
        <v>333</v>
      </c>
      <c r="N5" s="561" t="s">
        <v>334</v>
      </c>
      <c r="O5" s="561" t="s">
        <v>335</v>
      </c>
      <c r="P5" s="561" t="s">
        <v>336</v>
      </c>
      <c r="Q5" s="561" t="s">
        <v>337</v>
      </c>
    </row>
    <row r="6" spans="1:18" s="1" customFormat="1" ht="15.75" customHeight="1">
      <c r="A6" s="630" t="s">
        <v>472</v>
      </c>
      <c r="B6" s="630"/>
      <c r="C6" s="630"/>
      <c r="D6" s="630"/>
      <c r="E6" s="630"/>
      <c r="F6" s="630"/>
      <c r="G6" s="630"/>
      <c r="H6" s="630"/>
      <c r="J6" s="128"/>
      <c r="L6" s="629"/>
      <c r="M6" s="561"/>
      <c r="N6" s="561"/>
      <c r="O6" s="561"/>
      <c r="P6" s="561"/>
      <c r="Q6" s="561"/>
    </row>
    <row r="7" spans="1:18" s="1" customFormat="1" ht="15.75" customHeight="1">
      <c r="A7" s="311"/>
      <c r="B7" s="312"/>
      <c r="C7" s="313"/>
      <c r="D7" s="312"/>
      <c r="E7" s="312"/>
      <c r="F7" s="313"/>
      <c r="G7" s="314"/>
      <c r="H7" s="315"/>
      <c r="J7" s="128"/>
      <c r="L7" s="629"/>
      <c r="M7" s="561"/>
      <c r="N7" s="561"/>
      <c r="O7" s="561"/>
      <c r="P7" s="561"/>
      <c r="Q7" s="561"/>
    </row>
    <row r="8" spans="1:18" s="1" customFormat="1" ht="25.5">
      <c r="A8" s="316" t="s">
        <v>473</v>
      </c>
      <c r="B8" s="317" t="s">
        <v>312</v>
      </c>
      <c r="C8" s="318" t="s">
        <v>474</v>
      </c>
      <c r="D8" s="319" t="s">
        <v>475</v>
      </c>
      <c r="E8" s="319" t="s">
        <v>476</v>
      </c>
      <c r="F8" s="320" t="s">
        <v>477</v>
      </c>
      <c r="G8" s="321" t="s">
        <v>447</v>
      </c>
      <c r="H8" s="322" t="s">
        <v>248</v>
      </c>
      <c r="J8" s="128"/>
      <c r="K8" s="128"/>
      <c r="L8" s="629"/>
      <c r="M8" s="561"/>
      <c r="N8" s="561"/>
      <c r="O8" s="561"/>
      <c r="P8" s="561"/>
      <c r="Q8" s="561"/>
      <c r="R8" s="175" t="s">
        <v>478</v>
      </c>
    </row>
    <row r="9" spans="1:18" s="128" customFormat="1" ht="25.5" customHeight="1">
      <c r="A9" s="631" t="s">
        <v>242</v>
      </c>
      <c r="B9" s="324" t="s">
        <v>479</v>
      </c>
      <c r="C9" s="325">
        <v>2</v>
      </c>
      <c r="D9" s="326" t="s">
        <v>480</v>
      </c>
      <c r="E9" s="327" t="s">
        <v>481</v>
      </c>
      <c r="F9" s="328">
        <f t="shared" ref="F9:F14" si="0">C9*$A$14</f>
        <v>4</v>
      </c>
      <c r="G9" s="329">
        <v>59.07</v>
      </c>
      <c r="H9" s="278">
        <f t="shared" ref="H9:H14" si="1">ROUND(F9*G9,2)</f>
        <v>236.28</v>
      </c>
      <c r="L9" s="330">
        <v>61.59</v>
      </c>
      <c r="M9" s="37">
        <f>ROUND(IF(Dados!$I$62="SIM",L9*Dados!$N$62,L9),2)</f>
        <v>61.59</v>
      </c>
      <c r="N9" s="37">
        <f>ROUND(IF(Dados!$I$63="SIM",M9*Dados!$N$63,M9),2)</f>
        <v>61.59</v>
      </c>
      <c r="O9" s="37">
        <f>ROUND(IF(Dados!$I$64="SIM",N9*Dados!$N$64,N9),2)</f>
        <v>61.59</v>
      </c>
      <c r="P9" s="37">
        <f>ROUND(IF(Dados!$I$65="SIM",O9*Dados!$N$65,O9),2)</f>
        <v>61.59</v>
      </c>
      <c r="Q9" s="37">
        <f>ROUND(IF(Dados!$I$66="SIM",P9*Dados!$N$66,P9),2)</f>
        <v>61.59</v>
      </c>
      <c r="R9" s="3">
        <f>IF(Dados!$D$69="INICIAL",L9,IF(Dados!$D$69="1º IPCA",M9,IF(Dados!$D$69="2º IPCA",N9,IF(Dados!$D$69="3º IPCA",O9,IF(Dados!$D$69="4º IPCA",P9,IF(Dados!$D$69="5º IPCA",Q9,))))))</f>
        <v>61.59</v>
      </c>
    </row>
    <row r="10" spans="1:18" s="128" customFormat="1" ht="25.5">
      <c r="A10" s="631"/>
      <c r="B10" s="324" t="s">
        <v>482</v>
      </c>
      <c r="C10" s="325">
        <v>1</v>
      </c>
      <c r="D10" s="326" t="s">
        <v>483</v>
      </c>
      <c r="E10" s="331" t="s">
        <v>481</v>
      </c>
      <c r="F10" s="328">
        <f t="shared" si="0"/>
        <v>2</v>
      </c>
      <c r="G10" s="329">
        <v>67</v>
      </c>
      <c r="H10" s="278">
        <f t="shared" si="1"/>
        <v>134</v>
      </c>
      <c r="L10" s="330">
        <v>95.82</v>
      </c>
      <c r="M10" s="37">
        <f>ROUND(IF(Dados!$I$62="SIM",L10*Dados!$N$62,L10),2)</f>
        <v>95.82</v>
      </c>
      <c r="N10" s="37">
        <f>ROUND(IF(Dados!$I$63="SIM",M10*Dados!$N$63,M10),2)</f>
        <v>95.82</v>
      </c>
      <c r="O10" s="37">
        <f>ROUND(IF(Dados!$I$64="SIM",N10*Dados!$N$64,N10),2)</f>
        <v>95.82</v>
      </c>
      <c r="P10" s="37">
        <f>ROUND(IF(Dados!$I$65="SIM",O10*Dados!$N$65,O10),2)</f>
        <v>95.82</v>
      </c>
      <c r="Q10" s="37">
        <f>ROUND(IF(Dados!$I$66="SIM",P10*Dados!$N$66,P10),2)</f>
        <v>95.82</v>
      </c>
      <c r="R10" s="3">
        <f>IF(Dados!$D$69="INICIAL",L10,IF(Dados!$D$69="1º IPCA",M10,IF(Dados!$D$69="2º IPCA",N10,IF(Dados!$D$69="3º IPCA",O10,IF(Dados!$D$69="4º IPCA",P10,IF(Dados!$D$69="5º IPCA",Q10,))))))</f>
        <v>95.82</v>
      </c>
    </row>
    <row r="11" spans="1:18" s="128" customFormat="1">
      <c r="A11" s="631"/>
      <c r="B11" s="324" t="s">
        <v>484</v>
      </c>
      <c r="C11" s="325">
        <v>3</v>
      </c>
      <c r="D11" s="326" t="s">
        <v>485</v>
      </c>
      <c r="E11" s="327" t="s">
        <v>486</v>
      </c>
      <c r="F11" s="328">
        <f t="shared" si="0"/>
        <v>6</v>
      </c>
      <c r="G11" s="329">
        <v>31.42</v>
      </c>
      <c r="H11" s="278">
        <f t="shared" si="1"/>
        <v>188.52</v>
      </c>
      <c r="L11" s="330"/>
      <c r="M11" s="37"/>
      <c r="N11" s="37"/>
      <c r="O11" s="37"/>
      <c r="P11" s="37"/>
      <c r="Q11" s="37"/>
      <c r="R11" s="3"/>
    </row>
    <row r="12" spans="1:18" s="128" customFormat="1" ht="25.5">
      <c r="A12" s="631"/>
      <c r="B12" s="332" t="s">
        <v>487</v>
      </c>
      <c r="C12" s="325">
        <v>1</v>
      </c>
      <c r="D12" s="326" t="s">
        <v>488</v>
      </c>
      <c r="E12" s="327" t="s">
        <v>489</v>
      </c>
      <c r="F12" s="328">
        <f t="shared" si="0"/>
        <v>2</v>
      </c>
      <c r="G12" s="329">
        <v>142.63</v>
      </c>
      <c r="H12" s="278">
        <f t="shared" si="1"/>
        <v>285.26</v>
      </c>
      <c r="L12" s="330"/>
      <c r="M12" s="37"/>
      <c r="N12" s="37"/>
      <c r="O12" s="37"/>
      <c r="P12" s="37"/>
      <c r="Q12" s="37"/>
      <c r="R12" s="3"/>
    </row>
    <row r="13" spans="1:18" s="128" customFormat="1" ht="25.5">
      <c r="A13" s="323" t="s">
        <v>490</v>
      </c>
      <c r="B13" s="324" t="s">
        <v>491</v>
      </c>
      <c r="C13" s="325">
        <v>1</v>
      </c>
      <c r="D13" s="333" t="s">
        <v>492</v>
      </c>
      <c r="E13" s="327" t="s">
        <v>493</v>
      </c>
      <c r="F13" s="328">
        <f t="shared" si="0"/>
        <v>2</v>
      </c>
      <c r="G13" s="329">
        <v>42.77</v>
      </c>
      <c r="H13" s="278">
        <f t="shared" si="1"/>
        <v>85.54</v>
      </c>
      <c r="L13" s="330">
        <v>50.53</v>
      </c>
      <c r="M13" s="37">
        <f>ROUND(IF(Dados!$I$62="SIM",L13*Dados!$N$62,L13),2)</f>
        <v>50.53</v>
      </c>
      <c r="N13" s="37">
        <f>ROUND(IF(Dados!$I$63="SIM",M13*Dados!$N$63,M13),2)</f>
        <v>50.53</v>
      </c>
      <c r="O13" s="37">
        <f>ROUND(IF(Dados!$I$64="SIM",N13*Dados!$N$64,N13),2)</f>
        <v>50.53</v>
      </c>
      <c r="P13" s="37">
        <f>ROUND(IF(Dados!$I$65="SIM",O13*Dados!$N$65,O13),2)</f>
        <v>50.53</v>
      </c>
      <c r="Q13" s="37">
        <f>ROUND(IF(Dados!$I$66="SIM",P13*Dados!$N$66,P13),2)</f>
        <v>50.53</v>
      </c>
      <c r="R13" s="3">
        <f>IF(Dados!$D$69="INICIAL",L13,IF(Dados!$D$69="1º IPCA",M13,IF(Dados!$D$69="2º IPCA",N13,IF(Dados!$D$69="3º IPCA",O13,IF(Dados!$D$69="4º IPCA",P13,IF(Dados!$D$69="5º IPCA",Q13,))))))</f>
        <v>50.53</v>
      </c>
    </row>
    <row r="14" spans="1:18" s="128" customFormat="1" ht="25.5">
      <c r="A14" s="334">
        <f>Dados!B8+Dados!B9</f>
        <v>2</v>
      </c>
      <c r="B14" s="324" t="s">
        <v>494</v>
      </c>
      <c r="C14" s="335">
        <v>1</v>
      </c>
      <c r="D14" s="336" t="s">
        <v>495</v>
      </c>
      <c r="E14" s="327" t="s">
        <v>493</v>
      </c>
      <c r="F14" s="328">
        <f t="shared" si="0"/>
        <v>2</v>
      </c>
      <c r="G14" s="329">
        <v>64.08</v>
      </c>
      <c r="H14" s="278">
        <f t="shared" si="1"/>
        <v>128.16</v>
      </c>
      <c r="L14" s="330">
        <v>50.85</v>
      </c>
      <c r="M14" s="37">
        <f>ROUND(IF(Dados!$I$62="SIM",L14*Dados!$N$62,L14),2)</f>
        <v>50.85</v>
      </c>
      <c r="N14" s="37">
        <f>ROUND(IF(Dados!$I$63="SIM",M14*Dados!$N$63,M14),2)</f>
        <v>50.85</v>
      </c>
      <c r="O14" s="37">
        <f>ROUND(IF(Dados!$I$64="SIM",N14*Dados!$N$64,N14),2)</f>
        <v>50.85</v>
      </c>
      <c r="P14" s="37">
        <f>ROUND(IF(Dados!$I$65="SIM",O14*Dados!$N$65,O14),2)</f>
        <v>50.85</v>
      </c>
      <c r="Q14" s="37">
        <f>ROUND(IF(Dados!$I$66="SIM",P14*Dados!$N$66,P14),2)</f>
        <v>50.85</v>
      </c>
      <c r="R14" s="3">
        <f>IF(Dados!$D$69="INICIAL",L14,IF(Dados!$D$69="1º IPCA",M14,IF(Dados!$D$69="2º IPCA",N14,IF(Dados!$D$69="3º IPCA",O14,IF(Dados!$D$69="4º IPCA",P14,IF(Dados!$D$69="5º IPCA",Q14,))))))</f>
        <v>50.85</v>
      </c>
    </row>
    <row r="15" spans="1:18" s="128" customFormat="1">
      <c r="A15" s="632" t="s">
        <v>496</v>
      </c>
      <c r="B15" s="632"/>
      <c r="C15" s="632"/>
      <c r="D15" s="632"/>
      <c r="E15" s="632"/>
      <c r="F15" s="632"/>
      <c r="G15" s="632"/>
      <c r="H15" s="337">
        <f>SUM(H9:H14)</f>
        <v>1057.76</v>
      </c>
      <c r="L15" s="3"/>
      <c r="M15" s="3"/>
      <c r="N15" s="3"/>
      <c r="O15" s="3"/>
      <c r="P15" s="3"/>
      <c r="Q15" s="3"/>
    </row>
    <row r="16" spans="1:18" s="128" customFormat="1" ht="15.75">
      <c r="A16" s="633" t="s">
        <v>497</v>
      </c>
      <c r="B16" s="633"/>
      <c r="C16" s="633"/>
      <c r="D16" s="633"/>
      <c r="E16" s="633"/>
      <c r="F16" s="633"/>
      <c r="G16" s="338"/>
      <c r="H16" s="339">
        <f>ROUND(H15/$A$14/12,2)</f>
        <v>44.07</v>
      </c>
      <c r="L16" s="3"/>
      <c r="M16" s="3"/>
      <c r="N16" s="3"/>
      <c r="O16" s="3"/>
      <c r="P16" s="3"/>
      <c r="Q16" s="3"/>
    </row>
    <row r="17" spans="1:18" s="128" customFormat="1">
      <c r="A17" s="340"/>
      <c r="B17" s="54"/>
      <c r="C17" s="341"/>
      <c r="D17" s="342"/>
      <c r="E17" s="342"/>
      <c r="F17" s="341"/>
      <c r="G17" s="343"/>
      <c r="H17" s="344"/>
      <c r="L17" s="3"/>
      <c r="M17" s="3"/>
      <c r="N17" s="3"/>
      <c r="O17" s="3"/>
      <c r="P17" s="3"/>
      <c r="Q17" s="3"/>
    </row>
    <row r="18" spans="1:18" s="128" customFormat="1" ht="63.75">
      <c r="A18" s="316" t="s">
        <v>473</v>
      </c>
      <c r="B18" s="317" t="s">
        <v>312</v>
      </c>
      <c r="C18" s="318" t="s">
        <v>474</v>
      </c>
      <c r="D18" s="345" t="s">
        <v>475</v>
      </c>
      <c r="E18" s="345" t="s">
        <v>476</v>
      </c>
      <c r="F18" s="320" t="s">
        <v>477</v>
      </c>
      <c r="G18" s="321" t="s">
        <v>447</v>
      </c>
      <c r="H18" s="322" t="s">
        <v>248</v>
      </c>
      <c r="L18" s="346" t="s">
        <v>434</v>
      </c>
      <c r="M18" s="347" t="s">
        <v>333</v>
      </c>
      <c r="N18" s="347" t="s">
        <v>334</v>
      </c>
      <c r="O18" s="347" t="s">
        <v>335</v>
      </c>
      <c r="P18" s="347" t="s">
        <v>336</v>
      </c>
      <c r="Q18" s="347" t="s">
        <v>337</v>
      </c>
    </row>
    <row r="19" spans="1:18" s="128" customFormat="1" ht="30" customHeight="1">
      <c r="A19" s="631" t="s">
        <v>241</v>
      </c>
      <c r="B19" s="324" t="s">
        <v>479</v>
      </c>
      <c r="C19" s="348">
        <v>2</v>
      </c>
      <c r="D19" s="326" t="s">
        <v>498</v>
      </c>
      <c r="E19" s="327" t="s">
        <v>489</v>
      </c>
      <c r="F19" s="349">
        <f>C19*$A$22</f>
        <v>6</v>
      </c>
      <c r="G19" s="350">
        <v>78.66</v>
      </c>
      <c r="H19" s="278">
        <f>ROUND(F19*G19,2)</f>
        <v>471.96</v>
      </c>
      <c r="L19" s="346"/>
      <c r="M19" s="347"/>
      <c r="N19" s="347"/>
      <c r="O19" s="347"/>
      <c r="P19" s="347"/>
      <c r="Q19" s="347"/>
    </row>
    <row r="20" spans="1:18" s="128" customFormat="1" ht="27" customHeight="1">
      <c r="A20" s="631"/>
      <c r="B20" s="324" t="s">
        <v>484</v>
      </c>
      <c r="C20" s="348">
        <v>3</v>
      </c>
      <c r="D20" s="326" t="s">
        <v>499</v>
      </c>
      <c r="E20" s="327" t="s">
        <v>500</v>
      </c>
      <c r="F20" s="349">
        <f>C20*$A$22</f>
        <v>9</v>
      </c>
      <c r="G20" s="350">
        <v>48.75</v>
      </c>
      <c r="H20" s="278">
        <f>ROUND(F20*G20,2)</f>
        <v>438.75</v>
      </c>
      <c r="L20" s="346"/>
      <c r="M20" s="347"/>
      <c r="N20" s="347"/>
      <c r="O20" s="347"/>
      <c r="P20" s="347"/>
      <c r="Q20" s="347"/>
    </row>
    <row r="21" spans="1:18" s="128" customFormat="1" ht="25.5">
      <c r="A21" s="73" t="s">
        <v>490</v>
      </c>
      <c r="B21" s="332" t="s">
        <v>487</v>
      </c>
      <c r="C21" s="348">
        <v>1</v>
      </c>
      <c r="D21" s="326" t="s">
        <v>488</v>
      </c>
      <c r="E21" s="327" t="s">
        <v>489</v>
      </c>
      <c r="F21" s="349">
        <f>C21*$A$22</f>
        <v>3</v>
      </c>
      <c r="G21" s="350">
        <v>142.63</v>
      </c>
      <c r="H21" s="278">
        <f>ROUND(F21*G21,2)</f>
        <v>427.89</v>
      </c>
      <c r="L21" s="330">
        <v>22.76</v>
      </c>
      <c r="M21" s="37">
        <f>ROUND(IF(Dados!$I$62="SIM",L21*Dados!$N$62,L21),2)</f>
        <v>22.76</v>
      </c>
      <c r="N21" s="37">
        <f>ROUND(IF(Dados!$I$63="SIM",M21*Dados!$N$63,M21),2)</f>
        <v>22.76</v>
      </c>
      <c r="O21" s="37">
        <f>ROUND(IF(Dados!$I$64="SIM",N21*Dados!$N$64,N21),2)</f>
        <v>22.76</v>
      </c>
      <c r="P21" s="37">
        <f>ROUND(IF(Dados!$I$65="SIM",O21*Dados!$N$65,O21),2)</f>
        <v>22.76</v>
      </c>
      <c r="Q21" s="37">
        <f>ROUND(IF(Dados!$I$66="SIM",P21*Dados!$N$66,P21),2)</f>
        <v>22.76</v>
      </c>
      <c r="R21" s="3">
        <f>IF(Dados!$D$69="INICIAL",L21,IF(Dados!$D$69="1º IPCA",M21,IF(Dados!$D$69="2º IPCA",N21,IF(Dados!$D$69="3º IPCA",O21,IF(Dados!$D$69="4º IPCA",P21,IF(Dados!$D$69="5º IPCA",Q21,))))))</f>
        <v>22.76</v>
      </c>
    </row>
    <row r="22" spans="1:18" s="128" customFormat="1" ht="23.25">
      <c r="A22" s="351">
        <f>Dados!B7</f>
        <v>3</v>
      </c>
      <c r="B22" s="324" t="s">
        <v>491</v>
      </c>
      <c r="C22" s="348">
        <v>1</v>
      </c>
      <c r="D22" s="326" t="s">
        <v>501</v>
      </c>
      <c r="E22" s="327" t="s">
        <v>493</v>
      </c>
      <c r="F22" s="349">
        <f>C22*$A$22</f>
        <v>3</v>
      </c>
      <c r="G22" s="352">
        <v>165</v>
      </c>
      <c r="H22" s="278">
        <f>ROUND(F22*G22,2)</f>
        <v>495</v>
      </c>
      <c r="L22" s="330">
        <v>16.41</v>
      </c>
      <c r="M22" s="37">
        <f>ROUND(IF(Dados!$I$62="SIM",L22*Dados!$N$62,L22),2)</f>
        <v>16.41</v>
      </c>
      <c r="N22" s="37">
        <f>ROUND(IF(Dados!$I$63="SIM",M22*Dados!$N$63,M22),2)</f>
        <v>16.41</v>
      </c>
      <c r="O22" s="37">
        <f>ROUND(IF(Dados!$I$64="SIM",N22*Dados!$N$64,N22),2)</f>
        <v>16.41</v>
      </c>
      <c r="P22" s="37">
        <f>ROUND(IF(Dados!$I$65="SIM",O22*Dados!$N$65,O22),2)</f>
        <v>16.41</v>
      </c>
      <c r="Q22" s="37">
        <f>ROUND(IF(Dados!$I$66="SIM",P22*Dados!$N$66,P22),2)</f>
        <v>16.41</v>
      </c>
      <c r="R22" s="3">
        <f>IF(Dados!$D$69="INICIAL",L22,IF(Dados!$D$69="1º IPCA",M22,IF(Dados!$D$69="2º IPCA",N22,IF(Dados!$D$69="3º IPCA",O22,IF(Dados!$D$69="4º IPCA",P22,IF(Dados!$D$69="5º IPCA",Q22,))))))</f>
        <v>16.41</v>
      </c>
    </row>
    <row r="23" spans="1:18" s="128" customFormat="1" ht="36" customHeight="1">
      <c r="A23" s="634" t="s">
        <v>496</v>
      </c>
      <c r="B23" s="634"/>
      <c r="C23" s="634"/>
      <c r="D23" s="634"/>
      <c r="E23" s="634"/>
      <c r="F23" s="634"/>
      <c r="G23" s="634"/>
      <c r="H23" s="353">
        <f>SUM(H18:H22)</f>
        <v>1833.6</v>
      </c>
      <c r="L23" s="3"/>
      <c r="M23" s="3"/>
      <c r="N23" s="3"/>
      <c r="O23" s="3"/>
      <c r="P23" s="3"/>
      <c r="Q23" s="3"/>
    </row>
    <row r="24" spans="1:18" s="128" customFormat="1" ht="15.75">
      <c r="A24" s="633" t="s">
        <v>502</v>
      </c>
      <c r="B24" s="633"/>
      <c r="C24" s="633"/>
      <c r="D24" s="633"/>
      <c r="E24" s="633"/>
      <c r="F24" s="633"/>
      <c r="G24" s="338"/>
      <c r="H24" s="339">
        <f>ROUND(H23/$A$22/12,2)</f>
        <v>50.93</v>
      </c>
      <c r="L24" s="3"/>
      <c r="M24" s="3"/>
      <c r="N24" s="3"/>
      <c r="O24" s="3"/>
      <c r="P24" s="3"/>
      <c r="Q24" s="3"/>
    </row>
    <row r="25" spans="1:18" s="128" customFormat="1" ht="15.75">
      <c r="A25" s="268"/>
      <c r="B25" s="354"/>
      <c r="C25" s="355"/>
      <c r="D25" s="354"/>
      <c r="E25" s="354"/>
      <c r="F25" s="355"/>
      <c r="G25" s="356"/>
      <c r="H25" s="357"/>
      <c r="L25" s="3"/>
      <c r="M25" s="3"/>
      <c r="N25" s="3"/>
      <c r="O25" s="3"/>
      <c r="P25" s="3"/>
      <c r="Q25" s="3"/>
    </row>
    <row r="26" spans="1:18" s="128" customFormat="1" ht="63.75">
      <c r="A26" s="316" t="s">
        <v>473</v>
      </c>
      <c r="B26" s="317" t="s">
        <v>312</v>
      </c>
      <c r="C26" s="318" t="s">
        <v>474</v>
      </c>
      <c r="D26" s="345" t="s">
        <v>475</v>
      </c>
      <c r="E26" s="345" t="s">
        <v>476</v>
      </c>
      <c r="F26" s="320" t="s">
        <v>477</v>
      </c>
      <c r="G26" s="321" t="s">
        <v>447</v>
      </c>
      <c r="H26" s="322" t="s">
        <v>248</v>
      </c>
      <c r="L26" s="346" t="s">
        <v>434</v>
      </c>
      <c r="M26" s="347" t="s">
        <v>333</v>
      </c>
      <c r="N26" s="347" t="s">
        <v>334</v>
      </c>
      <c r="O26" s="347" t="s">
        <v>335</v>
      </c>
      <c r="P26" s="347" t="s">
        <v>336</v>
      </c>
      <c r="Q26" s="347" t="s">
        <v>337</v>
      </c>
    </row>
    <row r="27" spans="1:18" s="128" customFormat="1" ht="22.5" customHeight="1">
      <c r="A27" s="631" t="s">
        <v>503</v>
      </c>
      <c r="B27" s="324" t="s">
        <v>479</v>
      </c>
      <c r="C27" s="348">
        <v>2</v>
      </c>
      <c r="D27" s="326" t="s">
        <v>504</v>
      </c>
      <c r="E27" s="327" t="s">
        <v>481</v>
      </c>
      <c r="F27" s="358">
        <f>C27*$A$31</f>
        <v>2</v>
      </c>
      <c r="G27" s="350">
        <v>77.37</v>
      </c>
      <c r="H27" s="278">
        <f>ROUND(F27*G27,2)</f>
        <v>154.74</v>
      </c>
      <c r="L27" s="330">
        <v>77.72</v>
      </c>
      <c r="M27" s="37">
        <f>ROUND(IF(Dados!$I$62="SIM",L27*Dados!$N$62,L27),2)</f>
        <v>77.72</v>
      </c>
      <c r="N27" s="37">
        <f>ROUND(IF(Dados!$I$63="SIM",M27*Dados!$N$63,M27),2)</f>
        <v>77.72</v>
      </c>
      <c r="O27" s="37">
        <f>ROUND(IF(Dados!$I$64="SIM",N27*Dados!$N$64,N27),2)</f>
        <v>77.72</v>
      </c>
      <c r="P27" s="37">
        <f>ROUND(IF(Dados!$I$65="SIM",O27*Dados!$N$65,O27),2)</f>
        <v>77.72</v>
      </c>
      <c r="Q27" s="37">
        <f>ROUND(IF(Dados!$I$66="SIM",P27*Dados!$N$66,P27),2)</f>
        <v>77.72</v>
      </c>
      <c r="R27" s="3">
        <f>IF(Dados!$D$69="INICIAL",L27,IF(Dados!$D$69="1º IPCA",M27,IF(Dados!$D$69="2º IPCA",N27,IF(Dados!$D$69="3º IPCA",O27,IF(Dados!$D$69="4º IPCA",P27,IF(Dados!$D$69="5º IPCA",Q27,))))))</f>
        <v>77.72</v>
      </c>
    </row>
    <row r="28" spans="1:18" s="128" customFormat="1" ht="25.5">
      <c r="A28" s="631"/>
      <c r="B28" s="324" t="s">
        <v>484</v>
      </c>
      <c r="C28" s="348">
        <v>3</v>
      </c>
      <c r="D28" s="326" t="s">
        <v>499</v>
      </c>
      <c r="E28" s="327" t="s">
        <v>481</v>
      </c>
      <c r="F28" s="358">
        <f>C28*$A$31</f>
        <v>3</v>
      </c>
      <c r="G28" s="350">
        <v>48.75</v>
      </c>
      <c r="H28" s="278">
        <f>ROUND(F28*G28,2)</f>
        <v>146.25</v>
      </c>
      <c r="L28" s="330">
        <v>95.82</v>
      </c>
      <c r="M28" s="37">
        <f>ROUND(IF(Dados!$I$62="SIM",L28*Dados!$N$62,L28),2)</f>
        <v>95.82</v>
      </c>
      <c r="N28" s="37">
        <f>ROUND(IF(Dados!$I$63="SIM",M28*Dados!$N$63,M28),2)</f>
        <v>95.82</v>
      </c>
      <c r="O28" s="37">
        <f>ROUND(IF(Dados!$I$64="SIM",N28*Dados!$N$64,N28),2)</f>
        <v>95.82</v>
      </c>
      <c r="P28" s="37">
        <f>ROUND(IF(Dados!$I$65="SIM",O28*Dados!$N$65,O28),2)</f>
        <v>95.82</v>
      </c>
      <c r="Q28" s="37">
        <f>ROUND(IF(Dados!$I$66="SIM",P28*Dados!$N$66,P28),2)</f>
        <v>95.82</v>
      </c>
      <c r="R28" s="3">
        <f>IF(Dados!$D$69="INICIAL",L28,IF(Dados!$D$69="1º IPCA",M28,IF(Dados!$D$69="2º IPCA",N28,IF(Dados!$D$69="3º IPCA",O28,IF(Dados!$D$69="4º IPCA",P28,IF(Dados!$D$69="5º IPCA",Q28,))))))</f>
        <v>95.82</v>
      </c>
    </row>
    <row r="29" spans="1:18" s="128" customFormat="1">
      <c r="A29" s="631"/>
      <c r="B29" s="324" t="s">
        <v>482</v>
      </c>
      <c r="C29" s="348">
        <v>1</v>
      </c>
      <c r="D29" s="326" t="s">
        <v>505</v>
      </c>
      <c r="E29" s="327" t="s">
        <v>481</v>
      </c>
      <c r="F29" s="358">
        <f>C29*$A$31</f>
        <v>1</v>
      </c>
      <c r="G29" s="350">
        <v>62.36</v>
      </c>
      <c r="H29" s="278">
        <f>ROUND(F29*G29,2)</f>
        <v>62.36</v>
      </c>
      <c r="L29" s="330"/>
      <c r="M29" s="37"/>
      <c r="N29" s="37"/>
      <c r="O29" s="37"/>
      <c r="P29" s="37"/>
      <c r="Q29" s="37"/>
      <c r="R29" s="3"/>
    </row>
    <row r="30" spans="1:18" s="128" customFormat="1" ht="25.5">
      <c r="A30" s="323" t="s">
        <v>490</v>
      </c>
      <c r="B30" s="332" t="s">
        <v>487</v>
      </c>
      <c r="C30" s="348">
        <v>1</v>
      </c>
      <c r="D30" s="326" t="s">
        <v>488</v>
      </c>
      <c r="E30" s="327" t="s">
        <v>489</v>
      </c>
      <c r="F30" s="358">
        <f>C30*$A$31</f>
        <v>1</v>
      </c>
      <c r="G30" s="350">
        <v>142.63</v>
      </c>
      <c r="H30" s="278">
        <f>ROUND(F30*G30,2)</f>
        <v>142.63</v>
      </c>
      <c r="L30" s="330"/>
      <c r="M30" s="37"/>
      <c r="N30" s="37"/>
      <c r="O30" s="37"/>
      <c r="P30" s="37"/>
      <c r="Q30" s="37"/>
      <c r="R30" s="3"/>
    </row>
    <row r="31" spans="1:18" s="128" customFormat="1" ht="25.5" customHeight="1">
      <c r="A31" s="359">
        <f>Dados!B10</f>
        <v>1</v>
      </c>
      <c r="B31" s="324" t="s">
        <v>491</v>
      </c>
      <c r="C31" s="360">
        <v>2</v>
      </c>
      <c r="D31" s="326" t="s">
        <v>506</v>
      </c>
      <c r="E31" s="327" t="s">
        <v>493</v>
      </c>
      <c r="F31" s="358">
        <f>C31*$A$31</f>
        <v>2</v>
      </c>
      <c r="G31" s="350">
        <v>67.540000000000006</v>
      </c>
      <c r="H31" s="278">
        <f>ROUND(F31*G31,2)</f>
        <v>135.08000000000001</v>
      </c>
      <c r="L31" s="330">
        <v>50.53</v>
      </c>
      <c r="M31" s="37">
        <f>ROUND(IF(Dados!$I$62="SIM",L31*Dados!$N$62,L31),2)</f>
        <v>50.53</v>
      </c>
      <c r="N31" s="37">
        <f>ROUND(IF(Dados!$I$63="SIM",M31*Dados!$N$63,M31),2)</f>
        <v>50.53</v>
      </c>
      <c r="O31" s="37">
        <f>ROUND(IF(Dados!$I$64="SIM",N31*Dados!$N$64,N31),2)</f>
        <v>50.53</v>
      </c>
      <c r="P31" s="37">
        <f>ROUND(IF(Dados!$I$65="SIM",O31*Dados!$N$65,O31),2)</f>
        <v>50.53</v>
      </c>
      <c r="Q31" s="37">
        <f>ROUND(IF(Dados!$I$66="SIM",P31*Dados!$N$66,P31),2)</f>
        <v>50.53</v>
      </c>
      <c r="R31" s="3">
        <f>IF(Dados!$D$69="INICIAL",L31,IF(Dados!$D$69="1º IPCA",M31,IF(Dados!$D$69="2º IPCA",N31,IF(Dados!$D$69="3º IPCA",O31,IF(Dados!$D$69="4º IPCA",P31,IF(Dados!$D$69="5º IPCA",Q31,))))))</f>
        <v>50.53</v>
      </c>
    </row>
    <row r="32" spans="1:18" s="128" customFormat="1" ht="36" customHeight="1">
      <c r="A32" s="635" t="s">
        <v>496</v>
      </c>
      <c r="B32" s="635"/>
      <c r="C32" s="635"/>
      <c r="D32" s="635"/>
      <c r="E32" s="635"/>
      <c r="F32" s="635"/>
      <c r="G32" s="635"/>
      <c r="H32" s="361">
        <f>SUM(H27:H31)</f>
        <v>641.06000000000006</v>
      </c>
      <c r="L32" s="3"/>
      <c r="M32" s="3"/>
      <c r="N32" s="3"/>
      <c r="O32" s="3"/>
      <c r="P32" s="3"/>
      <c r="Q32" s="3"/>
    </row>
    <row r="33" spans="1:17" s="128" customFormat="1" ht="15.75">
      <c r="A33" s="633" t="s">
        <v>507</v>
      </c>
      <c r="B33" s="633"/>
      <c r="C33" s="633"/>
      <c r="D33" s="633"/>
      <c r="E33" s="633"/>
      <c r="F33" s="633"/>
      <c r="G33" s="338"/>
      <c r="H33" s="339">
        <f>ROUND(H32/A31/12,2)</f>
        <v>53.42</v>
      </c>
      <c r="L33" s="3"/>
      <c r="M33" s="3"/>
      <c r="N33" s="3"/>
      <c r="O33" s="3"/>
      <c r="P33" s="3"/>
      <c r="Q33" s="3"/>
    </row>
    <row r="34" spans="1:17" ht="15.75">
      <c r="A34" s="268"/>
      <c r="B34" s="354"/>
      <c r="C34" s="355"/>
      <c r="D34" s="354"/>
      <c r="E34" s="354"/>
      <c r="F34" s="355"/>
      <c r="G34" s="356"/>
      <c r="H34" s="357"/>
    </row>
    <row r="35" spans="1:17" ht="25.5">
      <c r="A35" s="316" t="s">
        <v>473</v>
      </c>
      <c r="B35" s="317" t="s">
        <v>312</v>
      </c>
      <c r="C35" s="318" t="s">
        <v>474</v>
      </c>
      <c r="D35" s="345" t="s">
        <v>475</v>
      </c>
      <c r="E35" s="345" t="s">
        <v>476</v>
      </c>
      <c r="F35" s="320" t="s">
        <v>477</v>
      </c>
      <c r="G35" s="321" t="s">
        <v>447</v>
      </c>
      <c r="H35" s="322" t="s">
        <v>248</v>
      </c>
    </row>
    <row r="36" spans="1:17" ht="15" customHeight="1">
      <c r="A36" s="631" t="s">
        <v>245</v>
      </c>
      <c r="B36" s="324" t="s">
        <v>479</v>
      </c>
      <c r="C36" s="348">
        <v>2</v>
      </c>
      <c r="D36" s="326" t="s">
        <v>508</v>
      </c>
      <c r="E36" s="327" t="s">
        <v>509</v>
      </c>
      <c r="F36" s="358">
        <f>C36*$A$40</f>
        <v>2</v>
      </c>
      <c r="G36" s="350">
        <v>54.75</v>
      </c>
      <c r="H36" s="278">
        <f>ROUND(F36*G36,2)</f>
        <v>109.5</v>
      </c>
    </row>
    <row r="37" spans="1:17">
      <c r="A37" s="631"/>
      <c r="B37" s="324" t="s">
        <v>484</v>
      </c>
      <c r="C37" s="348">
        <v>3</v>
      </c>
      <c r="D37" s="326" t="s">
        <v>510</v>
      </c>
      <c r="E37" s="327" t="s">
        <v>509</v>
      </c>
      <c r="F37" s="358">
        <f>C37*$A$40</f>
        <v>3</v>
      </c>
      <c r="G37" s="350">
        <v>31.42</v>
      </c>
      <c r="H37" s="278">
        <f>ROUND(F37*G37,2)</f>
        <v>94.26</v>
      </c>
    </row>
    <row r="38" spans="1:17">
      <c r="A38" s="631"/>
      <c r="B38" s="324" t="s">
        <v>491</v>
      </c>
      <c r="C38" s="348">
        <v>1</v>
      </c>
      <c r="D38" s="326" t="s">
        <v>511</v>
      </c>
      <c r="E38" s="327" t="s">
        <v>509</v>
      </c>
      <c r="F38" s="358">
        <f>C38*$A$40</f>
        <v>1</v>
      </c>
      <c r="G38" s="350">
        <v>165</v>
      </c>
      <c r="H38" s="278">
        <f>ROUND(F38*G38,2)</f>
        <v>165</v>
      </c>
    </row>
    <row r="39" spans="1:17" ht="25.5">
      <c r="A39" s="323" t="s">
        <v>490</v>
      </c>
      <c r="B39" s="332" t="s">
        <v>512</v>
      </c>
      <c r="C39" s="348">
        <v>1</v>
      </c>
      <c r="D39" s="326" t="s">
        <v>488</v>
      </c>
      <c r="E39" s="327" t="s">
        <v>489</v>
      </c>
      <c r="F39" s="358">
        <f>C39*$A$40</f>
        <v>1</v>
      </c>
      <c r="G39" s="350">
        <v>142.63</v>
      </c>
      <c r="H39" s="278">
        <f>ROUND(F39*G39,2)</f>
        <v>142.63</v>
      </c>
    </row>
    <row r="40" spans="1:17" ht="36">
      <c r="A40" s="359">
        <f>Dados!B11</f>
        <v>1</v>
      </c>
      <c r="B40" s="324" t="s">
        <v>513</v>
      </c>
      <c r="C40" s="348">
        <v>1</v>
      </c>
      <c r="D40" s="326" t="s">
        <v>514</v>
      </c>
      <c r="E40" s="327" t="s">
        <v>509</v>
      </c>
      <c r="F40" s="358">
        <f>C40*$A$40</f>
        <v>1</v>
      </c>
      <c r="G40" s="350">
        <v>14.48</v>
      </c>
      <c r="H40" s="278">
        <f>ROUND(F40*G40,2)</f>
        <v>14.48</v>
      </c>
    </row>
    <row r="41" spans="1:17">
      <c r="A41" s="635" t="s">
        <v>496</v>
      </c>
      <c r="B41" s="635"/>
      <c r="C41" s="635"/>
      <c r="D41" s="635"/>
      <c r="E41" s="635"/>
      <c r="F41" s="635"/>
      <c r="G41" s="635"/>
      <c r="H41" s="361">
        <f>SUM(H36:H40)</f>
        <v>525.87</v>
      </c>
    </row>
    <row r="42" spans="1:17" ht="15.75">
      <c r="A42" s="633" t="s">
        <v>515</v>
      </c>
      <c r="B42" s="633"/>
      <c r="C42" s="633"/>
      <c r="D42" s="633"/>
      <c r="E42" s="633"/>
      <c r="F42" s="633"/>
      <c r="G42" s="338"/>
      <c r="H42" s="339">
        <f>ROUND(H41/A40/12,2)</f>
        <v>43.82</v>
      </c>
    </row>
  </sheetData>
  <sheetProtection algorithmName="SHA-512" hashValue="hTu4CCYj+4iqNNPnSo64ILxR7GwgisAUyNXuY2TSSlJ/iLZ1QePKwn+pT24YxhU6ZXRy+yGgl826ijDDXB71nA==" saltValue="rcpMeRaq98+80zLbBjgB4w==" spinCount="100000" sheet="1" objects="1" scenarios="1"/>
  <mergeCells count="22">
    <mergeCell ref="A41:G41"/>
    <mergeCell ref="A42:F42"/>
    <mergeCell ref="A24:F24"/>
    <mergeCell ref="A27:A29"/>
    <mergeCell ref="A32:G32"/>
    <mergeCell ref="A33:F33"/>
    <mergeCell ref="A36:A38"/>
    <mergeCell ref="A9:A12"/>
    <mergeCell ref="A15:G15"/>
    <mergeCell ref="A16:F16"/>
    <mergeCell ref="A19:A20"/>
    <mergeCell ref="A23:G23"/>
    <mergeCell ref="L1:Q4"/>
    <mergeCell ref="A4:H4"/>
    <mergeCell ref="A5:H5"/>
    <mergeCell ref="L5:L8"/>
    <mergeCell ref="M5:M8"/>
    <mergeCell ref="N5:N8"/>
    <mergeCell ref="O5:O8"/>
    <mergeCell ref="P5:P8"/>
    <mergeCell ref="Q5:Q8"/>
    <mergeCell ref="A6:H6"/>
  </mergeCells>
  <pageMargins left="0.51180555555555496" right="0.51180555555555496" top="0.78749999999999998" bottom="0.78749999999999998" header="0.51180555555555496" footer="0.51180555555555496"/>
  <pageSetup paperSize="9" scale="63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C33"/>
  <sheetViews>
    <sheetView showGridLines="0" zoomScaleNormal="100" workbookViewId="0">
      <selection activeCell="J7" sqref="J7"/>
    </sheetView>
  </sheetViews>
  <sheetFormatPr defaultColWidth="9.140625" defaultRowHeight="15"/>
  <cols>
    <col min="1" max="1" width="7.28515625" style="61" customWidth="1"/>
    <col min="2" max="3" width="9.140625" style="61"/>
    <col min="4" max="4" width="33" style="61" customWidth="1"/>
    <col min="5" max="5" width="9.42578125" style="61" customWidth="1"/>
    <col min="6" max="6" width="12.42578125" style="61" customWidth="1"/>
    <col min="7" max="8" width="9.140625" style="61"/>
    <col min="9" max="9" width="9.7109375" style="61" customWidth="1"/>
    <col min="10" max="1017" width="9.140625" style="61"/>
  </cols>
  <sheetData>
    <row r="1" spans="1:10">
      <c r="A1" s="107"/>
      <c r="B1" s="108" t="str">
        <f>INSTRUÇÕES!B1</f>
        <v>Tribunal Regional Federal da 6ª Região</v>
      </c>
      <c r="C1" s="108"/>
      <c r="D1" s="108"/>
      <c r="E1" s="108"/>
      <c r="F1" s="108"/>
    </row>
    <row r="2" spans="1:10">
      <c r="A2" s="109"/>
      <c r="B2" s="110" t="str">
        <f>INSTRUÇÕES!B2</f>
        <v>Seção Judiciária de Minas Gerais</v>
      </c>
      <c r="C2" s="110"/>
      <c r="D2" s="110"/>
      <c r="E2" s="110"/>
      <c r="F2" s="110"/>
    </row>
    <row r="3" spans="1:10">
      <c r="A3" s="109"/>
      <c r="B3" s="61" t="str">
        <f>INSTRUÇÕES!B3</f>
        <v>Subseção Judiciária de Pouso Alegre</v>
      </c>
      <c r="C3" s="362"/>
      <c r="D3" s="362"/>
      <c r="E3" s="362"/>
      <c r="F3" s="362"/>
    </row>
    <row r="4" spans="1:10" s="266" customFormat="1" ht="32.25" customHeight="1">
      <c r="A4" s="636" t="s">
        <v>516</v>
      </c>
      <c r="B4" s="636"/>
      <c r="C4" s="636"/>
      <c r="D4" s="636"/>
      <c r="E4" s="636"/>
      <c r="F4" s="636"/>
      <c r="G4" s="636"/>
      <c r="H4" s="636"/>
      <c r="I4" s="636"/>
      <c r="J4" s="636"/>
    </row>
    <row r="5" spans="1:10" s="365" customFormat="1" ht="41.25" customHeight="1">
      <c r="A5" s="637" t="s">
        <v>517</v>
      </c>
      <c r="B5" s="637"/>
      <c r="C5" s="637"/>
      <c r="D5" s="637"/>
      <c r="E5" s="638" t="s">
        <v>518</v>
      </c>
      <c r="F5" s="363" t="str">
        <f>Dados!C7</f>
        <v>Assistente Administrativo</v>
      </c>
      <c r="G5" s="364" t="str">
        <f>Dados!C8</f>
        <v>Servente de Limpeza</v>
      </c>
      <c r="H5" s="364" t="str">
        <f>Dados!C9</f>
        <v>Servente de Limpeza (40%)</v>
      </c>
      <c r="I5" s="364" t="str">
        <f>Dados!C10</f>
        <v>Auxiliar de Manutenção Predial</v>
      </c>
      <c r="J5" s="364" t="str">
        <f>Dados!C11</f>
        <v>Copeira</v>
      </c>
    </row>
    <row r="6" spans="1:10" s="119" customFormat="1" ht="22.5" customHeight="1">
      <c r="A6" s="366" t="s">
        <v>519</v>
      </c>
      <c r="B6" s="639" t="s">
        <v>389</v>
      </c>
      <c r="C6" s="639"/>
      <c r="D6" s="639"/>
      <c r="E6" s="638"/>
      <c r="F6" s="640" t="s">
        <v>520</v>
      </c>
      <c r="G6" s="640"/>
      <c r="H6" s="640"/>
      <c r="I6" s="640"/>
      <c r="J6" s="640"/>
    </row>
    <row r="7" spans="1:10" ht="14.25" customHeight="1">
      <c r="A7" s="367">
        <v>1</v>
      </c>
      <c r="B7" s="641" t="s">
        <v>521</v>
      </c>
      <c r="C7" s="641"/>
      <c r="D7" s="641"/>
      <c r="E7" s="641"/>
      <c r="F7" s="368">
        <f>Dados!M7</f>
        <v>1546.26</v>
      </c>
      <c r="G7" s="368">
        <f>Dados!M8</f>
        <v>1491.84</v>
      </c>
      <c r="H7" s="368">
        <f>Dados!M9</f>
        <v>2056.64</v>
      </c>
      <c r="I7" s="368">
        <f>Dados!M10</f>
        <v>1551.01</v>
      </c>
      <c r="J7" s="368">
        <f>Dados!M11</f>
        <v>1017.16</v>
      </c>
    </row>
    <row r="8" spans="1:10">
      <c r="A8" s="37" t="s">
        <v>522</v>
      </c>
      <c r="B8" s="642" t="s">
        <v>390</v>
      </c>
      <c r="C8" s="642"/>
      <c r="D8" s="642"/>
      <c r="E8" s="370">
        <f>Encargos!C39</f>
        <v>9.0899999999999995E-2</v>
      </c>
      <c r="F8" s="371">
        <f t="shared" ref="F8:J8" si="0">ROUND(F7*$E$8,2)</f>
        <v>140.56</v>
      </c>
      <c r="G8" s="371">
        <f t="shared" si="0"/>
        <v>135.61000000000001</v>
      </c>
      <c r="H8" s="371">
        <f t="shared" si="0"/>
        <v>186.95</v>
      </c>
      <c r="I8" s="371">
        <f t="shared" si="0"/>
        <v>140.99</v>
      </c>
      <c r="J8" s="371">
        <f t="shared" si="0"/>
        <v>92.46</v>
      </c>
    </row>
    <row r="9" spans="1:10">
      <c r="A9" s="37" t="s">
        <v>523</v>
      </c>
      <c r="B9" s="642" t="s">
        <v>396</v>
      </c>
      <c r="C9" s="642"/>
      <c r="D9" s="642"/>
      <c r="E9" s="372">
        <f>E8*Encargos!C18</f>
        <v>3.6178200000000008E-2</v>
      </c>
      <c r="F9" s="371">
        <f t="shared" ref="F9:J9" si="1">ROUND(F7*$E$9,2)</f>
        <v>55.94</v>
      </c>
      <c r="G9" s="371">
        <f t="shared" si="1"/>
        <v>53.97</v>
      </c>
      <c r="H9" s="371">
        <f t="shared" si="1"/>
        <v>74.41</v>
      </c>
      <c r="I9" s="371">
        <f t="shared" si="1"/>
        <v>56.11</v>
      </c>
      <c r="J9" s="371">
        <f t="shared" si="1"/>
        <v>36.799999999999997</v>
      </c>
    </row>
    <row r="10" spans="1:10" ht="12.75" customHeight="1">
      <c r="A10" s="643" t="s">
        <v>524</v>
      </c>
      <c r="B10" s="643"/>
      <c r="C10" s="643"/>
      <c r="D10" s="643"/>
      <c r="E10" s="373">
        <f t="shared" ref="E10:J10" si="2">SUM(E8:E9)</f>
        <v>0.1270782</v>
      </c>
      <c r="F10" s="374">
        <f t="shared" si="2"/>
        <v>196.5</v>
      </c>
      <c r="G10" s="374">
        <f t="shared" si="2"/>
        <v>189.58</v>
      </c>
      <c r="H10" s="374">
        <f t="shared" si="2"/>
        <v>261.36</v>
      </c>
      <c r="I10" s="374">
        <f t="shared" si="2"/>
        <v>197.10000000000002</v>
      </c>
      <c r="J10" s="374">
        <f t="shared" si="2"/>
        <v>129.26</v>
      </c>
    </row>
    <row r="11" spans="1:10" ht="12.75" customHeight="1">
      <c r="A11" s="643" t="s">
        <v>525</v>
      </c>
      <c r="B11" s="643"/>
      <c r="C11" s="643"/>
      <c r="D11" s="643"/>
      <c r="E11" s="643"/>
      <c r="F11" s="374">
        <f t="shared" ref="F11:J11" si="3">F10*12</f>
        <v>2358</v>
      </c>
      <c r="G11" s="374">
        <f t="shared" si="3"/>
        <v>2274.96</v>
      </c>
      <c r="H11" s="374">
        <f t="shared" si="3"/>
        <v>3136.32</v>
      </c>
      <c r="I11" s="374">
        <f t="shared" si="3"/>
        <v>2365.2000000000003</v>
      </c>
      <c r="J11" s="374">
        <f t="shared" si="3"/>
        <v>1551.12</v>
      </c>
    </row>
    <row r="12" spans="1:10">
      <c r="A12" s="375">
        <v>2</v>
      </c>
      <c r="B12" s="376" t="s">
        <v>526</v>
      </c>
      <c r="C12" s="376"/>
      <c r="D12" s="376"/>
      <c r="E12" s="376"/>
      <c r="F12" s="644" t="s">
        <v>450</v>
      </c>
      <c r="G12" s="644"/>
      <c r="H12" s="644"/>
      <c r="I12" s="644"/>
      <c r="J12" s="644"/>
    </row>
    <row r="13" spans="1:10">
      <c r="A13" s="58" t="s">
        <v>522</v>
      </c>
      <c r="B13" s="645" t="s">
        <v>527</v>
      </c>
      <c r="C13" s="645"/>
      <c r="D13" s="645"/>
      <c r="E13" s="377"/>
      <c r="F13" s="378">
        <f>'Ass. Administrativo 150'!F23</f>
        <v>0</v>
      </c>
      <c r="G13" s="379">
        <f>'Servente 220'!F23</f>
        <v>479.42</v>
      </c>
      <c r="H13" s="379">
        <f>'Serv Insalubre 40%'!F23</f>
        <v>479.42</v>
      </c>
      <c r="I13" s="379">
        <f>'Aux. Manut. Predial'!F23</f>
        <v>0</v>
      </c>
      <c r="J13" s="379">
        <f>'Copeira 150'!F23</f>
        <v>0</v>
      </c>
    </row>
    <row r="14" spans="1:10">
      <c r="A14" s="58" t="s">
        <v>528</v>
      </c>
      <c r="B14" s="645" t="s">
        <v>529</v>
      </c>
      <c r="C14" s="645"/>
      <c r="D14" s="645"/>
      <c r="E14" s="377"/>
      <c r="F14" s="378">
        <f>'Ass. Administrativo 150'!F22</f>
        <v>39.22</v>
      </c>
      <c r="G14" s="379">
        <f>'Servente 220'!F22</f>
        <v>42.49</v>
      </c>
      <c r="H14" s="379">
        <f>'Serv Insalubre 40%'!F22</f>
        <v>42.49</v>
      </c>
      <c r="I14" s="379">
        <f>'Aux. Manut. Predial'!F22</f>
        <v>38.94</v>
      </c>
      <c r="J14" s="379">
        <f>'Copeira 150'!F22</f>
        <v>70.97</v>
      </c>
    </row>
    <row r="15" spans="1:10">
      <c r="A15" s="58" t="s">
        <v>530</v>
      </c>
      <c r="B15" s="377" t="s">
        <v>531</v>
      </c>
      <c r="C15" s="377"/>
      <c r="D15" s="377"/>
      <c r="E15" s="377"/>
      <c r="F15" s="378">
        <v>0</v>
      </c>
      <c r="G15" s="378">
        <v>0</v>
      </c>
      <c r="H15" s="378">
        <v>0</v>
      </c>
      <c r="I15" s="378">
        <v>0</v>
      </c>
      <c r="J15" s="378">
        <v>0</v>
      </c>
    </row>
    <row r="16" spans="1:10">
      <c r="A16" s="646" t="s">
        <v>532</v>
      </c>
      <c r="B16" s="646"/>
      <c r="C16" s="646"/>
      <c r="D16" s="646"/>
      <c r="E16" s="646"/>
      <c r="F16" s="380">
        <f t="shared" ref="F16:J16" si="4">SUM(F13:F15)</f>
        <v>39.22</v>
      </c>
      <c r="G16" s="380">
        <f t="shared" si="4"/>
        <v>521.91</v>
      </c>
      <c r="H16" s="380">
        <f t="shared" si="4"/>
        <v>521.91</v>
      </c>
      <c r="I16" s="380">
        <f t="shared" si="4"/>
        <v>38.94</v>
      </c>
      <c r="J16" s="380">
        <f t="shared" si="4"/>
        <v>70.97</v>
      </c>
    </row>
    <row r="17" spans="1:10" ht="12.75" customHeight="1">
      <c r="A17" s="375">
        <v>5</v>
      </c>
      <c r="B17" s="647" t="s">
        <v>533</v>
      </c>
      <c r="C17" s="647"/>
      <c r="D17" s="647"/>
      <c r="E17" s="381" t="s">
        <v>518</v>
      </c>
      <c r="F17" s="644" t="s">
        <v>450</v>
      </c>
      <c r="G17" s="644"/>
      <c r="H17" s="644"/>
      <c r="I17" s="644"/>
      <c r="J17" s="644"/>
    </row>
    <row r="18" spans="1:10" ht="12.75" customHeight="1">
      <c r="A18" s="58" t="s">
        <v>522</v>
      </c>
      <c r="B18" s="648" t="s">
        <v>534</v>
      </c>
      <c r="C18" s="648"/>
      <c r="D18" s="648"/>
      <c r="E18" s="382">
        <f>Dados!$G$45</f>
        <v>0.03</v>
      </c>
      <c r="F18" s="383">
        <f t="shared" ref="F18:J18" si="5">ROUND(($E$18*F31),2)</f>
        <v>71.92</v>
      </c>
      <c r="G18" s="383">
        <f t="shared" si="5"/>
        <v>83.91</v>
      </c>
      <c r="H18" s="383">
        <f t="shared" si="5"/>
        <v>109.75</v>
      </c>
      <c r="I18" s="383">
        <f t="shared" si="5"/>
        <v>72.12</v>
      </c>
      <c r="J18" s="383">
        <f t="shared" si="5"/>
        <v>48.66</v>
      </c>
    </row>
    <row r="19" spans="1:10" ht="12.75" customHeight="1">
      <c r="A19" s="58" t="s">
        <v>528</v>
      </c>
      <c r="B19" s="648" t="s">
        <v>298</v>
      </c>
      <c r="C19" s="648"/>
      <c r="D19" s="648"/>
      <c r="E19" s="382">
        <f>Dados!$G$46</f>
        <v>6.7900000000000002E-2</v>
      </c>
      <c r="F19" s="383">
        <f t="shared" ref="F19:J19" si="6">ROUND(($E$19*(F18+F31)),2)</f>
        <v>167.65</v>
      </c>
      <c r="G19" s="383">
        <f t="shared" si="6"/>
        <v>195.6</v>
      </c>
      <c r="H19" s="383">
        <f t="shared" si="6"/>
        <v>255.85</v>
      </c>
      <c r="I19" s="383">
        <f t="shared" si="6"/>
        <v>168.14</v>
      </c>
      <c r="J19" s="383">
        <f t="shared" si="6"/>
        <v>113.44</v>
      </c>
    </row>
    <row r="20" spans="1:10" ht="12.75" customHeight="1">
      <c r="A20" s="384" t="s">
        <v>530</v>
      </c>
      <c r="B20" s="649" t="s">
        <v>535</v>
      </c>
      <c r="C20" s="649"/>
      <c r="D20" s="649"/>
      <c r="E20" s="385">
        <f>SUM(E21:E24)</f>
        <v>0.1125</v>
      </c>
      <c r="F20" s="386">
        <f t="shared" ref="F20:J20" si="7">ROUND((((F31+F18+F19)/(1-$E$20))-(F31+F18+F19)),2)</f>
        <v>334.24</v>
      </c>
      <c r="G20" s="386">
        <f t="shared" si="7"/>
        <v>389.96</v>
      </c>
      <c r="H20" s="386">
        <f t="shared" si="7"/>
        <v>510.06</v>
      </c>
      <c r="I20" s="386">
        <f t="shared" si="7"/>
        <v>335.21</v>
      </c>
      <c r="J20" s="386">
        <f t="shared" si="7"/>
        <v>226.16</v>
      </c>
    </row>
    <row r="21" spans="1:10" ht="12.75" customHeight="1">
      <c r="A21" s="387" t="s">
        <v>536</v>
      </c>
      <c r="B21" s="648" t="s">
        <v>537</v>
      </c>
      <c r="C21" s="648"/>
      <c r="D21" s="648"/>
      <c r="E21" s="382">
        <f>Dados!G53+Dados!G54</f>
        <v>9.2499999999999999E-2</v>
      </c>
      <c r="F21" s="383">
        <f t="shared" ref="F21:J21" si="8">ROUND($E$21*F33,2)</f>
        <v>274.82</v>
      </c>
      <c r="G21" s="383">
        <f t="shared" si="8"/>
        <v>320.64</v>
      </c>
      <c r="H21" s="383">
        <f t="shared" si="8"/>
        <v>419.38</v>
      </c>
      <c r="I21" s="383">
        <f t="shared" si="8"/>
        <v>275.61</v>
      </c>
      <c r="J21" s="383">
        <f t="shared" si="8"/>
        <v>185.96</v>
      </c>
    </row>
    <row r="22" spans="1:10" ht="12.75" customHeight="1">
      <c r="A22" s="58" t="s">
        <v>538</v>
      </c>
      <c r="B22" s="648" t="s">
        <v>539</v>
      </c>
      <c r="C22" s="648"/>
      <c r="D22" s="648"/>
      <c r="E22" s="382">
        <v>0</v>
      </c>
      <c r="F22" s="383">
        <f t="shared" ref="F22:J22" si="9">ROUND($E$22*F33,2)</f>
        <v>0</v>
      </c>
      <c r="G22" s="383">
        <f t="shared" si="9"/>
        <v>0</v>
      </c>
      <c r="H22" s="383">
        <f t="shared" si="9"/>
        <v>0</v>
      </c>
      <c r="I22" s="383">
        <f t="shared" si="9"/>
        <v>0</v>
      </c>
      <c r="J22" s="383">
        <f t="shared" si="9"/>
        <v>0</v>
      </c>
    </row>
    <row r="23" spans="1:10" ht="12.75" customHeight="1">
      <c r="A23" s="58" t="s">
        <v>540</v>
      </c>
      <c r="B23" s="648" t="s">
        <v>541</v>
      </c>
      <c r="C23" s="648"/>
      <c r="D23" s="648"/>
      <c r="E23" s="382">
        <f>Dados!G55</f>
        <v>0.02</v>
      </c>
      <c r="F23" s="383">
        <f t="shared" ref="F23:J23" si="10">ROUND($E$23*F33,2)</f>
        <v>59.42</v>
      </c>
      <c r="G23" s="383">
        <f t="shared" si="10"/>
        <v>69.33</v>
      </c>
      <c r="H23" s="383">
        <f t="shared" si="10"/>
        <v>90.68</v>
      </c>
      <c r="I23" s="383">
        <f t="shared" si="10"/>
        <v>59.59</v>
      </c>
      <c r="J23" s="383">
        <f t="shared" si="10"/>
        <v>40.21</v>
      </c>
    </row>
    <row r="24" spans="1:10">
      <c r="A24" s="58" t="s">
        <v>542</v>
      </c>
      <c r="B24" s="648" t="str">
        <f>Dados!B56</f>
        <v>Outros (inserir somente com a justificativa legal)</v>
      </c>
      <c r="C24" s="648"/>
      <c r="D24" s="648"/>
      <c r="E24" s="382">
        <f>Dados!G56</f>
        <v>0</v>
      </c>
      <c r="F24" s="383">
        <f t="shared" ref="F24:J24" si="11">ROUND($E$24*F33,2)</f>
        <v>0</v>
      </c>
      <c r="G24" s="383">
        <f t="shared" si="11"/>
        <v>0</v>
      </c>
      <c r="H24" s="383">
        <f t="shared" si="11"/>
        <v>0</v>
      </c>
      <c r="I24" s="383">
        <f t="shared" si="11"/>
        <v>0</v>
      </c>
      <c r="J24" s="383">
        <f t="shared" si="11"/>
        <v>0</v>
      </c>
    </row>
    <row r="25" spans="1:10">
      <c r="A25" s="388" t="s">
        <v>543</v>
      </c>
      <c r="B25" s="389"/>
      <c r="C25" s="389"/>
      <c r="D25" s="389"/>
      <c r="E25" s="389"/>
      <c r="F25" s="390">
        <f t="shared" ref="F25:J25" si="12">SUM(F18:F20)</f>
        <v>573.80999999999995</v>
      </c>
      <c r="G25" s="390">
        <f t="shared" si="12"/>
        <v>669.47</v>
      </c>
      <c r="H25" s="390">
        <f t="shared" si="12"/>
        <v>875.66000000000008</v>
      </c>
      <c r="I25" s="390">
        <f t="shared" si="12"/>
        <v>575.47</v>
      </c>
      <c r="J25" s="390">
        <f t="shared" si="12"/>
        <v>388.26</v>
      </c>
    </row>
    <row r="26" spans="1:10" ht="19.5" customHeight="1">
      <c r="A26" s="651" t="s">
        <v>544</v>
      </c>
      <c r="B26" s="651"/>
      <c r="C26" s="651"/>
      <c r="D26" s="651"/>
      <c r="E26" s="651"/>
      <c r="F26" s="651"/>
      <c r="G26" s="651"/>
      <c r="H26" s="651"/>
      <c r="I26" s="651"/>
      <c r="J26" s="651"/>
    </row>
    <row r="27" spans="1:10" ht="18" customHeight="1">
      <c r="A27" s="652" t="s">
        <v>545</v>
      </c>
      <c r="B27" s="652"/>
      <c r="C27" s="652"/>
      <c r="D27" s="652"/>
      <c r="E27" s="652"/>
      <c r="F27" s="652"/>
      <c r="G27" s="652"/>
      <c r="H27" s="652"/>
      <c r="I27" s="652"/>
      <c r="J27" s="652"/>
    </row>
    <row r="28" spans="1:10" ht="14.25" customHeight="1">
      <c r="A28" s="391" t="s">
        <v>546</v>
      </c>
      <c r="B28" s="391"/>
      <c r="C28" s="391"/>
      <c r="D28" s="391"/>
      <c r="E28" s="391"/>
      <c r="F28" s="644" t="s">
        <v>450</v>
      </c>
      <c r="G28" s="644"/>
      <c r="H28" s="644"/>
      <c r="I28" s="644"/>
      <c r="J28" s="644"/>
    </row>
    <row r="29" spans="1:10">
      <c r="A29" s="37" t="s">
        <v>522</v>
      </c>
      <c r="B29" s="392" t="s">
        <v>547</v>
      </c>
      <c r="C29" s="392"/>
      <c r="D29" s="392"/>
      <c r="E29" s="392"/>
      <c r="F29" s="393">
        <f t="shared" ref="F29:J29" si="13">F11</f>
        <v>2358</v>
      </c>
      <c r="G29" s="393">
        <f t="shared" si="13"/>
        <v>2274.96</v>
      </c>
      <c r="H29" s="393">
        <f t="shared" si="13"/>
        <v>3136.32</v>
      </c>
      <c r="I29" s="393">
        <f t="shared" si="13"/>
        <v>2365.2000000000003</v>
      </c>
      <c r="J29" s="393">
        <f t="shared" si="13"/>
        <v>1551.12</v>
      </c>
    </row>
    <row r="30" spans="1:10">
      <c r="A30" s="37" t="s">
        <v>528</v>
      </c>
      <c r="B30" s="392" t="s">
        <v>526</v>
      </c>
      <c r="C30" s="392"/>
      <c r="D30" s="392"/>
      <c r="E30" s="392"/>
      <c r="F30" s="393">
        <f t="shared" ref="F30:J30" si="14">F16</f>
        <v>39.22</v>
      </c>
      <c r="G30" s="393">
        <f t="shared" si="14"/>
        <v>521.91</v>
      </c>
      <c r="H30" s="393">
        <f t="shared" si="14"/>
        <v>521.91</v>
      </c>
      <c r="I30" s="393">
        <f t="shared" si="14"/>
        <v>38.94</v>
      </c>
      <c r="J30" s="393">
        <f t="shared" si="14"/>
        <v>70.97</v>
      </c>
    </row>
    <row r="31" spans="1:10">
      <c r="A31" s="650" t="s">
        <v>548</v>
      </c>
      <c r="B31" s="650"/>
      <c r="C31" s="650"/>
      <c r="D31" s="650"/>
      <c r="E31" s="394"/>
      <c r="F31" s="395">
        <f t="shared" ref="F31:J31" si="15">SUM(F29:F30)</f>
        <v>2397.2199999999998</v>
      </c>
      <c r="G31" s="395">
        <f t="shared" si="15"/>
        <v>2796.87</v>
      </c>
      <c r="H31" s="395">
        <f t="shared" si="15"/>
        <v>3658.23</v>
      </c>
      <c r="I31" s="395">
        <f t="shared" si="15"/>
        <v>2404.1400000000003</v>
      </c>
      <c r="J31" s="395">
        <f t="shared" si="15"/>
        <v>1622.09</v>
      </c>
    </row>
    <row r="32" spans="1:10">
      <c r="A32" s="37" t="s">
        <v>549</v>
      </c>
      <c r="B32" s="392" t="s">
        <v>550</v>
      </c>
      <c r="C32" s="392"/>
      <c r="D32" s="392"/>
      <c r="E32" s="392"/>
      <c r="F32" s="393">
        <f t="shared" ref="F32:J32" si="16">F25</f>
        <v>573.80999999999995</v>
      </c>
      <c r="G32" s="393">
        <f t="shared" si="16"/>
        <v>669.47</v>
      </c>
      <c r="H32" s="393">
        <f t="shared" si="16"/>
        <v>875.66000000000008</v>
      </c>
      <c r="I32" s="393">
        <f t="shared" si="16"/>
        <v>575.47</v>
      </c>
      <c r="J32" s="393">
        <f t="shared" si="16"/>
        <v>388.26</v>
      </c>
    </row>
    <row r="33" spans="1:10" ht="19.5" customHeight="1">
      <c r="A33" s="391" t="s">
        <v>551</v>
      </c>
      <c r="B33" s="391"/>
      <c r="C33" s="391"/>
      <c r="D33" s="391"/>
      <c r="E33" s="391"/>
      <c r="F33" s="396">
        <f t="shared" ref="F33:J33" si="17">SUM(F31:F32)</f>
        <v>2971.0299999999997</v>
      </c>
      <c r="G33" s="396">
        <f t="shared" si="17"/>
        <v>3466.34</v>
      </c>
      <c r="H33" s="396">
        <f t="shared" si="17"/>
        <v>4533.8900000000003</v>
      </c>
      <c r="I33" s="396">
        <f t="shared" si="17"/>
        <v>2979.6100000000006</v>
      </c>
      <c r="J33" s="396">
        <f t="shared" si="17"/>
        <v>2010.35</v>
      </c>
    </row>
  </sheetData>
  <sheetProtection algorithmName="SHA-512" hashValue="6L44gbGJ5gLOtNzjNM2Lu98+XraWMjKvMyu7Qijl6SCzA8OZRTclqZaoXqNOMiphqsMQ4nheXUfhOeGAxpj8iQ==" saltValue="drvZ+iMv/KAxQqF7QyAz1A==" spinCount="100000" sheet="1" objects="1" scenarios="1"/>
  <mergeCells count="27">
    <mergeCell ref="A31:D31"/>
    <mergeCell ref="B23:D23"/>
    <mergeCell ref="B24:D24"/>
    <mergeCell ref="A26:J26"/>
    <mergeCell ref="A27:J27"/>
    <mergeCell ref="F28:J28"/>
    <mergeCell ref="B18:D18"/>
    <mergeCell ref="B19:D19"/>
    <mergeCell ref="B20:D20"/>
    <mergeCell ref="B21:D21"/>
    <mergeCell ref="B22:D22"/>
    <mergeCell ref="F12:J12"/>
    <mergeCell ref="B13:D13"/>
    <mergeCell ref="B14:D14"/>
    <mergeCell ref="A16:E16"/>
    <mergeCell ref="B17:D17"/>
    <mergeCell ref="F17:J17"/>
    <mergeCell ref="B7:E7"/>
    <mergeCell ref="B8:D8"/>
    <mergeCell ref="B9:D9"/>
    <mergeCell ref="A10:D10"/>
    <mergeCell ref="A11:E11"/>
    <mergeCell ref="A4:J4"/>
    <mergeCell ref="A5:D5"/>
    <mergeCell ref="E5:E6"/>
    <mergeCell ref="B6:D6"/>
    <mergeCell ref="F6:J6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24"/>
  <sheetViews>
    <sheetView showGridLines="0" tabSelected="1" zoomScaleNormal="100" workbookViewId="0">
      <selection activeCell="A20" sqref="A20:W20"/>
    </sheetView>
  </sheetViews>
  <sheetFormatPr defaultColWidth="9.140625" defaultRowHeight="15"/>
  <cols>
    <col min="1" max="1" width="13.140625" style="1" customWidth="1"/>
    <col min="2" max="2" width="44.42578125" style="1" customWidth="1"/>
    <col min="3" max="3" width="7.140625" style="1" customWidth="1"/>
    <col min="4" max="4" width="6.7109375" style="1" customWidth="1"/>
    <col min="5" max="5" width="10.140625" style="1" customWidth="1"/>
    <col min="6" max="6" width="12.5703125" style="1" customWidth="1"/>
    <col min="7" max="7" width="12.28515625" style="1" customWidth="1"/>
    <col min="8" max="8" width="13.42578125" style="1" customWidth="1"/>
    <col min="9" max="9" width="11.85546875" style="1" customWidth="1"/>
    <col min="10" max="10" width="13.7109375" style="1" customWidth="1"/>
    <col min="11" max="11" width="11.28515625" style="1" customWidth="1"/>
    <col min="12" max="12" width="15.5703125" style="1" customWidth="1"/>
    <col min="13" max="13" width="12.28515625" style="1" customWidth="1"/>
    <col min="14" max="14" width="7.42578125" style="1" customWidth="1"/>
    <col min="15" max="15" width="13.28515625" style="1" customWidth="1"/>
    <col min="16" max="16" width="12" style="1" customWidth="1"/>
    <col min="17" max="17" width="9.5703125" style="1" customWidth="1"/>
    <col min="18" max="18" width="11.28515625" style="1" customWidth="1"/>
    <col min="19" max="19" width="16.140625" style="1" customWidth="1"/>
    <col min="20" max="20" width="12.140625" style="1" customWidth="1"/>
    <col min="21" max="22" width="10.140625" style="1" customWidth="1"/>
    <col min="23" max="23" width="19.7109375" style="1" customWidth="1"/>
    <col min="24" max="259" width="9.140625" style="1"/>
    <col min="260" max="260" width="13.140625" style="1" customWidth="1"/>
    <col min="261" max="261" width="38.42578125" style="1" customWidth="1"/>
    <col min="262" max="262" width="7.140625" style="1" customWidth="1"/>
    <col min="263" max="263" width="6.7109375" style="1" customWidth="1"/>
    <col min="264" max="264" width="10.140625" style="1" customWidth="1"/>
    <col min="265" max="265" width="12.5703125" style="1" customWidth="1"/>
    <col min="266" max="266" width="12.28515625" style="1" customWidth="1"/>
    <col min="267" max="267" width="13.42578125" style="1" customWidth="1"/>
    <col min="268" max="268" width="12.140625" style="1" customWidth="1"/>
    <col min="269" max="269" width="13.7109375" style="1" customWidth="1"/>
    <col min="270" max="270" width="11.28515625" style="1" customWidth="1"/>
    <col min="271" max="271" width="15.5703125" style="1" customWidth="1"/>
    <col min="272" max="272" width="12.28515625" style="1" customWidth="1"/>
    <col min="273" max="273" width="7.42578125" style="1" customWidth="1"/>
    <col min="274" max="274" width="13.28515625" style="1" customWidth="1"/>
    <col min="275" max="275" width="14" style="1" customWidth="1"/>
    <col min="276" max="276" width="12.140625" style="1" customWidth="1"/>
    <col min="277" max="278" width="10.140625" style="1" customWidth="1"/>
    <col min="279" max="279" width="16.42578125" style="1" customWidth="1"/>
    <col min="280" max="515" width="9.140625" style="1"/>
    <col min="516" max="516" width="13.140625" style="1" customWidth="1"/>
    <col min="517" max="517" width="38.42578125" style="1" customWidth="1"/>
    <col min="518" max="518" width="7.140625" style="1" customWidth="1"/>
    <col min="519" max="519" width="6.7109375" style="1" customWidth="1"/>
    <col min="520" max="520" width="10.140625" style="1" customWidth="1"/>
    <col min="521" max="521" width="12.5703125" style="1" customWidth="1"/>
    <col min="522" max="522" width="12.28515625" style="1" customWidth="1"/>
    <col min="523" max="523" width="13.42578125" style="1" customWidth="1"/>
    <col min="524" max="524" width="12.140625" style="1" customWidth="1"/>
    <col min="525" max="525" width="13.7109375" style="1" customWidth="1"/>
    <col min="526" max="526" width="11.28515625" style="1" customWidth="1"/>
    <col min="527" max="527" width="15.5703125" style="1" customWidth="1"/>
    <col min="528" max="528" width="12.28515625" style="1" customWidth="1"/>
    <col min="529" max="529" width="7.42578125" style="1" customWidth="1"/>
    <col min="530" max="530" width="13.28515625" style="1" customWidth="1"/>
    <col min="531" max="531" width="14" style="1" customWidth="1"/>
    <col min="532" max="532" width="12.140625" style="1" customWidth="1"/>
    <col min="533" max="534" width="10.140625" style="1" customWidth="1"/>
    <col min="535" max="535" width="16.42578125" style="1" customWidth="1"/>
    <col min="536" max="771" width="9.140625" style="1"/>
    <col min="772" max="772" width="13.140625" style="1" customWidth="1"/>
    <col min="773" max="773" width="38.42578125" style="1" customWidth="1"/>
    <col min="774" max="774" width="7.140625" style="1" customWidth="1"/>
    <col min="775" max="775" width="6.7109375" style="1" customWidth="1"/>
    <col min="776" max="776" width="10.140625" style="1" customWidth="1"/>
    <col min="777" max="777" width="12.5703125" style="1" customWidth="1"/>
    <col min="778" max="778" width="12.28515625" style="1" customWidth="1"/>
    <col min="779" max="779" width="13.42578125" style="1" customWidth="1"/>
    <col min="780" max="780" width="12.140625" style="1" customWidth="1"/>
    <col min="781" max="781" width="13.7109375" style="1" customWidth="1"/>
    <col min="782" max="782" width="11.28515625" style="1" customWidth="1"/>
    <col min="783" max="783" width="15.5703125" style="1" customWidth="1"/>
    <col min="784" max="784" width="12.28515625" style="1" customWidth="1"/>
    <col min="785" max="785" width="7.42578125" style="1" customWidth="1"/>
    <col min="786" max="786" width="13.28515625" style="1" customWidth="1"/>
    <col min="787" max="787" width="14" style="1" customWidth="1"/>
    <col min="788" max="788" width="12.140625" style="1" customWidth="1"/>
    <col min="789" max="790" width="10.140625" style="1" customWidth="1"/>
    <col min="791" max="791" width="16.42578125" style="1" customWidth="1"/>
    <col min="792" max="1024" width="9.140625" style="1"/>
  </cols>
  <sheetData>
    <row r="1" spans="1:23">
      <c r="A1" s="4"/>
      <c r="B1" s="397" t="str">
        <f>INSTRUÇÕES!B1</f>
        <v>Tribunal Regional Federal da 6ª Região</v>
      </c>
      <c r="C1" s="224"/>
      <c r="D1" s="224"/>
      <c r="E1" s="224"/>
      <c r="F1" s="224"/>
      <c r="G1" s="224"/>
      <c r="H1" s="224"/>
      <c r="I1" s="224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9"/>
    </row>
    <row r="2" spans="1:23">
      <c r="A2" s="400"/>
      <c r="B2" s="125" t="str">
        <f>INSTRUÇÕES!B2</f>
        <v>Seção Judiciária de Minas Gerais</v>
      </c>
      <c r="C2" s="61"/>
      <c r="D2" s="61"/>
      <c r="E2" s="61"/>
      <c r="F2" s="61"/>
      <c r="G2" s="61"/>
      <c r="H2" s="61"/>
      <c r="I2" s="61"/>
      <c r="W2" s="401"/>
    </row>
    <row r="3" spans="1:23">
      <c r="A3" s="400"/>
      <c r="B3" s="125" t="str">
        <f>INSTRUÇÕES!B3</f>
        <v>Subseção Judiciária de Pouso Alegre</v>
      </c>
      <c r="C3" s="61"/>
      <c r="D3" s="61"/>
      <c r="E3" s="61"/>
      <c r="F3" s="61"/>
      <c r="G3" s="61"/>
      <c r="H3" s="61"/>
      <c r="I3" s="61"/>
      <c r="W3" s="401"/>
    </row>
    <row r="4" spans="1:23" s="402" customFormat="1" ht="18.75" customHeight="1">
      <c r="A4" s="653" t="s">
        <v>552</v>
      </c>
      <c r="B4" s="653"/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3"/>
      <c r="P4" s="653"/>
      <c r="Q4" s="653"/>
      <c r="R4" s="653"/>
      <c r="S4" s="653"/>
      <c r="T4" s="653"/>
      <c r="U4" s="653"/>
      <c r="V4" s="653"/>
      <c r="W4" s="653"/>
    </row>
    <row r="5" spans="1:23" s="128" customFormat="1" ht="21" customHeight="1">
      <c r="A5" s="654" t="str">
        <f>"PREÇO MENSAL GLOBAL - "&amp;B3</f>
        <v>PREÇO MENSAL GLOBAL - Subseção Judiciária de Pouso Alegre</v>
      </c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</row>
    <row r="6" spans="1:23" s="3" customFormat="1" ht="23.25" customHeight="1">
      <c r="A6" s="655" t="str">
        <f>Dados!A4</f>
        <v>Sindicato utilizado - SEAC/MG. Vigência: 01/01/2024 à 31/12/2024. Sendo a data base da categoria 01º Janeiro. Com número de registro no MTE MG000705/2024.</v>
      </c>
      <c r="B6" s="655"/>
      <c r="C6" s="655"/>
      <c r="D6" s="655"/>
      <c r="E6" s="655"/>
      <c r="F6" s="655"/>
      <c r="G6" s="655"/>
      <c r="H6" s="655"/>
      <c r="I6" s="655"/>
      <c r="J6" s="655"/>
      <c r="K6" s="655"/>
      <c r="L6" s="655"/>
      <c r="M6" s="655"/>
      <c r="N6" s="655"/>
      <c r="O6" s="655"/>
      <c r="P6" s="655"/>
      <c r="Q6" s="655"/>
      <c r="R6" s="655"/>
      <c r="S6" s="655"/>
      <c r="T6" s="655"/>
      <c r="U6" s="655"/>
      <c r="V6" s="655"/>
      <c r="W6" s="655"/>
    </row>
    <row r="7" spans="1:23" s="17" customFormat="1" ht="18.75" customHeight="1">
      <c r="A7" s="403"/>
      <c r="B7" s="404"/>
      <c r="C7" s="404"/>
      <c r="D7" s="404"/>
      <c r="E7" s="405"/>
      <c r="F7" s="405"/>
      <c r="G7" s="405"/>
      <c r="H7" s="406" t="s">
        <v>553</v>
      </c>
      <c r="I7" s="407"/>
      <c r="J7" s="407"/>
      <c r="K7" s="405"/>
      <c r="L7" s="405"/>
      <c r="M7" s="405"/>
      <c r="N7" s="405"/>
      <c r="O7" s="405"/>
      <c r="P7" s="405"/>
      <c r="Q7" s="405"/>
      <c r="R7" s="405"/>
      <c r="S7" s="656" t="s">
        <v>554</v>
      </c>
      <c r="T7" s="656"/>
      <c r="U7" s="656"/>
      <c r="V7" s="656"/>
      <c r="W7" s="656"/>
    </row>
    <row r="8" spans="1:23" s="17" customFormat="1" ht="22.5" customHeight="1">
      <c r="A8" s="657" t="s">
        <v>555</v>
      </c>
      <c r="B8" s="658" t="s">
        <v>556</v>
      </c>
      <c r="C8" s="658"/>
      <c r="D8" s="659" t="s">
        <v>44</v>
      </c>
      <c r="E8" s="659"/>
      <c r="F8" s="659"/>
      <c r="G8" s="659"/>
      <c r="H8" s="659"/>
      <c r="I8" s="659"/>
      <c r="J8" s="659"/>
      <c r="K8" s="659"/>
      <c r="L8" s="659"/>
      <c r="M8" s="659"/>
      <c r="N8" s="659"/>
      <c r="O8" s="659"/>
      <c r="P8" s="659"/>
      <c r="Q8" s="659"/>
      <c r="R8" s="659"/>
      <c r="S8" s="659"/>
      <c r="T8" s="659"/>
      <c r="U8" s="659"/>
      <c r="V8" s="659"/>
      <c r="W8" s="660" t="s">
        <v>557</v>
      </c>
    </row>
    <row r="9" spans="1:23" s="17" customFormat="1" ht="20.25" customHeight="1">
      <c r="A9" s="657"/>
      <c r="B9" s="658"/>
      <c r="C9" s="658"/>
      <c r="D9" s="661" t="s">
        <v>558</v>
      </c>
      <c r="E9" s="661"/>
      <c r="F9" s="661"/>
      <c r="G9" s="661" t="s">
        <v>559</v>
      </c>
      <c r="H9" s="661"/>
      <c r="I9" s="661"/>
      <c r="J9" s="662" t="s">
        <v>560</v>
      </c>
      <c r="K9" s="662"/>
      <c r="L9" s="662"/>
      <c r="M9" s="662"/>
      <c r="N9" s="662"/>
      <c r="O9" s="662"/>
      <c r="P9" s="663" t="s">
        <v>561</v>
      </c>
      <c r="Q9" s="663"/>
      <c r="R9" s="663"/>
      <c r="S9" s="408" t="s">
        <v>562</v>
      </c>
      <c r="T9" s="664" t="s">
        <v>563</v>
      </c>
      <c r="U9" s="664"/>
      <c r="V9" s="664"/>
      <c r="W9" s="660"/>
    </row>
    <row r="10" spans="1:23" s="17" customFormat="1" ht="27.75" customHeight="1">
      <c r="A10" s="657"/>
      <c r="B10" s="658"/>
      <c r="C10" s="658"/>
      <c r="D10" s="665" t="s">
        <v>564</v>
      </c>
      <c r="E10" s="665"/>
      <c r="F10" s="665"/>
      <c r="G10" s="666" t="s">
        <v>565</v>
      </c>
      <c r="H10" s="667" t="s">
        <v>566</v>
      </c>
      <c r="I10" s="667"/>
      <c r="J10" s="668" t="s">
        <v>567</v>
      </c>
      <c r="K10" s="668"/>
      <c r="L10" s="668"/>
      <c r="M10" s="669" t="s">
        <v>568</v>
      </c>
      <c r="N10" s="669"/>
      <c r="O10" s="669"/>
      <c r="P10" s="670" t="s">
        <v>569</v>
      </c>
      <c r="Q10" s="670"/>
      <c r="R10" s="670"/>
      <c r="S10" s="671" t="s">
        <v>570</v>
      </c>
      <c r="T10" s="670" t="s">
        <v>571</v>
      </c>
      <c r="U10" s="670"/>
      <c r="V10" s="670"/>
      <c r="W10" s="660"/>
    </row>
    <row r="11" spans="1:23" s="17" customFormat="1" ht="63.75">
      <c r="A11" s="657"/>
      <c r="B11" s="409" t="s">
        <v>25</v>
      </c>
      <c r="C11" s="410" t="s">
        <v>26</v>
      </c>
      <c r="D11" s="411" t="s">
        <v>24</v>
      </c>
      <c r="E11" s="412" t="s">
        <v>572</v>
      </c>
      <c r="F11" s="413" t="s">
        <v>573</v>
      </c>
      <c r="G11" s="666"/>
      <c r="H11" s="412" t="s">
        <v>574</v>
      </c>
      <c r="I11" s="414" t="s">
        <v>575</v>
      </c>
      <c r="J11" s="415" t="s">
        <v>576</v>
      </c>
      <c r="K11" s="412" t="s">
        <v>33</v>
      </c>
      <c r="L11" s="414" t="s">
        <v>577</v>
      </c>
      <c r="M11" s="409" t="s">
        <v>578</v>
      </c>
      <c r="N11" s="412" t="s">
        <v>34</v>
      </c>
      <c r="O11" s="416" t="s">
        <v>579</v>
      </c>
      <c r="P11" s="409" t="s">
        <v>580</v>
      </c>
      <c r="Q11" s="412" t="s">
        <v>581</v>
      </c>
      <c r="R11" s="410" t="s">
        <v>582</v>
      </c>
      <c r="S11" s="671"/>
      <c r="T11" s="409" t="s">
        <v>583</v>
      </c>
      <c r="U11" s="412" t="s">
        <v>584</v>
      </c>
      <c r="V11" s="414" t="s">
        <v>585</v>
      </c>
      <c r="W11" s="660"/>
    </row>
    <row r="12" spans="1:23" s="17" customFormat="1" ht="16.5" thickBot="1">
      <c r="A12" s="675"/>
      <c r="B12" s="417" t="str">
        <f>Dados!C7</f>
        <v>Assistente Administrativo</v>
      </c>
      <c r="C12" s="418">
        <f>Dados!D7</f>
        <v>150</v>
      </c>
      <c r="D12" s="419">
        <f>Dados!B7</f>
        <v>3</v>
      </c>
      <c r="E12" s="420">
        <f>'Ass. Administrativo 150'!F45</f>
        <v>3623.8</v>
      </c>
      <c r="F12" s="421">
        <f t="shared" ref="F12:F16" si="0">ROUND((D12*E12),2)</f>
        <v>10871.4</v>
      </c>
      <c r="G12" s="422">
        <f>'Ass. Administrativo 150'!I45</f>
        <v>48.61</v>
      </c>
      <c r="H12" s="423">
        <f>'Ocorrências Mensais - FAT'!F11+'Ocorrências Mensais - FAT'!H11</f>
        <v>0</v>
      </c>
      <c r="I12" s="424">
        <f>(ROUND((G12/Dados!$G$35*H12)-(G12/'Ocorrências Mensais - FAT'!$E$5*'Ocorrências Mensais - FAT'!G11),2))</f>
        <v>0</v>
      </c>
      <c r="J12" s="425">
        <f>'Ass. Administrativo 150'!G45</f>
        <v>3623.8</v>
      </c>
      <c r="K12" s="423">
        <f>'Ocorrências Mensais - FAT'!K11</f>
        <v>0</v>
      </c>
      <c r="L12" s="424">
        <f>J12/'Ocorrências Mensais - FAT'!$E$5*K12</f>
        <v>0</v>
      </c>
      <c r="M12" s="425">
        <f>'Custo Substituto'!$F$33</f>
        <v>2971.0299999999997</v>
      </c>
      <c r="N12" s="423">
        <f>'Ocorrências Mensais - FAT'!L11</f>
        <v>0</v>
      </c>
      <c r="O12" s="426">
        <f>M12/'Ocorrências Mensais - FAT'!$E$5*N12</f>
        <v>0</v>
      </c>
      <c r="P12" s="427">
        <f>'Ass. Administrativo 150'!H45</f>
        <v>0</v>
      </c>
      <c r="Q12" s="428">
        <f>'Ocorrências Mensais - FAT'!M11</f>
        <v>0</v>
      </c>
      <c r="R12" s="426">
        <f>ROUND((P12/Dados!$G$39*Q12),2)</f>
        <v>0</v>
      </c>
      <c r="S12" s="429">
        <f t="shared" ref="S12:S16" si="1">I12+L12+O12+R12</f>
        <v>0</v>
      </c>
      <c r="T12" s="430"/>
      <c r="U12" s="431"/>
      <c r="V12" s="432"/>
      <c r="W12" s="433">
        <f t="shared" ref="W12:W16" si="2">ROUND((F12-S12+V12),2)</f>
        <v>10871.4</v>
      </c>
    </row>
    <row r="13" spans="1:23" s="17" customFormat="1" ht="16.5" thickBot="1">
      <c r="A13" s="675"/>
      <c r="B13" s="417" t="str">
        <f>Dados!C8</f>
        <v>Servente de Limpeza</v>
      </c>
      <c r="C13" s="418">
        <f>Dados!D8</f>
        <v>220</v>
      </c>
      <c r="D13" s="419">
        <f>Dados!B8</f>
        <v>1</v>
      </c>
      <c r="E13" s="434">
        <f>'Servente 220'!$F$45</f>
        <v>5005.2700000000004</v>
      </c>
      <c r="F13" s="435">
        <f t="shared" si="0"/>
        <v>5005.2700000000004</v>
      </c>
      <c r="G13" s="436">
        <f>'Servente 220'!$I$45</f>
        <v>52.65</v>
      </c>
      <c r="H13" s="437">
        <f>'Ocorrências Mensais - FAT'!F12+'Ocorrências Mensais - FAT'!H12</f>
        <v>0</v>
      </c>
      <c r="I13" s="438">
        <f>(ROUND((G13/Dados!$G$35*H13)-(G13/'Ocorrências Mensais - FAT'!$E$5*'Ocorrências Mensais - FAT'!G12),2))</f>
        <v>0</v>
      </c>
      <c r="J13" s="439">
        <f>'Servente 220'!$G$45</f>
        <v>4108.47</v>
      </c>
      <c r="K13" s="437">
        <f>'Ocorrências Mensais - FAT'!K12</f>
        <v>0</v>
      </c>
      <c r="L13" s="438">
        <f>J13/'Ocorrências Mensais - FAT'!$E$5*K13</f>
        <v>0</v>
      </c>
      <c r="M13" s="439">
        <f>'Custo Substituto'!G33</f>
        <v>3466.34</v>
      </c>
      <c r="N13" s="423">
        <f>'Ocorrências Mensais - FAT'!L12</f>
        <v>0</v>
      </c>
      <c r="O13" s="440">
        <f>M13/'Ocorrências Mensais - FAT'!$E$5*N13</f>
        <v>0</v>
      </c>
      <c r="P13" s="441">
        <f>'Servente 220'!H45</f>
        <v>594.16999999999996</v>
      </c>
      <c r="Q13" s="428">
        <f>'Ocorrências Mensais - FAT'!M12</f>
        <v>0</v>
      </c>
      <c r="R13" s="426">
        <f>ROUND((P13/Dados!$G$39*Q13),2)</f>
        <v>0</v>
      </c>
      <c r="S13" s="442">
        <f t="shared" si="1"/>
        <v>0</v>
      </c>
      <c r="T13" s="446">
        <f>'Serv Insalubre 40%'!$J$46</f>
        <v>41.78</v>
      </c>
      <c r="U13" s="447">
        <f>'Ocorrências Mensais - FAT'!N13</f>
        <v>0</v>
      </c>
      <c r="V13" s="448">
        <f>T13*U13</f>
        <v>0</v>
      </c>
      <c r="W13" s="433">
        <f t="shared" si="2"/>
        <v>5005.2700000000004</v>
      </c>
    </row>
    <row r="14" spans="1:23" s="17" customFormat="1" ht="15.75">
      <c r="A14" s="675"/>
      <c r="B14" s="417" t="str">
        <f>Dados!C9</f>
        <v>Servente de Limpeza (40%)</v>
      </c>
      <c r="C14" s="418">
        <f>Dados!D9</f>
        <v>220</v>
      </c>
      <c r="D14" s="419">
        <f>Dados!B9</f>
        <v>1</v>
      </c>
      <c r="E14" s="434">
        <f>'Serv Insalubre 40%'!$F$45</f>
        <v>6258.6</v>
      </c>
      <c r="F14" s="435">
        <f t="shared" si="0"/>
        <v>6258.6</v>
      </c>
      <c r="G14" s="436">
        <f>'Serv Insalubre 40%'!$I$45</f>
        <v>52.65</v>
      </c>
      <c r="H14" s="437">
        <f>'Ocorrências Mensais - FAT'!F13+'Ocorrências Mensais - FAT'!H13</f>
        <v>0</v>
      </c>
      <c r="I14" s="438">
        <f>(ROUND((G14/Dados!$G$35*H14)-(G14/'Ocorrências Mensais - FAT'!$E$5*'Ocorrências Mensais - FAT'!G13),2))</f>
        <v>0</v>
      </c>
      <c r="J14" s="439">
        <f>'Serv Insalubre 40%'!$G$45</f>
        <v>5361.81</v>
      </c>
      <c r="K14" s="437">
        <f>'Ocorrências Mensais - FAT'!K13</f>
        <v>0</v>
      </c>
      <c r="L14" s="438">
        <f>J14/'Ocorrências Mensais - FAT'!$E$5*K14</f>
        <v>0</v>
      </c>
      <c r="M14" s="439">
        <f>'Custo Substituto'!H33</f>
        <v>4533.8900000000003</v>
      </c>
      <c r="N14" s="423">
        <f>'Ocorrências Mensais - FAT'!L13</f>
        <v>0</v>
      </c>
      <c r="O14" s="440">
        <f>M14/'Ocorrências Mensais - FAT'!$E$5*N14</f>
        <v>0</v>
      </c>
      <c r="P14" s="441">
        <f>'Serv Insalubre 40%'!H45</f>
        <v>594.16999999999996</v>
      </c>
      <c r="Q14" s="428">
        <f>'Ocorrências Mensais - FAT'!M13</f>
        <v>0</v>
      </c>
      <c r="R14" s="426">
        <f>ROUND((P14/Dados!$G$39*Q14),2)</f>
        <v>0</v>
      </c>
      <c r="S14" s="442">
        <f t="shared" si="1"/>
        <v>0</v>
      </c>
      <c r="T14" s="443"/>
      <c r="U14" s="444"/>
      <c r="V14" s="445"/>
      <c r="W14" s="433">
        <f t="shared" si="2"/>
        <v>6258.6</v>
      </c>
    </row>
    <row r="15" spans="1:23" s="17" customFormat="1" ht="15.75">
      <c r="A15" s="675"/>
      <c r="B15" s="417" t="str">
        <f>Dados!C10</f>
        <v>Auxiliar de Manutenção Predial</v>
      </c>
      <c r="C15" s="418">
        <f>Dados!D10</f>
        <v>150</v>
      </c>
      <c r="D15" s="419">
        <f>Dados!B10</f>
        <v>1</v>
      </c>
      <c r="E15" s="434">
        <f>'Aux. Manut. Predial'!$F$45</f>
        <v>3643.41</v>
      </c>
      <c r="F15" s="435">
        <f t="shared" si="0"/>
        <v>3643.41</v>
      </c>
      <c r="G15" s="436">
        <f>'Aux. Manut. Predial'!$I$45</f>
        <v>48.26</v>
      </c>
      <c r="H15" s="437">
        <f>'Ocorrências Mensais - FAT'!F14+'Ocorrências Mensais - FAT'!H14</f>
        <v>0</v>
      </c>
      <c r="I15" s="438">
        <f>(ROUND((G15/Dados!$G$35*H15)-(G15/'Ocorrências Mensais - FAT'!$E$5*'Ocorrências Mensais - FAT'!G14),2))</f>
        <v>0</v>
      </c>
      <c r="J15" s="439">
        <f>'Aux. Manut. Predial'!$G$45</f>
        <v>3643.41</v>
      </c>
      <c r="K15" s="437">
        <f>'Ocorrências Mensais - FAT'!K14</f>
        <v>0</v>
      </c>
      <c r="L15" s="438">
        <f>J15/'Ocorrências Mensais - FAT'!$E$5*K15</f>
        <v>0</v>
      </c>
      <c r="M15" s="439">
        <f>'Custo Substituto'!I33</f>
        <v>2979.6100000000006</v>
      </c>
      <c r="N15" s="423">
        <f>'Ocorrências Mensais - FAT'!L14</f>
        <v>0</v>
      </c>
      <c r="O15" s="440">
        <f>M15/'Ocorrências Mensais - FAT'!$E$5*N15</f>
        <v>0</v>
      </c>
      <c r="P15" s="441">
        <f>'Aux. Manut. Predial'!$H$45</f>
        <v>0</v>
      </c>
      <c r="Q15" s="428">
        <f>'Ocorrências Mensais - FAT'!M14</f>
        <v>0</v>
      </c>
      <c r="R15" s="426">
        <f>ROUND((P15/Dados!$G$39*Q15),2)</f>
        <v>0</v>
      </c>
      <c r="S15" s="442">
        <f t="shared" si="1"/>
        <v>0</v>
      </c>
      <c r="T15" s="443"/>
      <c r="U15" s="444"/>
      <c r="V15" s="445"/>
      <c r="W15" s="433">
        <f t="shared" si="2"/>
        <v>3643.41</v>
      </c>
    </row>
    <row r="16" spans="1:23" s="17" customFormat="1" ht="15.75">
      <c r="A16" s="675"/>
      <c r="B16" s="449" t="str">
        <f>Dados!C11</f>
        <v>Copeira</v>
      </c>
      <c r="C16" s="450">
        <f>Dados!D11</f>
        <v>150</v>
      </c>
      <c r="D16" s="451">
        <f>Dados!B11</f>
        <v>1</v>
      </c>
      <c r="E16" s="452">
        <f>'Copeira 150'!F45</f>
        <v>2512.3000000000002</v>
      </c>
      <c r="F16" s="453">
        <f t="shared" si="0"/>
        <v>2512.3000000000002</v>
      </c>
      <c r="G16" s="454">
        <f>'Copeira 150'!I45</f>
        <v>87.95</v>
      </c>
      <c r="H16" s="455">
        <f>'Ocorrências Mensais - FAT'!F15+'Ocorrências Mensais - FAT'!H15</f>
        <v>0</v>
      </c>
      <c r="I16" s="456">
        <f>(ROUND((G16/Dados!$G$35*H16)-(G16/'Ocorrências Mensais - FAT'!$E$5*'Ocorrências Mensais - FAT'!G15),2))</f>
        <v>0</v>
      </c>
      <c r="J16" s="454">
        <f>'Copeira 150'!G45</f>
        <v>2480.21</v>
      </c>
      <c r="K16" s="455">
        <f>'Ocorrências Mensais - FAT'!K15</f>
        <v>0</v>
      </c>
      <c r="L16" s="456">
        <f>J16/'Ocorrências Mensais - FAT'!$E$5*K16</f>
        <v>0</v>
      </c>
      <c r="M16" s="454">
        <f>'Custo Substituto'!J33</f>
        <v>2010.35</v>
      </c>
      <c r="N16" s="455">
        <f>'Ocorrências Mensais - FAT'!L15</f>
        <v>0</v>
      </c>
      <c r="O16" s="456">
        <f>M16/'Ocorrências Mensais - FAT'!$E$5*N16</f>
        <v>0</v>
      </c>
      <c r="P16" s="457">
        <f>'Copeira 150'!H45</f>
        <v>0</v>
      </c>
      <c r="Q16" s="458">
        <f>'Ocorrências Mensais - FAT'!M15</f>
        <v>0</v>
      </c>
      <c r="R16" s="459">
        <f>ROUND((P16/Dados!$G$39*Q16),2)</f>
        <v>0</v>
      </c>
      <c r="S16" s="460">
        <f t="shared" si="1"/>
        <v>0</v>
      </c>
      <c r="T16" s="461"/>
      <c r="U16" s="462"/>
      <c r="V16" s="463"/>
      <c r="W16" s="464">
        <f t="shared" si="2"/>
        <v>2512.3000000000002</v>
      </c>
    </row>
    <row r="17" spans="1:25" s="57" customFormat="1" ht="21.75" customHeight="1">
      <c r="A17" s="676" t="s">
        <v>586</v>
      </c>
      <c r="B17" s="676"/>
      <c r="C17" s="676"/>
      <c r="D17" s="465">
        <f>SUM(D12:D16)</f>
        <v>7</v>
      </c>
      <c r="E17" s="466"/>
      <c r="F17" s="467">
        <f>SUM(F12:F16)</f>
        <v>28290.98</v>
      </c>
      <c r="G17" s="468"/>
      <c r="H17" s="466">
        <f t="shared" ref="H17:O17" si="3">SUM(H12:H16)</f>
        <v>0</v>
      </c>
      <c r="I17" s="469">
        <f t="shared" si="3"/>
        <v>0</v>
      </c>
      <c r="J17" s="470">
        <f t="shared" si="3"/>
        <v>19217.7</v>
      </c>
      <c r="K17" s="466">
        <f t="shared" si="3"/>
        <v>0</v>
      </c>
      <c r="L17" s="469">
        <f t="shared" si="3"/>
        <v>0</v>
      </c>
      <c r="M17" s="471">
        <f t="shared" si="3"/>
        <v>15961.220000000001</v>
      </c>
      <c r="N17" s="466">
        <f t="shared" si="3"/>
        <v>0</v>
      </c>
      <c r="O17" s="467">
        <f t="shared" si="3"/>
        <v>0</v>
      </c>
      <c r="P17" s="468"/>
      <c r="Q17" s="466">
        <f>SUM(Q12:Q16)</f>
        <v>0</v>
      </c>
      <c r="R17" s="467">
        <f>SUM(R12:R16)</f>
        <v>0</v>
      </c>
      <c r="S17" s="472">
        <f>SUM(S12:S16)</f>
        <v>0</v>
      </c>
      <c r="T17" s="470"/>
      <c r="U17" s="466">
        <f>SUM(U12:U16)</f>
        <v>0</v>
      </c>
      <c r="V17" s="469">
        <f>SUM(V12:V16)</f>
        <v>0</v>
      </c>
      <c r="W17" s="473">
        <f>SUM(W12:W16)</f>
        <v>28290.98</v>
      </c>
      <c r="X17" s="474" t="s">
        <v>587</v>
      </c>
      <c r="Y17" s="116"/>
    </row>
    <row r="18" spans="1:25" s="51" customFormat="1" ht="18" customHeight="1">
      <c r="A18" s="677" t="s">
        <v>588</v>
      </c>
      <c r="B18" s="677"/>
      <c r="C18" s="677"/>
      <c r="D18" s="677"/>
      <c r="E18" s="677"/>
      <c r="F18" s="677"/>
      <c r="G18" s="677"/>
      <c r="H18" s="677"/>
      <c r="I18" s="677"/>
      <c r="J18" s="677"/>
      <c r="K18" s="677"/>
      <c r="L18" s="677"/>
      <c r="M18" s="677"/>
      <c r="N18" s="677"/>
      <c r="O18" s="677"/>
      <c r="P18" s="677"/>
      <c r="Q18" s="677"/>
      <c r="R18" s="677"/>
      <c r="S18" s="677"/>
      <c r="T18" s="677"/>
      <c r="U18" s="677"/>
      <c r="V18" s="677"/>
      <c r="W18" s="475">
        <f>Mat!G51+Mat!G63</f>
        <v>1473.09</v>
      </c>
    </row>
    <row r="19" spans="1:25" s="51" customFormat="1" ht="20.25" customHeight="1">
      <c r="A19" s="677" t="s">
        <v>589</v>
      </c>
      <c r="B19" s="677"/>
      <c r="C19" s="677"/>
      <c r="D19" s="677"/>
      <c r="E19" s="677"/>
      <c r="F19" s="677"/>
      <c r="G19" s="677"/>
      <c r="H19" s="677"/>
      <c r="I19" s="677"/>
      <c r="J19" s="677"/>
      <c r="K19" s="677"/>
      <c r="L19" s="677"/>
      <c r="M19" s="677"/>
      <c r="N19" s="677"/>
      <c r="O19" s="677"/>
      <c r="P19" s="677"/>
      <c r="Q19" s="677"/>
      <c r="R19" s="677"/>
      <c r="S19" s="677"/>
      <c r="T19" s="677"/>
      <c r="U19" s="677"/>
      <c r="V19" s="677"/>
      <c r="W19" s="476">
        <f>(W17*12)</f>
        <v>339491.76</v>
      </c>
    </row>
    <row r="20" spans="1:25" s="61" customFormat="1" ht="24" customHeight="1">
      <c r="A20" s="678" t="s">
        <v>52</v>
      </c>
      <c r="B20" s="678"/>
      <c r="C20" s="678"/>
      <c r="D20" s="678"/>
      <c r="E20" s="678"/>
      <c r="F20" s="678"/>
      <c r="G20" s="678"/>
      <c r="H20" s="678"/>
      <c r="I20" s="678"/>
      <c r="J20" s="678"/>
      <c r="K20" s="678"/>
      <c r="L20" s="678"/>
      <c r="M20" s="678"/>
      <c r="N20" s="678"/>
      <c r="O20" s="678"/>
      <c r="P20" s="678"/>
      <c r="Q20" s="678"/>
      <c r="R20" s="678"/>
      <c r="S20" s="678"/>
      <c r="T20" s="678"/>
      <c r="U20" s="678"/>
      <c r="V20" s="678"/>
      <c r="W20" s="678"/>
    </row>
    <row r="21" spans="1:25" s="51" customFormat="1" ht="26.25" customHeight="1">
      <c r="A21" s="672" t="str">
        <f>CONCATENATE("1. Nas FÉRIAS SEM SUBSTITUIÇÃO DA SERVENTE INSALUBRE, quando o trabalho de limpeza de banheiros públicos ou de grande circulação for efetuado por outra servente do quadro, deverá ser acrescentado o valor de R$",T13," por dia em que este fato ocorrer.")</f>
        <v>1. Nas FÉRIAS SEM SUBSTITUIÇÃO DA SERVENTE INSALUBRE, quando o trabalho de limpeza de banheiros públicos ou de grande circulação for efetuado por outra servente do quadro, deverá ser acrescentado o valor de R$41,78 por dia em que este fato ocorrer.</v>
      </c>
      <c r="B21" s="672"/>
      <c r="C21" s="672"/>
      <c r="D21" s="672"/>
      <c r="E21" s="672"/>
      <c r="F21" s="672"/>
      <c r="G21" s="672"/>
      <c r="H21" s="672"/>
      <c r="I21" s="672"/>
      <c r="J21" s="672"/>
      <c r="K21" s="672"/>
      <c r="L21" s="672"/>
      <c r="M21" s="672"/>
      <c r="N21" s="672"/>
      <c r="O21" s="672"/>
      <c r="P21" s="672"/>
      <c r="Q21" s="672"/>
      <c r="R21" s="672"/>
      <c r="S21" s="672"/>
      <c r="T21" s="672"/>
      <c r="U21" s="672"/>
      <c r="V21" s="672"/>
      <c r="W21" s="672"/>
    </row>
    <row r="22" spans="1:25" s="477" customFormat="1" ht="18.75" customHeight="1">
      <c r="A22" s="673"/>
      <c r="B22" s="673"/>
      <c r="C22" s="673"/>
      <c r="D22" s="673"/>
      <c r="E22" s="673"/>
      <c r="F22" s="673"/>
      <c r="G22" s="673"/>
      <c r="H22" s="673"/>
      <c r="I22" s="673"/>
      <c r="J22" s="673"/>
      <c r="K22" s="673"/>
      <c r="L22" s="673"/>
      <c r="M22" s="673"/>
      <c r="N22" s="673"/>
      <c r="O22" s="673"/>
      <c r="P22" s="673"/>
      <c r="Q22" s="673"/>
      <c r="R22" s="673"/>
      <c r="S22" s="673"/>
      <c r="T22" s="673"/>
      <c r="U22" s="673"/>
      <c r="V22" s="673"/>
      <c r="W22" s="673"/>
    </row>
    <row r="23" spans="1:25">
      <c r="A23" s="674"/>
      <c r="B23" s="674"/>
      <c r="C23" s="674"/>
      <c r="D23" s="674"/>
      <c r="E23" s="674"/>
      <c r="F23" s="674"/>
      <c r="G23" s="674"/>
      <c r="H23" s="674"/>
      <c r="I23" s="674"/>
      <c r="J23" s="674"/>
      <c r="K23" s="674"/>
      <c r="L23" s="674"/>
      <c r="M23" s="674"/>
      <c r="N23" s="674"/>
      <c r="O23" s="674"/>
      <c r="P23" s="674"/>
      <c r="Q23" s="674"/>
      <c r="R23" s="674"/>
      <c r="S23" s="674"/>
      <c r="T23" s="674"/>
      <c r="U23" s="674"/>
      <c r="V23" s="674"/>
      <c r="W23" s="674"/>
    </row>
    <row r="24" spans="1:25">
      <c r="A24" s="674"/>
      <c r="B24" s="674"/>
      <c r="C24" s="674"/>
      <c r="D24" s="674"/>
      <c r="E24" s="674"/>
      <c r="F24" s="674"/>
      <c r="G24" s="674"/>
      <c r="H24" s="674"/>
      <c r="I24" s="674"/>
      <c r="J24" s="674"/>
      <c r="K24" s="674"/>
      <c r="L24" s="674"/>
      <c r="M24" s="674"/>
      <c r="N24" s="674"/>
      <c r="O24" s="674"/>
      <c r="P24" s="674"/>
      <c r="Q24" s="674"/>
      <c r="R24" s="674"/>
      <c r="S24" s="674"/>
      <c r="T24" s="674"/>
      <c r="U24" s="674"/>
      <c r="V24" s="674"/>
      <c r="W24" s="674"/>
    </row>
  </sheetData>
  <sheetProtection algorithmName="SHA-512" hashValue="C8Ga2KjTPEkUM0A/oGfbXV491flxZuJWma43ivjF+hb3KafBHt67WlvsMIh7hZGCHnmrz9yr0HHa2nEPd1WmJQ==" saltValue="blLdUX6zECfrUKRiozr4sQ==" spinCount="100000" sheet="1" objects="1" scenarios="1"/>
  <mergeCells count="30">
    <mergeCell ref="A21:W21"/>
    <mergeCell ref="A22:W22"/>
    <mergeCell ref="A23:W23"/>
    <mergeCell ref="A24:W24"/>
    <mergeCell ref="A12:A16"/>
    <mergeCell ref="A17:C17"/>
    <mergeCell ref="A18:V18"/>
    <mergeCell ref="A19:V19"/>
    <mergeCell ref="A20:W20"/>
    <mergeCell ref="J10:L10"/>
    <mergeCell ref="M10:O10"/>
    <mergeCell ref="P10:R10"/>
    <mergeCell ref="S10:S11"/>
    <mergeCell ref="T10:V10"/>
    <mergeCell ref="A4:W4"/>
    <mergeCell ref="A5:W5"/>
    <mergeCell ref="A6:W6"/>
    <mergeCell ref="S7:W7"/>
    <mergeCell ref="A8:A11"/>
    <mergeCell ref="B8:C10"/>
    <mergeCell ref="D8:V8"/>
    <mergeCell ref="W8:W11"/>
    <mergeCell ref="D9:F9"/>
    <mergeCell ref="G9:I9"/>
    <mergeCell ref="J9:O9"/>
    <mergeCell ref="P9:R9"/>
    <mergeCell ref="T9:V9"/>
    <mergeCell ref="D10:F10"/>
    <mergeCell ref="G10:G11"/>
    <mergeCell ref="H10:I10"/>
  </mergeCells>
  <pageMargins left="0.51180555555555496" right="0.51180555555555496" top="0.78749999999999998" bottom="0.78749999999999998" header="0.51180555555555496" footer="0.51180555555555496"/>
  <pageSetup paperSize="9" scale="43" orientation="landscape" horizontalDpi="300" verticalDpi="300"/>
  <colBreaks count="1" manualBreakCount="1">
    <brk id="23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Fábio Lucas Gouveia dos Santos</dc:creator>
  <cp:keywords/>
  <dc:description/>
  <cp:lastModifiedBy>Raphael Luiz de Oliveira Nolasco</cp:lastModifiedBy>
  <cp:revision>22</cp:revision>
  <dcterms:created xsi:type="dcterms:W3CDTF">2015-06-05T18:17:20Z</dcterms:created>
  <dcterms:modified xsi:type="dcterms:W3CDTF">2024-05-29T18:16:49Z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