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d.docs.live.net/7e07fa15970e1a66/Desktop/PASTA/GERAL/TRF-6/SELIT/PREGÃO 2025 - UASG 90013/PREGÃO 90014 - LIMPEZA PASSOS/DOU/"/>
    </mc:Choice>
  </mc:AlternateContent>
  <xr:revisionPtr revIDLastSave="0" documentId="8_{E59CEDB0-26D7-4F32-85F3-AD243D90428C}" xr6:coauthVersionLast="47" xr6:coauthVersionMax="47" xr10:uidLastSave="{00000000-0000-0000-0000-000000000000}"/>
  <bookViews>
    <workbookView xWindow="-108" yWindow="-108" windowWidth="23256" windowHeight="13896" tabRatio="843" firstSheet="1" activeTab="1" xr2:uid="{00000000-000D-0000-FFFF-FFFF00000000}"/>
  </bookViews>
  <sheets>
    <sheet name="Ocorrências Mensais - FAT" sheetId="1" state="hidden" r:id="rId1"/>
    <sheet name="INSTRUÇÕES" sheetId="2" r:id="rId2"/>
    <sheet name="Dados" sheetId="3" r:id="rId3"/>
    <sheet name="Encargos" sheetId="4" r:id="rId4"/>
    <sheet name="Insumos" sheetId="5" r:id="rId5"/>
    <sheet name="EPI" sheetId="17" r:id="rId6"/>
    <sheet name="Equipamentos" sheetId="6" r:id="rId7"/>
    <sheet name="Uniformes" sheetId="7" r:id="rId8"/>
    <sheet name="Resumo" sheetId="14" r:id="rId9"/>
    <sheet name="Servente Insalub" sheetId="9" r:id="rId10"/>
    <sheet name="Servente acúmulo Copeira" sheetId="10" r:id="rId11"/>
    <sheet name="Auxiliar Adm 150" sheetId="12" r:id="rId12"/>
    <sheet name="Auxiliar Adm 200" sheetId="13" r:id="rId13"/>
    <sheet name="Custo Estimado Substituto" sheetId="15" r:id="rId14"/>
    <sheet name="IPCA" sheetId="16" state="hidden" r:id="rId15"/>
  </sheets>
  <definedNames>
    <definedName name="_xlnm.Print_Area" localSheetId="11">'Auxiliar Adm 150'!$A$1:$J$46</definedName>
    <definedName name="_xlnm.Print_Area" localSheetId="12">'Auxiliar Adm 200'!$A$1:$J$46</definedName>
    <definedName name="_xlnm.Print_Area" localSheetId="2">Dados!$A$1:$S$55</definedName>
    <definedName name="_xlnm.Print_Area" localSheetId="3">Encargos!$A$1:$H$59</definedName>
    <definedName name="_xlnm.Print_Area" localSheetId="1">INSTRUÇÕES!$A$1:$Y$84</definedName>
    <definedName name="_xlnm.Print_Area" localSheetId="4">Insumos!$A$1:$L$61</definedName>
    <definedName name="_xlnm.Print_Area" localSheetId="10">'Servente acúmulo Copeira'!$A$1:$J$46</definedName>
    <definedName name="_xlnm.Print_Area" localSheetId="9">'Servente Insalub'!$A$1:$J$46</definedName>
    <definedName name="_xlnm.Print_Area" localSheetId="7">Uniformes!$A$1:$H$27</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Print_Area_0" localSheetId="11">'Auxiliar Adm 150'!$A$1:$J$46</definedName>
    <definedName name="Print_Area_0" localSheetId="12">'Auxiliar Adm 200'!$A$1:$J$46</definedName>
    <definedName name="Print_Area_0" localSheetId="2">Dados!$A$1:$S$55</definedName>
    <definedName name="Print_Area_0" localSheetId="3">Encargos!$A$1:$H$59</definedName>
    <definedName name="Print_Area_0" localSheetId="4">Insumos!$A$1:$L$61</definedName>
    <definedName name="Print_Area_0" localSheetId="10">'Servente acúmulo Copeira'!$A$1:$J$46</definedName>
    <definedName name="Print_Area_0" localSheetId="9">'Servente Insalub'!$A$1:$J$46</definedName>
    <definedName name="Print_Area_0" localSheetId="7">Uniformes!$A$1:$H$27</definedName>
    <definedName name="TERRIT">NA()</definedName>
    <definedName name="Tipo_de_Joranda_de_Trabalho">NA()</definedName>
    <definedName name="TP_SERV">NA()</definedName>
    <definedName name="TP_SERVPERC">NA()</definedName>
    <definedName name="VRSELEC">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8" i="6" l="1"/>
  <c r="F18" i="6" s="1"/>
  <c r="G18" i="6" s="1"/>
  <c r="G19" i="6" s="1"/>
  <c r="B70" i="1"/>
  <c r="B71" i="1"/>
  <c r="B72" i="1"/>
  <c r="B73" i="1"/>
  <c r="B74" i="1"/>
  <c r="B75" i="1"/>
  <c r="B76" i="1"/>
  <c r="B77" i="1"/>
  <c r="B78" i="1"/>
  <c r="B69" i="1"/>
  <c r="E75" i="1"/>
  <c r="F75" i="1"/>
  <c r="M75" i="1"/>
  <c r="N75" i="1"/>
  <c r="O75" i="1" s="1"/>
  <c r="E76" i="1"/>
  <c r="F76" i="1"/>
  <c r="M76" i="1"/>
  <c r="N76" i="1"/>
  <c r="O76" i="1" s="1"/>
  <c r="E77" i="1"/>
  <c r="F77" i="1"/>
  <c r="M77" i="1"/>
  <c r="N77" i="1"/>
  <c r="O77" i="1" s="1"/>
  <c r="E78" i="1"/>
  <c r="F78" i="1"/>
  <c r="M78" i="1"/>
  <c r="N78" i="1"/>
  <c r="O78" i="1" s="1"/>
  <c r="F70" i="1"/>
  <c r="F71" i="1"/>
  <c r="F72" i="1"/>
  <c r="F73" i="1"/>
  <c r="F74" i="1"/>
  <c r="F69" i="1"/>
  <c r="M70" i="1"/>
  <c r="N70" i="1"/>
  <c r="O70" i="1" s="1"/>
  <c r="M71" i="1"/>
  <c r="N71" i="1"/>
  <c r="O71" i="1" s="1"/>
  <c r="M72" i="1"/>
  <c r="N72" i="1"/>
  <c r="O72" i="1" s="1"/>
  <c r="M73" i="1"/>
  <c r="N73" i="1"/>
  <c r="O73" i="1" s="1"/>
  <c r="M74" i="1"/>
  <c r="N74" i="1"/>
  <c r="O74" i="1" s="1"/>
  <c r="E70" i="1"/>
  <c r="E71" i="1"/>
  <c r="E72" i="1"/>
  <c r="E73" i="1"/>
  <c r="E74" i="1"/>
  <c r="M27" i="1"/>
  <c r="N27" i="1"/>
  <c r="O27" i="1" s="1"/>
  <c r="M28" i="1"/>
  <c r="N28" i="1"/>
  <c r="O28" i="1" s="1"/>
  <c r="M29" i="1"/>
  <c r="N29" i="1"/>
  <c r="O29" i="1" s="1"/>
  <c r="M30" i="1"/>
  <c r="N30" i="1"/>
  <c r="O30" i="1" s="1"/>
  <c r="M31" i="1"/>
  <c r="N31" i="1"/>
  <c r="O31" i="1" s="1"/>
  <c r="M32" i="1"/>
  <c r="N32" i="1"/>
  <c r="O32" i="1" s="1"/>
  <c r="M33" i="1"/>
  <c r="N33" i="1"/>
  <c r="O33" i="1" s="1"/>
  <c r="M34" i="1"/>
  <c r="N34" i="1"/>
  <c r="O34" i="1" s="1"/>
  <c r="M35" i="1"/>
  <c r="N35" i="1"/>
  <c r="O35" i="1" s="1"/>
  <c r="M36" i="1"/>
  <c r="N36" i="1"/>
  <c r="O36" i="1" s="1"/>
  <c r="M37" i="1"/>
  <c r="N37" i="1"/>
  <c r="O37" i="1" s="1"/>
  <c r="M38" i="1"/>
  <c r="N38" i="1"/>
  <c r="O38" i="1" s="1"/>
  <c r="M39" i="1"/>
  <c r="N39" i="1"/>
  <c r="O39" i="1" s="1"/>
  <c r="M40" i="1"/>
  <c r="N40" i="1"/>
  <c r="O40" i="1" s="1"/>
  <c r="M41" i="1"/>
  <c r="N41" i="1"/>
  <c r="O41" i="1" s="1"/>
  <c r="M42" i="1"/>
  <c r="N42" i="1"/>
  <c r="O42" i="1" s="1"/>
  <c r="M43" i="1"/>
  <c r="N43" i="1"/>
  <c r="O43" i="1" s="1"/>
  <c r="M44" i="1"/>
  <c r="N44" i="1"/>
  <c r="O44" i="1" s="1"/>
  <c r="M45" i="1"/>
  <c r="N45" i="1"/>
  <c r="O45" i="1" s="1"/>
  <c r="M46" i="1"/>
  <c r="N46" i="1"/>
  <c r="O46" i="1" s="1"/>
  <c r="M47" i="1"/>
  <c r="N47" i="1"/>
  <c r="O47" i="1" s="1"/>
  <c r="M48" i="1"/>
  <c r="N48" i="1"/>
  <c r="O48" i="1" s="1"/>
  <c r="M49" i="1"/>
  <c r="N49" i="1"/>
  <c r="O49" i="1" s="1"/>
  <c r="M50" i="1"/>
  <c r="N50" i="1"/>
  <c r="O50" i="1" s="1"/>
  <c r="M51" i="1"/>
  <c r="N51" i="1"/>
  <c r="O51" i="1" s="1"/>
  <c r="M52" i="1"/>
  <c r="N52" i="1"/>
  <c r="O52" i="1" s="1"/>
  <c r="M53" i="1"/>
  <c r="N53" i="1"/>
  <c r="O53" i="1" s="1"/>
  <c r="M54" i="1"/>
  <c r="N54" i="1"/>
  <c r="O54" i="1" s="1"/>
  <c r="M55" i="1"/>
  <c r="N55" i="1"/>
  <c r="O55" i="1" s="1"/>
  <c r="M56" i="1"/>
  <c r="N56" i="1"/>
  <c r="O56" i="1" s="1"/>
  <c r="M57" i="1"/>
  <c r="N57" i="1"/>
  <c r="O57" i="1" s="1"/>
  <c r="M58" i="1"/>
  <c r="N58" i="1"/>
  <c r="O58" i="1" s="1"/>
  <c r="M59" i="1"/>
  <c r="N59" i="1"/>
  <c r="O59" i="1" s="1"/>
  <c r="M60" i="1"/>
  <c r="N60" i="1"/>
  <c r="O60" i="1" s="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27" i="1"/>
  <c r="B28" i="1"/>
  <c r="H18" i="7"/>
  <c r="H17" i="7"/>
  <c r="F12" i="7"/>
  <c r="F10" i="7"/>
  <c r="F11" i="7"/>
  <c r="H11" i="7" s="1"/>
  <c r="F9" i="7"/>
  <c r="K17" i="7"/>
  <c r="L17" i="7" s="1"/>
  <c r="M17" i="7" s="1"/>
  <c r="N17" i="7" s="1"/>
  <c r="O17" i="7" s="1"/>
  <c r="F25" i="7"/>
  <c r="F24" i="7"/>
  <c r="F23" i="7"/>
  <c r="E11" i="6"/>
  <c r="F11" i="6" s="1"/>
  <c r="G11" i="6" s="1"/>
  <c r="E12" i="6"/>
  <c r="F12" i="6" s="1"/>
  <c r="G12" i="6" s="1"/>
  <c r="E13" i="6"/>
  <c r="F13" i="6" s="1"/>
  <c r="G13" i="6" s="1"/>
  <c r="E14" i="6"/>
  <c r="F14" i="6" s="1"/>
  <c r="G14" i="6" s="1"/>
  <c r="L38" i="5"/>
  <c r="A25" i="7"/>
  <c r="A12" i="7"/>
  <c r="E10" i="6"/>
  <c r="F10" i="6" s="1"/>
  <c r="G10" i="6" s="1"/>
  <c r="O6" i="3"/>
  <c r="A14" i="1"/>
  <c r="C14" i="1"/>
  <c r="C11" i="1"/>
  <c r="E69" i="1"/>
  <c r="N26" i="1"/>
  <c r="M26" i="1"/>
  <c r="F26" i="1"/>
  <c r="E26" i="1"/>
  <c r="B26" i="1"/>
  <c r="L74" i="1" l="1"/>
  <c r="G74" i="1" s="1"/>
  <c r="J55" i="5" s="1"/>
  <c r="K55" i="5" s="1"/>
  <c r="H19" i="7"/>
  <c r="L76" i="1"/>
  <c r="G76" i="1" s="1"/>
  <c r="J57" i="5" s="1"/>
  <c r="K57" i="5" s="1"/>
  <c r="L77" i="1"/>
  <c r="G77" i="1" s="1"/>
  <c r="J58" i="5" s="1"/>
  <c r="K58" i="5" s="1"/>
  <c r="L78" i="1"/>
  <c r="G78" i="1" s="1"/>
  <c r="J59" i="5" s="1"/>
  <c r="K59" i="5" s="1"/>
  <c r="L75" i="1"/>
  <c r="G75" i="1" s="1"/>
  <c r="J56" i="5" s="1"/>
  <c r="K56" i="5" s="1"/>
  <c r="L60" i="1"/>
  <c r="G60" i="1" s="1"/>
  <c r="L70" i="1"/>
  <c r="G70" i="1" s="1"/>
  <c r="J51" i="5" s="1"/>
  <c r="K51" i="5" s="1"/>
  <c r="L59" i="1"/>
  <c r="G59" i="1" s="1"/>
  <c r="H74" i="1"/>
  <c r="I74" i="1"/>
  <c r="L73" i="1"/>
  <c r="G73" i="1" s="1"/>
  <c r="J54" i="5" s="1"/>
  <c r="K54" i="5" s="1"/>
  <c r="L72" i="1"/>
  <c r="G72" i="1" s="1"/>
  <c r="J53" i="5" s="1"/>
  <c r="K53" i="5" s="1"/>
  <c r="L71" i="1"/>
  <c r="G71" i="1" s="1"/>
  <c r="J52" i="5" s="1"/>
  <c r="K52" i="5" s="1"/>
  <c r="L37" i="1"/>
  <c r="G37" i="1" s="1"/>
  <c r="L57" i="1"/>
  <c r="G57" i="1" s="1"/>
  <c r="L50" i="1"/>
  <c r="G50" i="1" s="1"/>
  <c r="J33" i="5" s="1"/>
  <c r="K33" i="5" s="1"/>
  <c r="L30" i="1"/>
  <c r="G30" i="1" s="1"/>
  <c r="L55" i="1"/>
  <c r="G55" i="1" s="1"/>
  <c r="J38" i="5" s="1"/>
  <c r="K38" i="5" s="1"/>
  <c r="L42" i="1"/>
  <c r="G42" i="1" s="1"/>
  <c r="L29" i="1"/>
  <c r="G29" i="1" s="1"/>
  <c r="J12" i="5" s="1"/>
  <c r="K12" i="5" s="1"/>
  <c r="L49" i="1"/>
  <c r="G49" i="1" s="1"/>
  <c r="L54" i="1"/>
  <c r="G54" i="1" s="1"/>
  <c r="L41" i="1"/>
  <c r="G41" i="1" s="1"/>
  <c r="J24" i="5" s="1"/>
  <c r="K24" i="5" s="1"/>
  <c r="L34" i="1"/>
  <c r="G34" i="1" s="1"/>
  <c r="L46" i="1"/>
  <c r="G46" i="1" s="1"/>
  <c r="J29" i="5" s="1"/>
  <c r="K29" i="5" s="1"/>
  <c r="L33" i="1"/>
  <c r="G33" i="1" s="1"/>
  <c r="J16" i="5" s="1"/>
  <c r="K16" i="5" s="1"/>
  <c r="L45" i="1"/>
  <c r="G45" i="1" s="1"/>
  <c r="J28" i="5" s="1"/>
  <c r="K28" i="5" s="1"/>
  <c r="L58" i="1"/>
  <c r="G58" i="1" s="1"/>
  <c r="J41" i="5" s="1"/>
  <c r="K41" i="5" s="1"/>
  <c r="L38" i="1"/>
  <c r="G38" i="1" s="1"/>
  <c r="J21" i="5" s="1"/>
  <c r="K21" i="5" s="1"/>
  <c r="L32" i="1"/>
  <c r="G32" i="1" s="1"/>
  <c r="J15" i="5" s="1"/>
  <c r="K15" i="5" s="1"/>
  <c r="L44" i="1"/>
  <c r="G44" i="1" s="1"/>
  <c r="J27" i="5" s="1"/>
  <c r="K27" i="5" s="1"/>
  <c r="L31" i="1"/>
  <c r="G31" i="1" s="1"/>
  <c r="J14" i="5" s="1"/>
  <c r="K14" i="5" s="1"/>
  <c r="L56" i="1"/>
  <c r="G56" i="1" s="1"/>
  <c r="J39" i="5" s="1"/>
  <c r="K39" i="5" s="1"/>
  <c r="L36" i="1"/>
  <c r="G36" i="1" s="1"/>
  <c r="J19" i="5" s="1"/>
  <c r="K19" i="5" s="1"/>
  <c r="L51" i="1"/>
  <c r="G51" i="1" s="1"/>
  <c r="J34" i="5" s="1"/>
  <c r="K34" i="5" s="1"/>
  <c r="L43" i="1"/>
  <c r="G43" i="1" s="1"/>
  <c r="J26" i="5" s="1"/>
  <c r="K26" i="5" s="1"/>
  <c r="L48" i="1"/>
  <c r="G48" i="1" s="1"/>
  <c r="J31" i="5" s="1"/>
  <c r="K31" i="5" s="1"/>
  <c r="L35" i="1"/>
  <c r="G35" i="1" s="1"/>
  <c r="J18" i="5" s="1"/>
  <c r="K18" i="5" s="1"/>
  <c r="L47" i="1"/>
  <c r="G47" i="1" s="1"/>
  <c r="J30" i="5" s="1"/>
  <c r="K30" i="5" s="1"/>
  <c r="L53" i="1"/>
  <c r="G53" i="1" s="1"/>
  <c r="J36" i="5" s="1"/>
  <c r="K36" i="5" s="1"/>
  <c r="L40" i="1"/>
  <c r="G40" i="1" s="1"/>
  <c r="J23" i="5" s="1"/>
  <c r="K23" i="5" s="1"/>
  <c r="L28" i="1"/>
  <c r="G28" i="1" s="1"/>
  <c r="J11" i="5" s="1"/>
  <c r="K11" i="5" s="1"/>
  <c r="L52" i="1"/>
  <c r="G52" i="1" s="1"/>
  <c r="J35" i="5" s="1"/>
  <c r="K35" i="5" s="1"/>
  <c r="L39" i="1"/>
  <c r="G39" i="1" s="1"/>
  <c r="J22" i="5" s="1"/>
  <c r="K22" i="5" s="1"/>
  <c r="L27" i="1"/>
  <c r="G27" i="1" s="1"/>
  <c r="J10" i="5" s="1"/>
  <c r="K10" i="5" s="1"/>
  <c r="G15" i="6"/>
  <c r="R8" i="3" l="1"/>
  <c r="R7" i="3"/>
  <c r="I76" i="1"/>
  <c r="H76" i="1"/>
  <c r="H77" i="1"/>
  <c r="I77" i="1"/>
  <c r="I78" i="1"/>
  <c r="H78" i="1"/>
  <c r="H75" i="1"/>
  <c r="I75" i="1"/>
  <c r="J43" i="5"/>
  <c r="K43" i="5" s="1"/>
  <c r="H60" i="1"/>
  <c r="I60" i="1"/>
  <c r="J42" i="5"/>
  <c r="K42" i="5" s="1"/>
  <c r="I59" i="1"/>
  <c r="J20" i="5"/>
  <c r="K20" i="5" s="1"/>
  <c r="I37" i="1"/>
  <c r="J25" i="5"/>
  <c r="K25" i="5" s="1"/>
  <c r="H42" i="1"/>
  <c r="I42" i="1"/>
  <c r="J32" i="5"/>
  <c r="K32" i="5" s="1"/>
  <c r="H49" i="1"/>
  <c r="I49" i="1"/>
  <c r="J37" i="5"/>
  <c r="K37" i="5" s="1"/>
  <c r="H54" i="1"/>
  <c r="I54" i="1"/>
  <c r="J17" i="5"/>
  <c r="K17" i="5" s="1"/>
  <c r="I34" i="1"/>
  <c r="H34" i="1"/>
  <c r="J40" i="5"/>
  <c r="K40" i="5" s="1"/>
  <c r="I57" i="1"/>
  <c r="J13" i="5"/>
  <c r="K13" i="5" s="1"/>
  <c r="H30" i="1"/>
  <c r="H59" i="1"/>
  <c r="I46" i="1"/>
  <c r="H57" i="1"/>
  <c r="I55" i="1"/>
  <c r="H46" i="1"/>
  <c r="H55" i="1"/>
  <c r="H50" i="1"/>
  <c r="I50" i="1"/>
  <c r="I70" i="1"/>
  <c r="H70" i="1"/>
  <c r="H29" i="1"/>
  <c r="I30" i="1"/>
  <c r="I29" i="1"/>
  <c r="H37" i="1"/>
  <c r="H71" i="1"/>
  <c r="I71" i="1"/>
  <c r="H72" i="1"/>
  <c r="I72" i="1"/>
  <c r="H73" i="1"/>
  <c r="I73" i="1"/>
  <c r="I45" i="1"/>
  <c r="I38" i="1"/>
  <c r="I41" i="1"/>
  <c r="H41" i="1"/>
  <c r="I58" i="1"/>
  <c r="H45" i="1"/>
  <c r="H58" i="1"/>
  <c r="H33" i="1"/>
  <c r="I33" i="1"/>
  <c r="H38" i="1"/>
  <c r="H40" i="1"/>
  <c r="I40" i="1"/>
  <c r="H48" i="1"/>
  <c r="I48" i="1"/>
  <c r="H28" i="1"/>
  <c r="I28" i="1"/>
  <c r="H53" i="1"/>
  <c r="I53" i="1"/>
  <c r="H43" i="1"/>
  <c r="I43" i="1"/>
  <c r="H51" i="1"/>
  <c r="I51" i="1"/>
  <c r="H36" i="1"/>
  <c r="I36" i="1"/>
  <c r="H31" i="1"/>
  <c r="I31" i="1"/>
  <c r="H44" i="1"/>
  <c r="I44" i="1"/>
  <c r="H47" i="1"/>
  <c r="I47" i="1"/>
  <c r="H32" i="1"/>
  <c r="I32" i="1"/>
  <c r="I56" i="1"/>
  <c r="H56" i="1"/>
  <c r="H27" i="1"/>
  <c r="I27" i="1"/>
  <c r="H39" i="1"/>
  <c r="I39" i="1"/>
  <c r="I52" i="1"/>
  <c r="H52" i="1"/>
  <c r="H35" i="1"/>
  <c r="I35" i="1"/>
  <c r="N69" i="1" l="1"/>
  <c r="M69" i="1"/>
  <c r="L51" i="5"/>
  <c r="L52" i="5"/>
  <c r="L53" i="5"/>
  <c r="L54" i="5"/>
  <c r="L50" i="5"/>
  <c r="L11" i="5"/>
  <c r="L12" i="5"/>
  <c r="L13" i="5"/>
  <c r="L14" i="5"/>
  <c r="L15" i="5"/>
  <c r="L16" i="5"/>
  <c r="L17" i="5"/>
  <c r="L18" i="5"/>
  <c r="L19" i="5"/>
  <c r="L20" i="5"/>
  <c r="L21" i="5"/>
  <c r="L22" i="5"/>
  <c r="L23" i="5"/>
  <c r="L24" i="5"/>
  <c r="L25" i="5"/>
  <c r="L26" i="5"/>
  <c r="L27" i="5"/>
  <c r="L28" i="5"/>
  <c r="L29" i="5"/>
  <c r="L30" i="5"/>
  <c r="L31" i="5"/>
  <c r="L32" i="5"/>
  <c r="L33" i="5"/>
  <c r="L34" i="5"/>
  <c r="L35" i="5"/>
  <c r="L36" i="5"/>
  <c r="L37" i="5"/>
  <c r="L43" i="5"/>
  <c r="L10" i="5"/>
  <c r="R14" i="1" l="1"/>
  <c r="R13" i="1"/>
  <c r="A19" i="7" l="1"/>
  <c r="E8" i="17"/>
  <c r="F8" i="17" s="1"/>
  <c r="F9" i="17" s="1"/>
  <c r="B3" i="17"/>
  <c r="B2" i="17"/>
  <c r="B1" i="17"/>
  <c r="Q8" i="3" l="1"/>
  <c r="Q7" i="3"/>
  <c r="F24" i="9" s="1"/>
  <c r="G24" i="9" s="1"/>
  <c r="F26" i="12"/>
  <c r="G26" i="12" s="1"/>
  <c r="F24" i="10"/>
  <c r="G24" i="10" s="1"/>
  <c r="A12" i="14"/>
  <c r="A14" i="14"/>
  <c r="P6" i="3" l="1"/>
  <c r="AG22" i="16"/>
  <c r="AH22" i="16" s="1"/>
  <c r="AE22" i="16"/>
  <c r="Z22" i="16"/>
  <c r="AA22" i="16" s="1"/>
  <c r="X22" i="16"/>
  <c r="S22" i="16"/>
  <c r="T22" i="16" s="1"/>
  <c r="Q22" i="16"/>
  <c r="L22" i="16"/>
  <c r="M22" i="16" s="1"/>
  <c r="J22" i="16"/>
  <c r="I22" i="16"/>
  <c r="P22" i="16" s="1"/>
  <c r="W22" i="16" s="1"/>
  <c r="AD22" i="16" s="1"/>
  <c r="F22" i="16"/>
  <c r="AH21" i="16"/>
  <c r="AE21" i="16"/>
  <c r="AA21" i="16"/>
  <c r="X21" i="16"/>
  <c r="T21" i="16"/>
  <c r="Q21" i="16"/>
  <c r="M21" i="16"/>
  <c r="J21" i="16"/>
  <c r="I21" i="16"/>
  <c r="P21" i="16" s="1"/>
  <c r="W21" i="16" s="1"/>
  <c r="AD21" i="16" s="1"/>
  <c r="F21" i="16"/>
  <c r="AH20" i="16"/>
  <c r="AE20" i="16"/>
  <c r="AA20" i="16"/>
  <c r="X20" i="16"/>
  <c r="T20" i="16"/>
  <c r="Q20" i="16"/>
  <c r="M20" i="16"/>
  <c r="J20" i="16"/>
  <c r="I20" i="16"/>
  <c r="P20" i="16" s="1"/>
  <c r="W20" i="16" s="1"/>
  <c r="AD20" i="16" s="1"/>
  <c r="F20" i="16"/>
  <c r="AH19" i="16"/>
  <c r="AE19" i="16"/>
  <c r="AA19" i="16"/>
  <c r="X19" i="16"/>
  <c r="T19" i="16"/>
  <c r="Q19" i="16"/>
  <c r="M19" i="16"/>
  <c r="J19" i="16"/>
  <c r="I19" i="16"/>
  <c r="P19" i="16" s="1"/>
  <c r="W19" i="16" s="1"/>
  <c r="AD19" i="16" s="1"/>
  <c r="F19" i="16"/>
  <c r="AH18" i="16"/>
  <c r="AE18" i="16"/>
  <c r="AA18" i="16"/>
  <c r="X18" i="16"/>
  <c r="T18" i="16"/>
  <c r="Q18" i="16"/>
  <c r="M18" i="16"/>
  <c r="J18" i="16"/>
  <c r="I18" i="16"/>
  <c r="P18" i="16" s="1"/>
  <c r="W18" i="16" s="1"/>
  <c r="AD18" i="16" s="1"/>
  <c r="F18" i="16"/>
  <c r="AH17" i="16"/>
  <c r="AE17" i="16"/>
  <c r="AA17" i="16"/>
  <c r="X17" i="16"/>
  <c r="T17" i="16"/>
  <c r="Q17" i="16"/>
  <c r="M17" i="16"/>
  <c r="J17" i="16"/>
  <c r="I17" i="16"/>
  <c r="P17" i="16" s="1"/>
  <c r="W17" i="16" s="1"/>
  <c r="AD17" i="16" s="1"/>
  <c r="F17" i="16"/>
  <c r="AH16" i="16"/>
  <c r="AE16" i="16"/>
  <c r="AA16" i="16"/>
  <c r="X16" i="16"/>
  <c r="T16" i="16"/>
  <c r="Q16" i="16"/>
  <c r="M16" i="16"/>
  <c r="J16" i="16"/>
  <c r="I16" i="16"/>
  <c r="P16" i="16" s="1"/>
  <c r="W16" i="16" s="1"/>
  <c r="AD16" i="16" s="1"/>
  <c r="F16" i="16"/>
  <c r="AH15" i="16"/>
  <c r="AE15" i="16"/>
  <c r="AA15" i="16"/>
  <c r="X15" i="16"/>
  <c r="T15" i="16"/>
  <c r="Q15" i="16"/>
  <c r="M15" i="16"/>
  <c r="J15" i="16"/>
  <c r="I15" i="16"/>
  <c r="P15" i="16" s="1"/>
  <c r="W15" i="16" s="1"/>
  <c r="AD15" i="16" s="1"/>
  <c r="F15" i="16"/>
  <c r="AH14" i="16"/>
  <c r="AE14" i="16"/>
  <c r="AA14" i="16"/>
  <c r="X14" i="16"/>
  <c r="T14" i="16"/>
  <c r="Q14" i="16"/>
  <c r="M14" i="16"/>
  <c r="J14" i="16"/>
  <c r="I14" i="16"/>
  <c r="P14" i="16" s="1"/>
  <c r="W14" i="16" s="1"/>
  <c r="AD14" i="16" s="1"/>
  <c r="F14" i="16"/>
  <c r="AH13" i="16"/>
  <c r="AE13" i="16"/>
  <c r="AA13" i="16"/>
  <c r="X13" i="16"/>
  <c r="T13" i="16"/>
  <c r="Q13" i="16"/>
  <c r="M13" i="16"/>
  <c r="J13" i="16"/>
  <c r="I13" i="16"/>
  <c r="P13" i="16" s="1"/>
  <c r="W13" i="16" s="1"/>
  <c r="AD13" i="16" s="1"/>
  <c r="F13" i="16"/>
  <c r="AH12" i="16"/>
  <c r="AE12" i="16"/>
  <c r="AA12" i="16"/>
  <c r="X12" i="16"/>
  <c r="T12" i="16"/>
  <c r="Q12" i="16"/>
  <c r="M12" i="16"/>
  <c r="J12" i="16"/>
  <c r="I12" i="16"/>
  <c r="P12" i="16" s="1"/>
  <c r="W12" i="16" s="1"/>
  <c r="AD12" i="16" s="1"/>
  <c r="F12" i="16"/>
  <c r="AH11" i="16"/>
  <c r="AE11" i="16"/>
  <c r="AA11" i="16"/>
  <c r="X11" i="16"/>
  <c r="T11" i="16"/>
  <c r="Q11" i="16"/>
  <c r="M11" i="16"/>
  <c r="J11" i="16"/>
  <c r="I11" i="16"/>
  <c r="P11" i="16" s="1"/>
  <c r="W11" i="16" s="1"/>
  <c r="AD11" i="16" s="1"/>
  <c r="F11" i="16"/>
  <c r="AG10" i="16"/>
  <c r="AH10" i="16" s="1"/>
  <c r="AI10" i="16" s="1"/>
  <c r="AE10" i="16"/>
  <c r="Z10" i="16"/>
  <c r="AA10" i="16" s="1"/>
  <c r="AB10" i="16" s="1"/>
  <c r="X10" i="16"/>
  <c r="S10" i="16"/>
  <c r="T10" i="16" s="1"/>
  <c r="U10" i="16" s="1"/>
  <c r="Q10" i="16"/>
  <c r="L10" i="16"/>
  <c r="M10" i="16" s="1"/>
  <c r="N10" i="16" s="1"/>
  <c r="J10" i="16"/>
  <c r="I10" i="16"/>
  <c r="P10" i="16" s="1"/>
  <c r="W10" i="16" s="1"/>
  <c r="AD10" i="16" s="1"/>
  <c r="F10" i="16"/>
  <c r="G10" i="16" s="1"/>
  <c r="E24" i="15"/>
  <c r="B24" i="15"/>
  <c r="E23" i="15"/>
  <c r="E21" i="15"/>
  <c r="E19" i="15"/>
  <c r="E18" i="15"/>
  <c r="I5" i="15"/>
  <c r="H5" i="15"/>
  <c r="G5" i="15"/>
  <c r="F5" i="15"/>
  <c r="B3" i="15"/>
  <c r="B2" i="15"/>
  <c r="B1" i="15"/>
  <c r="Q15" i="14"/>
  <c r="N15" i="14"/>
  <c r="D15" i="14"/>
  <c r="C15" i="14"/>
  <c r="B15" i="14"/>
  <c r="Q14" i="14"/>
  <c r="N14" i="14"/>
  <c r="D14" i="14"/>
  <c r="C14" i="14"/>
  <c r="B14" i="14"/>
  <c r="U13" i="14"/>
  <c r="U16" i="14" s="1"/>
  <c r="Q13" i="14"/>
  <c r="N13" i="14"/>
  <c r="D13" i="14"/>
  <c r="C13" i="14"/>
  <c r="B13" i="14"/>
  <c r="Q12" i="14"/>
  <c r="N12" i="14"/>
  <c r="D12" i="14"/>
  <c r="C12" i="14"/>
  <c r="B12" i="14"/>
  <c r="B3" i="14"/>
  <c r="A5" i="14" s="1"/>
  <c r="B2" i="14"/>
  <c r="B1" i="14"/>
  <c r="D42" i="13"/>
  <c r="D41" i="13"/>
  <c r="D40" i="13"/>
  <c r="D39" i="13"/>
  <c r="D35" i="13"/>
  <c r="D33" i="13"/>
  <c r="J29" i="13"/>
  <c r="F25" i="13"/>
  <c r="F24" i="13"/>
  <c r="E23" i="13"/>
  <c r="D23" i="13"/>
  <c r="E22" i="13"/>
  <c r="D22" i="13"/>
  <c r="C22" i="13"/>
  <c r="F21" i="13"/>
  <c r="G21" i="13" s="1"/>
  <c r="F20" i="13"/>
  <c r="G20" i="13" s="1"/>
  <c r="I14" i="13"/>
  <c r="I16" i="13" s="1"/>
  <c r="H14" i="13"/>
  <c r="H16" i="13" s="1"/>
  <c r="D13" i="13"/>
  <c r="C13" i="13"/>
  <c r="E12" i="13"/>
  <c r="D12" i="13"/>
  <c r="E11" i="13"/>
  <c r="D11" i="13"/>
  <c r="A7" i="13"/>
  <c r="A45" i="13" s="1"/>
  <c r="B3" i="13"/>
  <c r="B2" i="13"/>
  <c r="B1" i="13"/>
  <c r="D42" i="12"/>
  <c r="D41" i="12"/>
  <c r="D40" i="12"/>
  <c r="D39" i="12"/>
  <c r="D35" i="12"/>
  <c r="D33" i="12"/>
  <c r="J29" i="12"/>
  <c r="F25" i="12"/>
  <c r="F24" i="12"/>
  <c r="E23" i="12"/>
  <c r="D23" i="12"/>
  <c r="E22" i="12"/>
  <c r="D22" i="12"/>
  <c r="C22" i="12"/>
  <c r="F21" i="12"/>
  <c r="G21" i="12" s="1"/>
  <c r="F20" i="12"/>
  <c r="G20" i="12" s="1"/>
  <c r="I14" i="12"/>
  <c r="I16" i="12" s="1"/>
  <c r="H14" i="12"/>
  <c r="H16" i="12" s="1"/>
  <c r="D13" i="12"/>
  <c r="C13" i="12"/>
  <c r="E12" i="12"/>
  <c r="D12" i="12"/>
  <c r="E11" i="12"/>
  <c r="D11" i="12"/>
  <c r="A7" i="12"/>
  <c r="A45" i="12" s="1"/>
  <c r="B3" i="12"/>
  <c r="B2" i="12"/>
  <c r="B1" i="12"/>
  <c r="D42" i="10"/>
  <c r="D41" i="10"/>
  <c r="D40" i="10"/>
  <c r="D39" i="10"/>
  <c r="D35" i="10"/>
  <c r="D33" i="10"/>
  <c r="J29" i="10"/>
  <c r="F25" i="10"/>
  <c r="E23" i="10"/>
  <c r="D23" i="10"/>
  <c r="E22" i="10"/>
  <c r="D22" i="10"/>
  <c r="C22" i="10"/>
  <c r="F21" i="10"/>
  <c r="G21" i="10" s="1"/>
  <c r="F20" i="10"/>
  <c r="G20" i="10" s="1"/>
  <c r="I14" i="10"/>
  <c r="I16" i="10" s="1"/>
  <c r="H14" i="10"/>
  <c r="H16" i="10" s="1"/>
  <c r="D13" i="10"/>
  <c r="C13" i="10"/>
  <c r="E12" i="10"/>
  <c r="D12" i="10"/>
  <c r="E11" i="10"/>
  <c r="D11" i="10"/>
  <c r="A7" i="10"/>
  <c r="A44" i="10" s="1"/>
  <c r="B3" i="10"/>
  <c r="B2" i="10"/>
  <c r="B1" i="10"/>
  <c r="D42" i="9"/>
  <c r="D41" i="9"/>
  <c r="D40" i="9"/>
  <c r="D39" i="9"/>
  <c r="D35" i="9"/>
  <c r="D33" i="9"/>
  <c r="J29" i="9"/>
  <c r="F25" i="9"/>
  <c r="E23" i="9"/>
  <c r="D23" i="9"/>
  <c r="E22" i="9"/>
  <c r="D22" i="9"/>
  <c r="C22" i="9"/>
  <c r="F21" i="9"/>
  <c r="G21" i="9" s="1"/>
  <c r="F20" i="9"/>
  <c r="G20" i="9" s="1"/>
  <c r="I14" i="9"/>
  <c r="I16" i="9" s="1"/>
  <c r="H14" i="9"/>
  <c r="H16" i="9" s="1"/>
  <c r="D13" i="9"/>
  <c r="C13" i="9"/>
  <c r="E12" i="9"/>
  <c r="D12" i="9"/>
  <c r="E11" i="9"/>
  <c r="D11" i="9"/>
  <c r="A7" i="9"/>
  <c r="A45" i="9" s="1"/>
  <c r="B3" i="9"/>
  <c r="B2" i="9"/>
  <c r="B1" i="9"/>
  <c r="K24" i="7"/>
  <c r="L24" i="7" s="1"/>
  <c r="M24" i="7" s="1"/>
  <c r="N24" i="7" s="1"/>
  <c r="O24" i="7" s="1"/>
  <c r="K23" i="7"/>
  <c r="L23" i="7" s="1"/>
  <c r="M23" i="7" s="1"/>
  <c r="N23" i="7" s="1"/>
  <c r="O23" i="7" s="1"/>
  <c r="K12" i="7"/>
  <c r="L12" i="7" s="1"/>
  <c r="M12" i="7" s="1"/>
  <c r="N12" i="7" s="1"/>
  <c r="O12" i="7" s="1"/>
  <c r="K10" i="7"/>
  <c r="L10" i="7" s="1"/>
  <c r="M10" i="7" s="1"/>
  <c r="N10" i="7" s="1"/>
  <c r="O10" i="7" s="1"/>
  <c r="K9" i="7"/>
  <c r="L9" i="7" s="1"/>
  <c r="M9" i="7" s="1"/>
  <c r="N9" i="7" s="1"/>
  <c r="O9" i="7" s="1"/>
  <c r="B3" i="7"/>
  <c r="B2" i="7"/>
  <c r="B1" i="7"/>
  <c r="B3" i="6"/>
  <c r="B2" i="6"/>
  <c r="B1" i="6"/>
  <c r="O54" i="5"/>
  <c r="P54" i="5" s="1"/>
  <c r="Q54" i="5" s="1"/>
  <c r="R54" i="5" s="1"/>
  <c r="S54" i="5" s="1"/>
  <c r="O53" i="5"/>
  <c r="P53" i="5" s="1"/>
  <c r="Q53" i="5" s="1"/>
  <c r="R53" i="5" s="1"/>
  <c r="S53" i="5" s="1"/>
  <c r="O52" i="5"/>
  <c r="P52" i="5" s="1"/>
  <c r="Q52" i="5" s="1"/>
  <c r="R52" i="5" s="1"/>
  <c r="S52" i="5" s="1"/>
  <c r="O51" i="5"/>
  <c r="P51" i="5" s="1"/>
  <c r="Q51" i="5" s="1"/>
  <c r="R51" i="5" s="1"/>
  <c r="S51" i="5" s="1"/>
  <c r="O50" i="5"/>
  <c r="P50" i="5" s="1"/>
  <c r="Q50" i="5" s="1"/>
  <c r="R50" i="5" s="1"/>
  <c r="S50" i="5" s="1"/>
  <c r="O43" i="5"/>
  <c r="P43" i="5" s="1"/>
  <c r="Q43" i="5" s="1"/>
  <c r="R43" i="5" s="1"/>
  <c r="S43" i="5" s="1"/>
  <c r="O37" i="5"/>
  <c r="P37" i="5" s="1"/>
  <c r="Q37" i="5" s="1"/>
  <c r="R37" i="5" s="1"/>
  <c r="S37" i="5" s="1"/>
  <c r="O36" i="5"/>
  <c r="P36" i="5" s="1"/>
  <c r="Q36" i="5" s="1"/>
  <c r="R36" i="5" s="1"/>
  <c r="S36" i="5" s="1"/>
  <c r="O35" i="5"/>
  <c r="P35" i="5" s="1"/>
  <c r="Q35" i="5" s="1"/>
  <c r="R35" i="5" s="1"/>
  <c r="S35" i="5" s="1"/>
  <c r="O34" i="5"/>
  <c r="P34" i="5" s="1"/>
  <c r="Q34" i="5" s="1"/>
  <c r="R34" i="5" s="1"/>
  <c r="S34" i="5" s="1"/>
  <c r="O33" i="5"/>
  <c r="P33" i="5" s="1"/>
  <c r="Q33" i="5" s="1"/>
  <c r="R33" i="5" s="1"/>
  <c r="S33" i="5" s="1"/>
  <c r="O32" i="5"/>
  <c r="P32" i="5" s="1"/>
  <c r="Q32" i="5" s="1"/>
  <c r="R32" i="5" s="1"/>
  <c r="S32" i="5" s="1"/>
  <c r="O31" i="5"/>
  <c r="P31" i="5" s="1"/>
  <c r="Q31" i="5" s="1"/>
  <c r="R31" i="5" s="1"/>
  <c r="S31" i="5" s="1"/>
  <c r="O30" i="5"/>
  <c r="P30" i="5" s="1"/>
  <c r="Q30" i="5" s="1"/>
  <c r="R30" i="5" s="1"/>
  <c r="S30" i="5" s="1"/>
  <c r="O29" i="5"/>
  <c r="P29" i="5" s="1"/>
  <c r="Q29" i="5" s="1"/>
  <c r="R29" i="5" s="1"/>
  <c r="S29" i="5" s="1"/>
  <c r="O28" i="5"/>
  <c r="P28" i="5" s="1"/>
  <c r="Q28" i="5" s="1"/>
  <c r="R28" i="5" s="1"/>
  <c r="S28" i="5" s="1"/>
  <c r="O27" i="5"/>
  <c r="P27" i="5" s="1"/>
  <c r="Q27" i="5" s="1"/>
  <c r="R27" i="5" s="1"/>
  <c r="S27" i="5" s="1"/>
  <c r="O26" i="5"/>
  <c r="P26" i="5" s="1"/>
  <c r="Q26" i="5" s="1"/>
  <c r="R26" i="5" s="1"/>
  <c r="S26" i="5" s="1"/>
  <c r="O25" i="5"/>
  <c r="P25" i="5" s="1"/>
  <c r="Q25" i="5" s="1"/>
  <c r="R25" i="5" s="1"/>
  <c r="S25" i="5" s="1"/>
  <c r="O24" i="5"/>
  <c r="P24" i="5" s="1"/>
  <c r="Q24" i="5" s="1"/>
  <c r="R24" i="5" s="1"/>
  <c r="S24" i="5" s="1"/>
  <c r="O23" i="5"/>
  <c r="P23" i="5" s="1"/>
  <c r="Q23" i="5" s="1"/>
  <c r="R23" i="5" s="1"/>
  <c r="S23" i="5" s="1"/>
  <c r="O22" i="5"/>
  <c r="P22" i="5" s="1"/>
  <c r="Q22" i="5" s="1"/>
  <c r="R22" i="5" s="1"/>
  <c r="S22" i="5" s="1"/>
  <c r="O21" i="5"/>
  <c r="P21" i="5" s="1"/>
  <c r="Q21" i="5" s="1"/>
  <c r="R21" i="5" s="1"/>
  <c r="S21" i="5" s="1"/>
  <c r="O20" i="5"/>
  <c r="P20" i="5" s="1"/>
  <c r="Q20" i="5" s="1"/>
  <c r="R20" i="5" s="1"/>
  <c r="S20" i="5" s="1"/>
  <c r="O19" i="5"/>
  <c r="P19" i="5" s="1"/>
  <c r="Q19" i="5" s="1"/>
  <c r="R19" i="5" s="1"/>
  <c r="S19" i="5" s="1"/>
  <c r="O18" i="5"/>
  <c r="P18" i="5" s="1"/>
  <c r="Q18" i="5" s="1"/>
  <c r="R18" i="5" s="1"/>
  <c r="S18" i="5" s="1"/>
  <c r="O16" i="5"/>
  <c r="P16" i="5" s="1"/>
  <c r="Q16" i="5" s="1"/>
  <c r="R16" i="5" s="1"/>
  <c r="S16" i="5" s="1"/>
  <c r="O15" i="5"/>
  <c r="P15" i="5" s="1"/>
  <c r="Q15" i="5" s="1"/>
  <c r="R15" i="5" s="1"/>
  <c r="S15" i="5" s="1"/>
  <c r="O14" i="5"/>
  <c r="P14" i="5" s="1"/>
  <c r="Q14" i="5" s="1"/>
  <c r="R14" i="5" s="1"/>
  <c r="S14" i="5" s="1"/>
  <c r="O12" i="5"/>
  <c r="P12" i="5" s="1"/>
  <c r="Q12" i="5" s="1"/>
  <c r="R12" i="5" s="1"/>
  <c r="S12" i="5" s="1"/>
  <c r="O11" i="5"/>
  <c r="P11" i="5" s="1"/>
  <c r="Q11" i="5" s="1"/>
  <c r="R11" i="5" s="1"/>
  <c r="S11" i="5" s="1"/>
  <c r="O10" i="5"/>
  <c r="P10" i="5" s="1"/>
  <c r="Q10" i="5" s="1"/>
  <c r="R10" i="5" s="1"/>
  <c r="S10" i="5" s="1"/>
  <c r="B3" i="5"/>
  <c r="B2" i="5"/>
  <c r="B1" i="5"/>
  <c r="C48" i="4"/>
  <c r="C49" i="4" s="1"/>
  <c r="C56" i="4" s="1"/>
  <c r="C43" i="4"/>
  <c r="C42" i="4"/>
  <c r="C41" i="4"/>
  <c r="C39" i="4"/>
  <c r="E8" i="15" s="1"/>
  <c r="C36" i="4"/>
  <c r="C33" i="4"/>
  <c r="H56" i="4" s="1"/>
  <c r="C31" i="4"/>
  <c r="C32" i="4" s="1"/>
  <c r="C27" i="4"/>
  <c r="C21" i="4"/>
  <c r="C22" i="4" s="1"/>
  <c r="F53" i="4" s="1"/>
  <c r="B3" i="4"/>
  <c r="B2" i="4"/>
  <c r="B1" i="4"/>
  <c r="F73" i="3"/>
  <c r="G73" i="3" s="1"/>
  <c r="H73" i="3" s="1"/>
  <c r="I73" i="3" s="1"/>
  <c r="J73" i="3" s="1"/>
  <c r="G55" i="3"/>
  <c r="B47" i="3"/>
  <c r="G37" i="3"/>
  <c r="G22" i="3"/>
  <c r="C16" i="4" s="1"/>
  <c r="C18" i="4" s="1"/>
  <c r="H49" i="4" s="1"/>
  <c r="F10" i="3"/>
  <c r="F9" i="3"/>
  <c r="F8" i="3"/>
  <c r="K8" i="3" s="1"/>
  <c r="L8" i="3" s="1"/>
  <c r="H7" i="3"/>
  <c r="F7" i="3"/>
  <c r="A4" i="3"/>
  <c r="B3" i="3"/>
  <c r="B2" i="3"/>
  <c r="B1" i="3"/>
  <c r="G81" i="1"/>
  <c r="G80" i="1"/>
  <c r="G63" i="1"/>
  <c r="G62" i="1"/>
  <c r="F19" i="1"/>
  <c r="S14" i="1"/>
  <c r="P14" i="1"/>
  <c r="K14" i="1"/>
  <c r="K15" i="14" s="1"/>
  <c r="F14" i="1"/>
  <c r="H15" i="14" s="1"/>
  <c r="B14" i="1"/>
  <c r="S13" i="1"/>
  <c r="P13" i="1"/>
  <c r="K13" i="1"/>
  <c r="K14" i="14" s="1"/>
  <c r="F13" i="1"/>
  <c r="H14" i="14" s="1"/>
  <c r="C13" i="1"/>
  <c r="B13" i="1"/>
  <c r="A13" i="1"/>
  <c r="S12" i="1"/>
  <c r="K12" i="1"/>
  <c r="K13" i="14" s="1"/>
  <c r="F12" i="1"/>
  <c r="H13" i="14" s="1"/>
  <c r="C12" i="1"/>
  <c r="B12" i="1"/>
  <c r="A12" i="1"/>
  <c r="S11" i="1"/>
  <c r="P11" i="1"/>
  <c r="K11" i="1"/>
  <c r="K12" i="14" s="1"/>
  <c r="F11" i="1"/>
  <c r="H12" i="14" s="1"/>
  <c r="B11" i="1"/>
  <c r="A11" i="1"/>
  <c r="F5" i="1"/>
  <c r="E5" i="1"/>
  <c r="B3" i="1"/>
  <c r="B2" i="1"/>
  <c r="B1" i="1"/>
  <c r="AB11" i="16" l="1"/>
  <c r="D16" i="14"/>
  <c r="H23" i="7"/>
  <c r="H25" i="7"/>
  <c r="H24" i="7"/>
  <c r="F12" i="10"/>
  <c r="J12" i="10" s="1"/>
  <c r="J14" i="10" s="1"/>
  <c r="F12" i="13"/>
  <c r="J12" i="13" s="1"/>
  <c r="J14" i="13" s="1"/>
  <c r="G64" i="1"/>
  <c r="G82" i="1"/>
  <c r="D43" i="10"/>
  <c r="E20" i="15"/>
  <c r="M8" i="3"/>
  <c r="G7" i="15" s="1"/>
  <c r="E13" i="10"/>
  <c r="F13" i="10" s="1"/>
  <c r="G13" i="10" s="1"/>
  <c r="D36" i="13"/>
  <c r="AB12" i="16"/>
  <c r="AB13" i="16" s="1"/>
  <c r="AB14" i="16" s="1"/>
  <c r="AB15" i="16" s="1"/>
  <c r="AB16" i="16" s="1"/>
  <c r="AB17" i="16" s="1"/>
  <c r="AB18" i="16" s="1"/>
  <c r="AB19" i="16" s="1"/>
  <c r="AB20" i="16" s="1"/>
  <c r="AB21" i="16" s="1"/>
  <c r="AB22" i="16" s="1"/>
  <c r="AB23" i="16" s="1"/>
  <c r="D63" i="3" s="1"/>
  <c r="N63" i="3" s="1"/>
  <c r="V13" i="1"/>
  <c r="M7" i="3"/>
  <c r="F7" i="15" s="1"/>
  <c r="AI11" i="16"/>
  <c r="AI12" i="16" s="1"/>
  <c r="AI13" i="16" s="1"/>
  <c r="AI14" i="16" s="1"/>
  <c r="AI15" i="16" s="1"/>
  <c r="AI16" i="16" s="1"/>
  <c r="AI17" i="16" s="1"/>
  <c r="AI18" i="16" s="1"/>
  <c r="AI19" i="16" s="1"/>
  <c r="AI20" i="16" s="1"/>
  <c r="AI21" i="16" s="1"/>
  <c r="AI22" i="16" s="1"/>
  <c r="AI23" i="16" s="1"/>
  <c r="D64" i="3" s="1"/>
  <c r="N64" i="3" s="1"/>
  <c r="F11" i="10"/>
  <c r="G11" i="10" s="1"/>
  <c r="Q16" i="14"/>
  <c r="N11" i="16"/>
  <c r="N12" i="16" s="1"/>
  <c r="N13" i="16" s="1"/>
  <c r="N14" i="16" s="1"/>
  <c r="N15" i="16" s="1"/>
  <c r="N16" i="16" s="1"/>
  <c r="N17" i="16" s="1"/>
  <c r="N18" i="16" s="1"/>
  <c r="N19" i="16" s="1"/>
  <c r="N20" i="16" s="1"/>
  <c r="N21" i="16" s="1"/>
  <c r="N22" i="16" s="1"/>
  <c r="N23" i="16" s="1"/>
  <c r="D61" i="3" s="1"/>
  <c r="N61" i="3" s="1"/>
  <c r="D36" i="9"/>
  <c r="D36" i="10"/>
  <c r="A45" i="10"/>
  <c r="B11" i="10"/>
  <c r="F11" i="13"/>
  <c r="F22" i="13" s="1"/>
  <c r="A44" i="9"/>
  <c r="C35" i="4"/>
  <c r="C37" i="4" s="1"/>
  <c r="C54" i="4" s="1"/>
  <c r="N16" i="14"/>
  <c r="H50" i="4"/>
  <c r="B11" i="12"/>
  <c r="B11" i="9"/>
  <c r="F11" i="12"/>
  <c r="G11" i="12" s="1"/>
  <c r="F11" i="9"/>
  <c r="G11" i="9" s="1"/>
  <c r="A44" i="12"/>
  <c r="U11" i="16"/>
  <c r="U12" i="16" s="1"/>
  <c r="U13" i="16" s="1"/>
  <c r="U14" i="16" s="1"/>
  <c r="U15" i="16" s="1"/>
  <c r="U16" i="16" s="1"/>
  <c r="U17" i="16" s="1"/>
  <c r="U18" i="16" s="1"/>
  <c r="U19" i="16" s="1"/>
  <c r="U20" i="16" s="1"/>
  <c r="U21" i="16" s="1"/>
  <c r="U22" i="16" s="1"/>
  <c r="U23" i="16" s="1"/>
  <c r="D62" i="3" s="1"/>
  <c r="N62" i="3" s="1"/>
  <c r="D43" i="9"/>
  <c r="D43" i="13"/>
  <c r="F12" i="9"/>
  <c r="J12" i="9" s="1"/>
  <c r="J14" i="9" s="1"/>
  <c r="D36" i="12"/>
  <c r="G11" i="16"/>
  <c r="G12" i="16" s="1"/>
  <c r="G13" i="16" s="1"/>
  <c r="G14" i="16" s="1"/>
  <c r="G15" i="16" s="1"/>
  <c r="G16" i="16" s="1"/>
  <c r="G17" i="16" s="1"/>
  <c r="G18" i="16" s="1"/>
  <c r="G19" i="16" s="1"/>
  <c r="G20" i="16" s="1"/>
  <c r="G21" i="16" s="1"/>
  <c r="G22" i="16" s="1"/>
  <c r="G23" i="16" s="1"/>
  <c r="D60" i="3" s="1"/>
  <c r="N60" i="3" s="1"/>
  <c r="G53" i="4"/>
  <c r="H53" i="4"/>
  <c r="C23" i="12"/>
  <c r="F23" i="12" s="1"/>
  <c r="C23" i="10"/>
  <c r="F23" i="10" s="1"/>
  <c r="C23" i="9"/>
  <c r="F23" i="9" s="1"/>
  <c r="C23" i="13"/>
  <c r="F23" i="13" s="1"/>
  <c r="H9" i="7"/>
  <c r="H10" i="7"/>
  <c r="H12" i="7"/>
  <c r="K16" i="14"/>
  <c r="A6" i="14"/>
  <c r="A6" i="13"/>
  <c r="A6" i="12"/>
  <c r="A6" i="10"/>
  <c r="A6" i="9"/>
  <c r="C51" i="4"/>
  <c r="C28" i="4"/>
  <c r="C29" i="4" s="1"/>
  <c r="C53" i="4" s="1"/>
  <c r="H16" i="14"/>
  <c r="W13" i="1"/>
  <c r="D43" i="12"/>
  <c r="C23" i="4"/>
  <c r="F51" i="4"/>
  <c r="E13" i="9"/>
  <c r="F13" i="9" s="1"/>
  <c r="G13" i="9" s="1"/>
  <c r="M9" i="3"/>
  <c r="E13" i="12"/>
  <c r="F13" i="12" s="1"/>
  <c r="G13" i="12" s="1"/>
  <c r="F12" i="12"/>
  <c r="E9" i="15"/>
  <c r="C44" i="4"/>
  <c r="F52" i="4"/>
  <c r="A44" i="13"/>
  <c r="B11" i="13"/>
  <c r="F28" i="12" l="1"/>
  <c r="G28" i="12" s="1"/>
  <c r="F28" i="9"/>
  <c r="G28" i="9" s="1"/>
  <c r="M10" i="3"/>
  <c r="I7" i="15" s="1"/>
  <c r="I8" i="15" s="1"/>
  <c r="E13" i="13"/>
  <c r="F13" i="13" s="1"/>
  <c r="G13" i="13" s="1"/>
  <c r="G12" i="10"/>
  <c r="G14" i="10" s="1"/>
  <c r="G12" i="9"/>
  <c r="G14" i="9" s="1"/>
  <c r="G11" i="13"/>
  <c r="G12" i="13"/>
  <c r="F14" i="9"/>
  <c r="F22" i="10"/>
  <c r="I22" i="10" s="1"/>
  <c r="I29" i="10" s="1"/>
  <c r="I30" i="10" s="1"/>
  <c r="I33" i="10" s="1"/>
  <c r="I34" i="10" s="1"/>
  <c r="I35" i="10" s="1"/>
  <c r="F14" i="10"/>
  <c r="G22" i="13"/>
  <c r="I14" i="15"/>
  <c r="I22" i="13"/>
  <c r="I29" i="13" s="1"/>
  <c r="I30" i="13" s="1"/>
  <c r="I33" i="13" s="1"/>
  <c r="F22" i="12"/>
  <c r="H26" i="7"/>
  <c r="H27" i="7" s="1"/>
  <c r="N9" i="3" s="1"/>
  <c r="F22" i="9"/>
  <c r="F14" i="12"/>
  <c r="F8" i="15"/>
  <c r="F9" i="15"/>
  <c r="G23" i="9"/>
  <c r="F13" i="15"/>
  <c r="H23" i="9"/>
  <c r="H29" i="9" s="1"/>
  <c r="H30" i="9" s="1"/>
  <c r="C45" i="4"/>
  <c r="C46" i="4" s="1"/>
  <c r="C55" i="4" s="1"/>
  <c r="I13" i="15"/>
  <c r="G23" i="13"/>
  <c r="H23" i="13"/>
  <c r="H29" i="13" s="1"/>
  <c r="H30" i="13" s="1"/>
  <c r="E10" i="15"/>
  <c r="H13" i="15"/>
  <c r="G23" i="12"/>
  <c r="H23" i="12"/>
  <c r="H29" i="12" s="1"/>
  <c r="H30" i="12" s="1"/>
  <c r="G8" i="15"/>
  <c r="G9" i="15"/>
  <c r="H13" i="7"/>
  <c r="H14" i="7" s="1"/>
  <c r="J12" i="12"/>
  <c r="J14" i="12" s="1"/>
  <c r="G12" i="12"/>
  <c r="G14" i="12" s="1"/>
  <c r="H52" i="4"/>
  <c r="G52" i="4"/>
  <c r="H7" i="15"/>
  <c r="F28" i="10"/>
  <c r="G28" i="10" s="1"/>
  <c r="F54" i="4"/>
  <c r="G51" i="4"/>
  <c r="H51" i="4"/>
  <c r="G23" i="10"/>
  <c r="G13" i="15"/>
  <c r="H23" i="10"/>
  <c r="H29" i="10" s="1"/>
  <c r="H30" i="10" s="1"/>
  <c r="H20" i="7"/>
  <c r="C24" i="4"/>
  <c r="C25" i="4" s="1"/>
  <c r="C52" i="4" s="1"/>
  <c r="I9" i="15" l="1"/>
  <c r="I10" i="15" s="1"/>
  <c r="I11" i="15" s="1"/>
  <c r="I29" i="15" s="1"/>
  <c r="M11" i="3"/>
  <c r="F19" i="12"/>
  <c r="F14" i="13"/>
  <c r="G54" i="4"/>
  <c r="G55" i="4" s="1"/>
  <c r="G57" i="4" s="1"/>
  <c r="G59" i="4" s="1"/>
  <c r="N7" i="3"/>
  <c r="F19" i="9" s="1"/>
  <c r="N8" i="3"/>
  <c r="F19" i="10" s="1"/>
  <c r="G14" i="13"/>
  <c r="G22" i="10"/>
  <c r="G14" i="15"/>
  <c r="G16" i="15" s="1"/>
  <c r="G30" i="15" s="1"/>
  <c r="I16" i="15"/>
  <c r="I30" i="15" s="1"/>
  <c r="I36" i="10"/>
  <c r="I37" i="10" s="1"/>
  <c r="I44" i="10" s="1"/>
  <c r="I45" i="10" s="1"/>
  <c r="G13" i="14" s="1"/>
  <c r="I13" i="14" s="1"/>
  <c r="C57" i="4"/>
  <c r="F10" i="15"/>
  <c r="F11" i="15" s="1"/>
  <c r="F29" i="15" s="1"/>
  <c r="I22" i="12"/>
  <c r="I29" i="12" s="1"/>
  <c r="I30" i="12" s="1"/>
  <c r="I33" i="12" s="1"/>
  <c r="H14" i="15"/>
  <c r="H16" i="15" s="1"/>
  <c r="H30" i="15" s="1"/>
  <c r="G22" i="12"/>
  <c r="H54" i="4"/>
  <c r="H55" i="4" s="1"/>
  <c r="H57" i="4" s="1"/>
  <c r="H59" i="4" s="1"/>
  <c r="G10" i="15"/>
  <c r="G11" i="15" s="1"/>
  <c r="G29" i="15" s="1"/>
  <c r="I22" i="9"/>
  <c r="I29" i="9" s="1"/>
  <c r="I30" i="9" s="1"/>
  <c r="F14" i="15"/>
  <c r="F16" i="15" s="1"/>
  <c r="F30" i="15" s="1"/>
  <c r="G22" i="9"/>
  <c r="H9" i="15"/>
  <c r="H8" i="15"/>
  <c r="H33" i="13"/>
  <c r="H34" i="13" s="1"/>
  <c r="H35" i="13" s="1"/>
  <c r="H33" i="12"/>
  <c r="I34" i="13"/>
  <c r="I35" i="13" s="1"/>
  <c r="I36" i="13" s="1"/>
  <c r="I37" i="13" s="1"/>
  <c r="I44" i="13" s="1"/>
  <c r="I45" i="13" s="1"/>
  <c r="H33" i="10"/>
  <c r="H34" i="10" s="1"/>
  <c r="H35" i="10" s="1"/>
  <c r="F55" i="4"/>
  <c r="F57" i="4"/>
  <c r="F59" i="4" s="1"/>
  <c r="H33" i="9"/>
  <c r="I31" i="15" l="1"/>
  <c r="I18" i="15" s="1"/>
  <c r="G20" i="3"/>
  <c r="N10" i="3"/>
  <c r="F19" i="13" s="1"/>
  <c r="I40" i="10"/>
  <c r="I41" i="10"/>
  <c r="I42" i="10"/>
  <c r="E15" i="13"/>
  <c r="J15" i="13" s="1"/>
  <c r="J16" i="13" s="1"/>
  <c r="J30" i="13" s="1"/>
  <c r="E15" i="10"/>
  <c r="F15" i="10" s="1"/>
  <c r="E15" i="9"/>
  <c r="J15" i="9" s="1"/>
  <c r="J16" i="9" s="1"/>
  <c r="J30" i="9" s="1"/>
  <c r="E15" i="12"/>
  <c r="J15" i="12" s="1"/>
  <c r="J16" i="12" s="1"/>
  <c r="J30" i="12" s="1"/>
  <c r="G31" i="15"/>
  <c r="G18" i="15" s="1"/>
  <c r="G19" i="15" s="1"/>
  <c r="I39" i="10"/>
  <c r="F29" i="12"/>
  <c r="G19" i="12"/>
  <c r="G29" i="12" s="1"/>
  <c r="I34" i="12"/>
  <c r="I35" i="12" s="1"/>
  <c r="I36" i="12" s="1"/>
  <c r="I37" i="12" s="1"/>
  <c r="I44" i="12" s="1"/>
  <c r="I45" i="12" s="1"/>
  <c r="I41" i="12" s="1"/>
  <c r="I33" i="9"/>
  <c r="I34" i="9" s="1"/>
  <c r="I35" i="9" s="1"/>
  <c r="F31" i="15"/>
  <c r="F18" i="15" s="1"/>
  <c r="F19" i="15" s="1"/>
  <c r="F20" i="15" s="1"/>
  <c r="I41" i="13"/>
  <c r="I39" i="13"/>
  <c r="G15" i="14"/>
  <c r="I15" i="14" s="1"/>
  <c r="I42" i="13"/>
  <c r="I40" i="13"/>
  <c r="T14" i="1"/>
  <c r="W11" i="1" s="1"/>
  <c r="T11" i="1"/>
  <c r="W14" i="1"/>
  <c r="T12" i="1"/>
  <c r="T13" i="1"/>
  <c r="H34" i="12"/>
  <c r="H35" i="12" s="1"/>
  <c r="H36" i="12" s="1"/>
  <c r="H37" i="12" s="1"/>
  <c r="H44" i="12" s="1"/>
  <c r="H45" i="12" s="1"/>
  <c r="G19" i="10"/>
  <c r="G29" i="10" s="1"/>
  <c r="H36" i="13"/>
  <c r="H37" i="13" s="1"/>
  <c r="H44" i="13" s="1"/>
  <c r="H45" i="13" s="1"/>
  <c r="G19" i="9"/>
  <c r="G29" i="9" s="1"/>
  <c r="H34" i="9"/>
  <c r="H35" i="9" s="1"/>
  <c r="H36" i="9" s="1"/>
  <c r="H37" i="9" s="1"/>
  <c r="H44" i="9" s="1"/>
  <c r="H45" i="9" s="1"/>
  <c r="H36" i="10"/>
  <c r="H37" i="10" s="1"/>
  <c r="H44" i="10" s="1"/>
  <c r="H45" i="10" s="1"/>
  <c r="H10" i="15"/>
  <c r="H11" i="15" s="1"/>
  <c r="H29" i="15" s="1"/>
  <c r="H31" i="15" s="1"/>
  <c r="F15" i="13" l="1"/>
  <c r="G15" i="13" s="1"/>
  <c r="G16" i="13" s="1"/>
  <c r="F29" i="13"/>
  <c r="G19" i="13"/>
  <c r="G29" i="13" s="1"/>
  <c r="F15" i="12"/>
  <c r="F16" i="12" s="1"/>
  <c r="F30" i="12" s="1"/>
  <c r="I43" i="10"/>
  <c r="F15" i="9"/>
  <c r="F16" i="9" s="1"/>
  <c r="J15" i="10"/>
  <c r="J16" i="10" s="1"/>
  <c r="J30" i="10" s="1"/>
  <c r="J33" i="10" s="1"/>
  <c r="I39" i="12"/>
  <c r="I36" i="9"/>
  <c r="I37" i="9" s="1"/>
  <c r="I44" i="9" s="1"/>
  <c r="I45" i="9" s="1"/>
  <c r="I40" i="12"/>
  <c r="I42" i="12"/>
  <c r="G14" i="14"/>
  <c r="I14" i="14" s="1"/>
  <c r="H41" i="9"/>
  <c r="H39" i="9"/>
  <c r="P12" i="14"/>
  <c r="R12" i="14" s="1"/>
  <c r="H42" i="9"/>
  <c r="H40" i="9"/>
  <c r="T15" i="1"/>
  <c r="W12" i="1"/>
  <c r="W15" i="1" s="1"/>
  <c r="J33" i="9"/>
  <c r="J34" i="9" s="1"/>
  <c r="J35" i="9" s="1"/>
  <c r="F25" i="15"/>
  <c r="F32" i="15" s="1"/>
  <c r="F33" i="15" s="1"/>
  <c r="G20" i="15"/>
  <c r="G25" i="15" s="1"/>
  <c r="G32" i="15" s="1"/>
  <c r="G33" i="15" s="1"/>
  <c r="H18" i="15"/>
  <c r="J33" i="12"/>
  <c r="J33" i="13"/>
  <c r="J34" i="13" s="1"/>
  <c r="J35" i="13" s="1"/>
  <c r="H42" i="12"/>
  <c r="H40" i="12"/>
  <c r="P14" i="14"/>
  <c r="R14" i="14" s="1"/>
  <c r="H41" i="12"/>
  <c r="H39" i="12"/>
  <c r="I19" i="15"/>
  <c r="I20" i="15" s="1"/>
  <c r="I25" i="15" s="1"/>
  <c r="I32" i="15" s="1"/>
  <c r="I33" i="15" s="1"/>
  <c r="H41" i="10"/>
  <c r="H39" i="10"/>
  <c r="P13" i="14"/>
  <c r="R13" i="14" s="1"/>
  <c r="H42" i="10"/>
  <c r="H40" i="10"/>
  <c r="G15" i="10"/>
  <c r="G16" i="10" s="1"/>
  <c r="G30" i="10" s="1"/>
  <c r="F16" i="10"/>
  <c r="H42" i="13"/>
  <c r="H40" i="13"/>
  <c r="P15" i="14"/>
  <c r="R15" i="14" s="1"/>
  <c r="H41" i="13"/>
  <c r="H39" i="13"/>
  <c r="I43" i="13"/>
  <c r="F16" i="13" l="1"/>
  <c r="F30" i="13" s="1"/>
  <c r="F33" i="13" s="1"/>
  <c r="G30" i="13"/>
  <c r="G33" i="13" s="1"/>
  <c r="G15" i="12"/>
  <c r="G16" i="12" s="1"/>
  <c r="G30" i="12" s="1"/>
  <c r="G33" i="12" s="1"/>
  <c r="G34" i="12" s="1"/>
  <c r="G35" i="12" s="1"/>
  <c r="G15" i="9"/>
  <c r="G16" i="9" s="1"/>
  <c r="G30" i="9" s="1"/>
  <c r="G33" i="9" s="1"/>
  <c r="G34" i="9" s="1"/>
  <c r="G35" i="9" s="1"/>
  <c r="H43" i="10"/>
  <c r="H43" i="12"/>
  <c r="I41" i="9"/>
  <c r="G12" i="14"/>
  <c r="I12" i="14" s="1"/>
  <c r="I16" i="14" s="1"/>
  <c r="H15" i="1" s="1"/>
  <c r="I40" i="9"/>
  <c r="I39" i="9"/>
  <c r="I42" i="9"/>
  <c r="H43" i="13"/>
  <c r="I43" i="12"/>
  <c r="I21" i="15"/>
  <c r="I22" i="15"/>
  <c r="M15" i="14"/>
  <c r="O15" i="14" s="1"/>
  <c r="I24" i="15"/>
  <c r="I23" i="15"/>
  <c r="G23" i="15"/>
  <c r="G21" i="15"/>
  <c r="G22" i="15"/>
  <c r="M13" i="14"/>
  <c r="O13" i="14" s="1"/>
  <c r="G24" i="15"/>
  <c r="G33" i="10"/>
  <c r="H19" i="15"/>
  <c r="H20" i="15" s="1"/>
  <c r="H25" i="15" s="1"/>
  <c r="H32" i="15" s="1"/>
  <c r="H33" i="15" s="1"/>
  <c r="J34" i="10"/>
  <c r="J35" i="10" s="1"/>
  <c r="J36" i="10" s="1"/>
  <c r="J37" i="10" s="1"/>
  <c r="J44" i="10" s="1"/>
  <c r="J45" i="10" s="1"/>
  <c r="H43" i="9"/>
  <c r="F21" i="15"/>
  <c r="M12" i="14"/>
  <c r="F22" i="15"/>
  <c r="F23" i="15"/>
  <c r="F24" i="15"/>
  <c r="F33" i="12"/>
  <c r="F34" i="12" s="1"/>
  <c r="F35" i="12" s="1"/>
  <c r="J36" i="13"/>
  <c r="J37" i="13" s="1"/>
  <c r="J44" i="13" s="1"/>
  <c r="J45" i="13" s="1"/>
  <c r="R16" i="14"/>
  <c r="M15" i="1" s="1"/>
  <c r="J34" i="12"/>
  <c r="J35" i="12" s="1"/>
  <c r="J36" i="12" s="1"/>
  <c r="J37" i="12" s="1"/>
  <c r="J44" i="12" s="1"/>
  <c r="J45" i="12" s="1"/>
  <c r="J36" i="9"/>
  <c r="J37" i="9" s="1"/>
  <c r="J44" i="9" s="1"/>
  <c r="J45" i="9" s="1"/>
  <c r="I43" i="9" l="1"/>
  <c r="J41" i="12"/>
  <c r="J39" i="12"/>
  <c r="J42" i="12"/>
  <c r="J40" i="12"/>
  <c r="J42" i="10"/>
  <c r="J40" i="10"/>
  <c r="J41" i="10"/>
  <c r="J39" i="10"/>
  <c r="J42" i="9"/>
  <c r="J40" i="9"/>
  <c r="J41" i="9"/>
  <c r="J39" i="9"/>
  <c r="J46" i="9"/>
  <c r="J41" i="13"/>
  <c r="J39" i="13"/>
  <c r="J42" i="13"/>
  <c r="J40" i="13"/>
  <c r="H22" i="15"/>
  <c r="M14" i="14"/>
  <c r="O14" i="14" s="1"/>
  <c r="H21" i="15"/>
  <c r="H24" i="15"/>
  <c r="H23" i="15"/>
  <c r="O12" i="14"/>
  <c r="F36" i="12"/>
  <c r="F37" i="12" s="1"/>
  <c r="F44" i="12" s="1"/>
  <c r="F45" i="12" s="1"/>
  <c r="G36" i="9"/>
  <c r="G37" i="9" s="1"/>
  <c r="G44" i="9" s="1"/>
  <c r="G45" i="9" s="1"/>
  <c r="G34" i="10"/>
  <c r="G35" i="10" s="1"/>
  <c r="G36" i="10" s="1"/>
  <c r="G37" i="10" s="1"/>
  <c r="G44" i="10" s="1"/>
  <c r="G45" i="10" s="1"/>
  <c r="G34" i="13"/>
  <c r="G35" i="13" s="1"/>
  <c r="G36" i="13" s="1"/>
  <c r="G37" i="13" s="1"/>
  <c r="G44" i="13" s="1"/>
  <c r="G45" i="13" s="1"/>
  <c r="F34" i="13"/>
  <c r="F35" i="13" s="1"/>
  <c r="F36" i="13" s="1"/>
  <c r="F37" i="13" s="1"/>
  <c r="F44" i="13" s="1"/>
  <c r="F45" i="13" s="1"/>
  <c r="G36" i="12"/>
  <c r="G37" i="12" s="1"/>
  <c r="G44" i="12" s="1"/>
  <c r="G45" i="12" s="1"/>
  <c r="T13" i="14" l="1"/>
  <c r="A20" i="14" s="1"/>
  <c r="O16" i="14"/>
  <c r="L15" i="1" s="1"/>
  <c r="M16" i="14"/>
  <c r="J13" i="14"/>
  <c r="L13" i="14" s="1"/>
  <c r="S13" i="14" s="1"/>
  <c r="O12" i="1" s="1"/>
  <c r="G46" i="10"/>
  <c r="G39" i="10"/>
  <c r="G42" i="10"/>
  <c r="G41" i="10"/>
  <c r="G40" i="10"/>
  <c r="E14" i="14"/>
  <c r="F14" i="14" s="1"/>
  <c r="F41" i="12"/>
  <c r="F39" i="12"/>
  <c r="F46" i="12"/>
  <c r="F42" i="12"/>
  <c r="F40" i="12"/>
  <c r="J43" i="13"/>
  <c r="J43" i="12"/>
  <c r="J14" i="14"/>
  <c r="L14" i="14" s="1"/>
  <c r="S14" i="14" s="1"/>
  <c r="O13" i="1" s="1"/>
  <c r="G46" i="12"/>
  <c r="G41" i="12"/>
  <c r="G40" i="12"/>
  <c r="G39" i="12"/>
  <c r="G42" i="12"/>
  <c r="F41" i="13"/>
  <c r="F39" i="13"/>
  <c r="F46" i="13"/>
  <c r="E15" i="14"/>
  <c r="F15" i="14" s="1"/>
  <c r="F42" i="13"/>
  <c r="F40" i="13"/>
  <c r="J15" i="14"/>
  <c r="L15" i="14" s="1"/>
  <c r="S15" i="14" s="1"/>
  <c r="O14" i="1" s="1"/>
  <c r="G42" i="13"/>
  <c r="G40" i="13"/>
  <c r="G41" i="13"/>
  <c r="G39" i="13"/>
  <c r="G46" i="13"/>
  <c r="V13" i="14"/>
  <c r="J12" i="14"/>
  <c r="G46" i="9"/>
  <c r="G39" i="9"/>
  <c r="G42" i="9"/>
  <c r="G41" i="9"/>
  <c r="G40" i="9"/>
  <c r="J43" i="9"/>
  <c r="J43" i="10"/>
  <c r="G43" i="9" l="1"/>
  <c r="W14" i="14"/>
  <c r="Q13" i="1" s="1"/>
  <c r="V16" i="14"/>
  <c r="P12" i="1"/>
  <c r="F43" i="13"/>
  <c r="G43" i="10"/>
  <c r="J16" i="14"/>
  <c r="L12" i="14"/>
  <c r="V14" i="1"/>
  <c r="G43" i="13"/>
  <c r="G43" i="12"/>
  <c r="F43" i="12"/>
  <c r="W15" i="14"/>
  <c r="Q14" i="1" s="1"/>
  <c r="V11" i="1" s="1"/>
  <c r="L16" i="14" l="1"/>
  <c r="K15" i="1" s="1"/>
  <c r="O15" i="1" s="1"/>
  <c r="S12" i="14"/>
  <c r="P15" i="1"/>
  <c r="N15" i="1"/>
  <c r="S16" i="14" l="1"/>
  <c r="O11" i="1"/>
  <c r="O26" i="1" l="1"/>
  <c r="L26" i="1" s="1"/>
  <c r="G26" i="1" s="1"/>
  <c r="H26" i="1" l="1"/>
  <c r="H61" i="1" s="1"/>
  <c r="J9" i="5"/>
  <c r="K9" i="5" s="1"/>
  <c r="K44" i="5" s="1"/>
  <c r="I26" i="1"/>
  <c r="O8" i="3" l="1"/>
  <c r="O7" i="3"/>
  <c r="H62" i="1"/>
  <c r="H63" i="1" s="1"/>
  <c r="H65" i="1" s="1"/>
  <c r="H64" i="1" s="1"/>
  <c r="F26" i="10" l="1"/>
  <c r="F26" i="9"/>
  <c r="F29" i="9" s="1"/>
  <c r="F30" i="9" s="1"/>
  <c r="R11" i="1"/>
  <c r="F33" i="9" l="1"/>
  <c r="F34" i="9" l="1"/>
  <c r="F35" i="9" s="1"/>
  <c r="F36" i="9" s="1"/>
  <c r="F37" i="9" s="1"/>
  <c r="F44" i="9" s="1"/>
  <c r="F45" i="9" s="1"/>
  <c r="E12" i="14" l="1"/>
  <c r="F40" i="9"/>
  <c r="F39" i="9"/>
  <c r="F42" i="9"/>
  <c r="F46" i="9"/>
  <c r="F41" i="9"/>
  <c r="F12" i="14" l="1"/>
  <c r="W12" i="14" s="1"/>
  <c r="F43" i="9"/>
  <c r="Q11" i="1" l="1"/>
  <c r="O69" i="1" l="1"/>
  <c r="L69" i="1" s="1"/>
  <c r="G69" i="1" s="1"/>
  <c r="J50" i="5" s="1"/>
  <c r="I69" i="1" l="1"/>
  <c r="H69" i="1"/>
  <c r="H79" i="1" s="1"/>
  <c r="K50" i="5"/>
  <c r="K60" i="5" l="1"/>
  <c r="P8" i="3" l="1"/>
  <c r="W17" i="14"/>
  <c r="H80" i="1"/>
  <c r="R12" i="1" l="1"/>
  <c r="R15" i="1" s="1"/>
  <c r="F27" i="10"/>
  <c r="F29" i="10" s="1"/>
  <c r="F30" i="10" s="1"/>
  <c r="F33" i="10" s="1"/>
  <c r="H81" i="1"/>
  <c r="H83" i="1" s="1"/>
  <c r="H82" i="1" s="1"/>
  <c r="F34" i="10" l="1"/>
  <c r="F35" i="10" s="1"/>
  <c r="F36" i="10" s="1"/>
  <c r="F37" i="10" s="1"/>
  <c r="F44" i="10" s="1"/>
  <c r="F45" i="10" s="1"/>
  <c r="E13" i="14" l="1"/>
  <c r="F40" i="10"/>
  <c r="F42" i="10"/>
  <c r="F41" i="10"/>
  <c r="F46" i="10"/>
  <c r="F39" i="10"/>
  <c r="F13" i="14" l="1"/>
  <c r="F43" i="10"/>
  <c r="W13" i="14" l="1"/>
  <c r="F16" i="14"/>
  <c r="Q12" i="1" l="1"/>
  <c r="W16" i="14"/>
  <c r="W18" i="14" s="1"/>
  <c r="Q15" i="1" l="1"/>
  <c r="V12" i="1"/>
  <c r="V15" i="1" s="1"/>
</calcChain>
</file>

<file path=xl/sharedStrings.xml><?xml version="1.0" encoding="utf-8"?>
<sst xmlns="http://schemas.openxmlformats.org/spreadsheetml/2006/main" count="1204" uniqueCount="673">
  <si>
    <t xml:space="preserve">OCORRÊNCIAS MENSAIS DO FATURAMENTO </t>
  </si>
  <si>
    <t>UTILIZAÇÃO DO GESTOR CONTRATUAL PARA REALIZAÇÃO DO FATURAMENTO MENSAL</t>
  </si>
  <si>
    <t>DEFINIR VERSÃO DE APRESENTAÇÃO:</t>
  </si>
  <si>
    <t>PLANILHA PARA LICITAÇÃO (PRECIFICAÇÃO)</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</si>
  <si>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</si>
  <si>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</si>
  <si>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</si>
  <si>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</si>
  <si>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</si>
  <si>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</si>
  <si>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</si>
  <si>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</si>
  <si>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</si>
  <si>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Conversão das horas de ausência em 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</si>
  <si>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</si>
  <si>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</si>
  <si>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</si>
  <si>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</si>
  <si>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</si>
  <si>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</si>
  <si>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</si>
  <si>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Valores correspondentes ao fornecimento de materiais e epis.
(incluindo impostos)
(Coluna "R")</t>
  </si>
  <si>
    <t>Informar código de elemento de despesa
(Coluna "S")</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</si>
  <si>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</si>
  <si>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</si>
  <si>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</si>
  <si>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</si>
  <si>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</si>
  <si>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</si>
  <si>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</si>
  <si>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</si>
  <si>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</si>
  <si>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</si>
  <si>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</si>
  <si>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</si>
  <si>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</si>
  <si>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</si>
  <si>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</si>
  <si>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</si>
  <si>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</si>
  <si>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VALOR TOTAL INSUMOS FORNECIDOS NO MÊS.</t>
  </si>
  <si>
    <t xml:space="preserve">Elemento de Despesa </t>
  </si>
  <si>
    <t>VALOR DE RETENÇÃO CONTA VINCULADA</t>
  </si>
  <si>
    <t>CÓDIGOS ELEMENTO DE DESPESA</t>
  </si>
  <si>
    <t>FATURAMENTO MENSAL</t>
  </si>
  <si>
    <t>RETENÇÃO 
GLOSA CONTA VINCULADA
(VERIFICAR NECESSIDADE)</t>
  </si>
  <si>
    <t>SIM</t>
  </si>
  <si>
    <t>ELEMENTO 2</t>
  </si>
  <si>
    <t>ELEMENTO 1</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</si>
  <si>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</si>
  <si>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</si>
  <si>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</si>
  <si>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</si>
  <si>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</si>
  <si>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</si>
  <si>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</si>
  <si>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</si>
  <si>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</si>
  <si>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</si>
  <si>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</si>
  <si>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DESCRIÇÃO DO MATERIAL DE IMPEZA
SERVENTES DE LIMPEZA</t>
  </si>
  <si>
    <t>GASTO MENSAL</t>
  </si>
  <si>
    <r>
      <rPr>
        <b/>
        <u/>
        <sz val="10"/>
        <rFont val="Calibri"/>
        <family val="2"/>
        <charset val="1"/>
      </rPr>
      <t xml:space="preserve">ANÁLISE CRÍTICA </t>
    </r>
    <r>
      <rPr>
        <b/>
        <sz val="10"/>
        <rFont val="Calibri"/>
        <family val="2"/>
        <charset val="1"/>
      </rPr>
      <t>SOBRE O FORNECIMENTO DOS MATERIAIS
ESTIMATIVA MENSAL x FORNECIMENTO EFETIVO
(INFORMAÇÃO COMO PARÂMETRO DE INDICATIVO)</t>
    </r>
  </si>
  <si>
    <t>REFERÊNCIA MENSAL PARA FORNECIMENTO</t>
  </si>
  <si>
    <t>Material</t>
  </si>
  <si>
    <t>Unid.</t>
  </si>
  <si>
    <t>Marcas de Referência</t>
  </si>
  <si>
    <t>QNTDE "REAL" FORNECIDA
NO MÊS</t>
  </si>
  <si>
    <t>Custo Mensal</t>
  </si>
  <si>
    <t>Quantidade Mensal</t>
  </si>
  <si>
    <t>Quantidade Total</t>
  </si>
  <si>
    <t>Periodicidade</t>
  </si>
  <si>
    <t>Divisor</t>
  </si>
  <si>
    <t>Galão</t>
  </si>
  <si>
    <t>DESPESA MENSAL</t>
  </si>
  <si>
    <t>TAXA ADMINISTRATIVA</t>
  </si>
  <si>
    <t>LUCRO</t>
  </si>
  <si>
    <t>TRIBUTOS</t>
  </si>
  <si>
    <t>VALOR TOTAL COM MATERIAIS DE LIMPEZA</t>
  </si>
  <si>
    <t>MATERIAIS DE LIMPEZA COPA
COPEIRA</t>
  </si>
  <si>
    <t>unid</t>
  </si>
  <si>
    <t>unid.</t>
  </si>
  <si>
    <t>VALOR TOTAL COM MATERIAIS DE COPA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</si>
  <si>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</si>
  <si>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</si>
  <si>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</si>
  <si>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</si>
  <si>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</si>
  <si>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</si>
  <si>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</si>
  <si>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</si>
  <si>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</si>
  <si>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</si>
  <si>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</si>
  <si>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</si>
  <si>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Sete Lagoas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</si>
  <si>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</si>
  <si>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</si>
  <si>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</si>
  <si>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</si>
  <si>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</si>
  <si>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</si>
  <si>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Materiais (limpeza, copa e limpeza de veículos); EPI;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</si>
  <si>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</si>
  <si>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Materiais, EPI, Equipamentos e Uniforme, para a realização de cálculos completa da planilha de composição de custos.</t>
    </r>
  </si>
  <si>
    <t>3.1</t>
  </si>
  <si>
    <t>Estas Abas estarão destacadas na Cor Amarela.</t>
  </si>
  <si>
    <t>3.2</t>
  </si>
  <si>
    <t>PREENCHIMENTO ABA "DADOS"</t>
  </si>
  <si>
    <t xml:space="preserve"> - Informar o percentual de desconto à título de participação do trabalhador em relação ao fornecimento de vale transporte, nos casos exigidos, conforme legislação vigente. (Célula "G35").</t>
  </si>
  <si>
    <t xml:space="preserve"> - Incluir outros custos não previstos previamente, bem como descrevê-los, em caso de previsão legal, devendo ser apresentadas justificativas para a inserção. (Células "B40" e "G40").</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</si>
  <si>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</si>
  <si>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</si>
  <si>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</si>
  <si>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</si>
  <si>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</si>
  <si>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</si>
  <si>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"MATERIAIS"</t>
  </si>
  <si>
    <t xml:space="preserve"> - Atentar-se para o preenchimento de todos os quadros dispostos nesta Aba, sendo:</t>
  </si>
  <si>
    <t xml:space="preserve"> - O preenchimento das células da Coluna "H" está permitida somente para inserção de Observações, caso necessário.</t>
  </si>
  <si>
    <t>3.5</t>
  </si>
  <si>
    <t>PREENCHIMENTO ABA "EQUIPAMENTOS"</t>
  </si>
  <si>
    <t xml:space="preserve"> - Informar os valores unitários de cada item nas células destacadas em amarelo dispostas na "Coluna D", de acordo com sua descrição "Colunas B:C".</t>
  </si>
  <si>
    <t>3.6</t>
  </si>
  <si>
    <t>PREENCHIMENTO ABA "UNIFORMES"</t>
  </si>
  <si>
    <t xml:space="preserve"> - Informar os valores unitários de cada peça de uniforme nas células destacadas em amarelo dispostas na "Coluna G", de acordo com sua descrição "Colunas B:F".</t>
  </si>
  <si>
    <t>4.</t>
  </si>
  <si>
    <t>4.1</t>
  </si>
  <si>
    <t>5.</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</si>
  <si>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</si>
  <si>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5.1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</si>
  <si>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</si>
  <si>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5.2</t>
  </si>
  <si>
    <t>Estas abas estão destacadas na Cor Cinza.</t>
  </si>
  <si>
    <t>6.</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</si>
  <si>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</si>
  <si>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6.1</t>
  </si>
  <si>
    <r>
      <rPr>
        <sz val="10"/>
        <rFont val="Calibri"/>
        <family val="2"/>
        <charset val="1"/>
      </rPr>
      <t xml:space="preserve">Para efeitos de lance/oferta, as licitantes devem considerar o valor da célula "T17", da Aba "Resumo", correspondente ao </t>
    </r>
    <r>
      <rPr>
        <b/>
        <sz val="10"/>
        <rFont val="Calibri"/>
        <family val="2"/>
        <charset val="1"/>
      </rPr>
      <t>VALOR MENSAL.</t>
    </r>
  </si>
  <si>
    <t>6.2</t>
  </si>
  <si>
    <t>Esta aba está destacada na Cor Azul.</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</si>
  <si>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</si>
  <si>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Não será necessário realizar nenhuma alteração nesta aba, pois conterá apenas o reflexo dos dados preenchidos nas abas anteriores (conforme explicação nº 3).</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</si>
  <si>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</si>
  <si>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</si>
  <si>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</si>
  <si>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</si>
  <si>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</si>
  <si>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</si>
  <si>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</si>
  <si>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</si>
  <si>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</si>
  <si>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</si>
  <si>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</si>
  <si>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</si>
  <si>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</si>
  <si>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Material de Limpeza Rateado
(R$)</t>
  </si>
  <si>
    <t>Material de Copa Rateado
(R$)</t>
  </si>
  <si>
    <t>Depreciação Rateada
(R$)</t>
  </si>
  <si>
    <t>CÓDIGO DE ELEMENTO DE DESPESA
(CONTROLE DA CONTRATANTE)</t>
  </si>
  <si>
    <t>RATEIO
INSUMOS</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</si>
  <si>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</si>
  <si>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</si>
  <si>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</si>
  <si>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</si>
  <si>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</si>
  <si>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Sindicato utilizado</t>
  </si>
  <si>
    <t>Informar o sindicato utilizado pela Licitante.</t>
  </si>
  <si>
    <t>Número de registro da CCT - Código MTE</t>
  </si>
  <si>
    <t>Vigência da CCT utilizada</t>
  </si>
  <si>
    <t>Data base da categoria</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</si>
  <si>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</si>
  <si>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</si>
  <si>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</si>
  <si>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</si>
  <si>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</si>
  <si>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</si>
  <si>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</si>
  <si>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</si>
  <si>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</si>
  <si>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</si>
  <si>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</si>
  <si>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</si>
  <si>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</si>
  <si>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</si>
  <si>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</si>
  <si>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</si>
  <si>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</si>
  <si>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</si>
  <si>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</si>
  <si>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</si>
  <si>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</si>
  <si>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</si>
  <si>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</si>
  <si>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</si>
  <si>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</si>
  <si>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</si>
  <si>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</si>
  <si>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</si>
  <si>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</si>
  <si>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</si>
  <si>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</si>
  <si>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</si>
  <si>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</si>
  <si>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</si>
  <si>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</si>
  <si>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</si>
  <si>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</si>
  <si>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</si>
  <si>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</si>
  <si>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</si>
  <si>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</si>
  <si>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</si>
  <si>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</si>
  <si>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</si>
  <si>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</si>
  <si>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</si>
  <si>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</si>
  <si>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EPI COVID</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</si>
  <si>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</si>
  <si>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</si>
  <si>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</si>
  <si>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</si>
  <si>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</si>
  <si>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</si>
  <si>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</si>
  <si>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</si>
  <si>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</si>
  <si>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</si>
  <si>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</si>
  <si>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</si>
  <si>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</si>
  <si>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</si>
  <si>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</si>
  <si>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</si>
  <si>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</si>
  <si>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</si>
  <si>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</si>
  <si>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</si>
  <si>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</si>
  <si>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</si>
  <si>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</si>
  <si>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</si>
  <si>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</si>
  <si>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</si>
  <si>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</si>
  <si>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</si>
  <si>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</si>
  <si>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</si>
  <si>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</si>
  <si>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</si>
  <si>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</si>
  <si>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</si>
  <si>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</si>
  <si>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</si>
  <si>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</si>
  <si>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</si>
  <si>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</si>
  <si>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</si>
  <si>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</si>
  <si>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</si>
  <si>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</si>
  <si>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</si>
  <si>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</si>
  <si>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</si>
  <si>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</si>
  <si>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</si>
  <si>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</si>
  <si>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</si>
  <si>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</si>
  <si>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</si>
  <si>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</si>
  <si>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</si>
  <si>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</si>
  <si>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</si>
  <si>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</si>
  <si>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</si>
  <si>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</si>
  <si>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</si>
  <si>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</si>
  <si>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</si>
  <si>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</si>
  <si>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</si>
  <si>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</si>
  <si>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</si>
  <si>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</si>
  <si>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</si>
  <si>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</si>
  <si>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</si>
  <si>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</si>
  <si>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</si>
  <si>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</si>
  <si>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</si>
  <si>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</si>
  <si>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</si>
  <si>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</si>
  <si>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</si>
  <si>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</si>
  <si>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</si>
  <si>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</si>
  <si>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</si>
  <si>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</si>
  <si>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</si>
  <si>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</si>
  <si>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</si>
  <si>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</si>
  <si>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</si>
  <si>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</si>
  <si>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</si>
  <si>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</si>
  <si>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</si>
  <si>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</si>
  <si>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</si>
  <si>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</si>
  <si>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</si>
  <si>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</si>
  <si>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</si>
  <si>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</si>
  <si>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</si>
  <si>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</si>
  <si>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</si>
  <si>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</si>
  <si>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</si>
  <si>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</si>
  <si>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</si>
  <si>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</si>
  <si>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</si>
  <si>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</si>
  <si>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INSTRUÇÕES DE PREENCHIMENTO - Informar/Alterar somente as células destacadas na Cor Amarela, de acordo com o valor unitário da Licitante.</t>
  </si>
  <si>
    <t>VALORES UNITÁRIOS DO CONTRATO, CORRIGIDOS PELO REAJUSTE DE IPCA.</t>
  </si>
  <si>
    <t>DESCRIÇÃO DO MATERIAL</t>
  </si>
  <si>
    <t>OBSERVAÇÕES</t>
  </si>
  <si>
    <t>REFERÊNCIA</t>
  </si>
  <si>
    <t>Preço Unitário</t>
  </si>
  <si>
    <t>Quantidade</t>
  </si>
  <si>
    <t>DIVISOR</t>
  </si>
  <si>
    <t>VALOR INICIAL DO CONTRATO
(Informar após o término da licitação)</t>
  </si>
  <si>
    <t>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</si>
  <si>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Marca de Referência</t>
  </si>
  <si>
    <t>PREÇO UNITÁRIO</t>
  </si>
  <si>
    <t>Valores em R$</t>
  </si>
  <si>
    <t>Item</t>
  </si>
  <si>
    <t>Especificação</t>
  </si>
  <si>
    <t>Quant.</t>
  </si>
  <si>
    <t>Valor Unitário</t>
  </si>
  <si>
    <t>Valor Total</t>
  </si>
  <si>
    <t>Repasse Mensal</t>
  </si>
  <si>
    <t>Serviços de Limpeza e Conservação</t>
  </si>
  <si>
    <t>CATEGORIA</t>
  </si>
  <si>
    <t>QUANT.</t>
  </si>
  <si>
    <t>DESCRIÇÃO DE UNIFORME</t>
  </si>
  <si>
    <t>CORES</t>
  </si>
  <si>
    <t>TOTAL DO QUANTITATIVO</t>
  </si>
  <si>
    <t xml:space="preserve">Servente </t>
  </si>
  <si>
    <t>TOTAL DE POSTOS</t>
  </si>
  <si>
    <t>Soma</t>
  </si>
  <si>
    <t xml:space="preserve">CÁLCULO VALOR DO REPASSE MENSAL SERVENTE DE LIMPEZA </t>
  </si>
  <si>
    <t xml:space="preserve"> Copeira</t>
  </si>
  <si>
    <t>Avental</t>
  </si>
  <si>
    <t>Preto</t>
  </si>
  <si>
    <t>Azul Marinho</t>
  </si>
  <si>
    <t>Branco</t>
  </si>
  <si>
    <t>CÁLCULO VALOR DO REPASSE MENSAL AUXILIAR ADMINISTRATIVO</t>
  </si>
  <si>
    <t>Planilha de Custo e Formação de Preço Mensal Por Categoria Profissional</t>
  </si>
  <si>
    <t>COM MATERIAL</t>
  </si>
  <si>
    <t>SEM MATERIAL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</si>
  <si>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</si>
  <si>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</si>
  <si>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</si>
  <si>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</si>
  <si>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</si>
  <si>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</si>
  <si>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</si>
  <si>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</si>
  <si>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</si>
  <si>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</si>
  <si>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</si>
  <si>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</si>
  <si>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</si>
  <si>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</si>
  <si>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</si>
  <si>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Unitários</t>
  </si>
  <si>
    <t>Uniforme</t>
  </si>
  <si>
    <t xml:space="preserve">Seguro de vida  </t>
  </si>
  <si>
    <t>Material de Limpeza</t>
  </si>
  <si>
    <t>Material de Copa</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</si>
  <si>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</si>
  <si>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</si>
  <si>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</si>
  <si>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</si>
  <si>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</si>
  <si>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</si>
  <si>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</si>
  <si>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</si>
  <si>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</si>
  <si>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</si>
  <si>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</si>
  <si>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</si>
  <si>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</si>
  <si>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</si>
  <si>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Valores Unitarios</t>
  </si>
  <si>
    <t xml:space="preserve">MÊS: </t>
  </si>
  <si>
    <t>VALORES EM R$</t>
  </si>
  <si>
    <t>ELEMENTO DE DESPESA</t>
  </si>
  <si>
    <t>CATEGORIA PROFISSIONAL</t>
  </si>
  <si>
    <t>TOTAL DO FATURAMENTO MENSAL</t>
  </si>
  <si>
    <t>CUSTO MENSAL</t>
  </si>
  <si>
    <t>GLOSA VALE TRANSPORTE</t>
  </si>
  <si>
    <t>GLOSA DE ATRASOS, FALTAS E DESCONTO DO TITULAR EM FÉRIAS (sem material)</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</si>
  <si>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</si>
  <si>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</si>
  <si>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</si>
  <si>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</si>
  <si>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</si>
  <si>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</si>
  <si>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</si>
  <si>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</si>
  <si>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</si>
  <si>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</si>
  <si>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</si>
  <si>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</si>
  <si>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</si>
  <si>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</si>
  <si>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</si>
  <si>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</si>
  <si>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</si>
  <si>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</si>
  <si>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</si>
  <si>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</si>
  <si>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</si>
  <si>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</si>
  <si>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</si>
  <si>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</si>
  <si>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</si>
  <si>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 xml:space="preserve">TOTAL DO FATURAMENTO MENSAL </t>
  </si>
  <si>
    <t>Valor para Lance - Registro de oferta</t>
  </si>
  <si>
    <t>VALOR DO MATERIAL</t>
  </si>
  <si>
    <t>TOTAL DO FATURAMENTO ANUAL</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</si>
  <si>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</si>
  <si>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</si>
  <si>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</si>
  <si>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</si>
  <si>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</si>
  <si>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</si>
  <si>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</si>
  <si>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</si>
  <si>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</si>
  <si>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</si>
  <si>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</si>
  <si>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</si>
  <si>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</si>
  <si>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</si>
  <si>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</si>
  <si>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</si>
  <si>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</si>
  <si>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</si>
  <si>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</si>
  <si>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</si>
  <si>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</si>
  <si>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</si>
  <si>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</si>
  <si>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</si>
  <si>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</si>
  <si>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</si>
  <si>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</si>
  <si>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</si>
  <si>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</si>
  <si>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</si>
  <si>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</si>
  <si>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</si>
  <si>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</si>
  <si>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</si>
  <si>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</si>
  <si>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</si>
  <si>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</si>
  <si>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</si>
  <si>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</si>
  <si>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</si>
  <si>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</si>
  <si>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</si>
  <si>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</si>
  <si>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</si>
  <si>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</si>
  <si>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</si>
  <si>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</si>
  <si>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</si>
  <si>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</si>
  <si>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</si>
  <si>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</si>
  <si>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</si>
  <si>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</si>
  <si>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</si>
  <si>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</si>
  <si>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</si>
  <si>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</si>
  <si>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33390.37.01 - Serviços Administrativos</t>
  </si>
  <si>
    <t xml:space="preserve">SALÁRIO MINÍMO NACIONAL </t>
  </si>
  <si>
    <t>Depreciação 10% ao Ano</t>
  </si>
  <si>
    <t xml:space="preserve">RELAÇÃO DE MÁQUINAS E EQUIPAMENTOS </t>
  </si>
  <si>
    <t>Total de EPI de Servente</t>
  </si>
  <si>
    <t>CÁLCULO VALOR DO REPASSE MENSAL ACÚMULO COPEIRA</t>
  </si>
  <si>
    <t>EPI</t>
  </si>
  <si>
    <t>3.7</t>
  </si>
  <si>
    <t>PREENCHIMENTO ABA "EPI"</t>
  </si>
  <si>
    <t xml:space="preserve"> - Atentar-se às descrições complementares dispostas nas "Especificações" que visam melhor entendimento dos itens de uniforme solicitados.</t>
  </si>
  <si>
    <t>ANEXO X - CUSTO ESTIMATIVO DE EPI</t>
  </si>
  <si>
    <t>ANEXO X - CUSTO ESTIMATIVO DE PREÇOS DE EQUIPAMENTOS</t>
  </si>
  <si>
    <t>ANEXO X - CUSTO ESTIMATIVO DE PREÇOS DOS UNIFORMES</t>
  </si>
  <si>
    <t>ANEXO X</t>
  </si>
  <si>
    <t>ANEXO X - PLANILHA DE CUSTO E FORMAÇÃO DE PREÇO MENSAL ESTIMATIVO INTEGRAL - RESUMO</t>
  </si>
  <si>
    <t xml:space="preserve">ANEXO X - PLANILHA DE CUSTO E FORMAÇÃO DE PREÇO MENSAL ESTIMATIVO DO PROFISSIONAL SUBSTITUTO DO TITULAR EM FÉRIAS </t>
  </si>
  <si>
    <t>ANEXO X - PLANILHA DE CUSTO E FORMAÇÃO DE PREÇO MENSAL ESTIMATIVO - PLANILHA DE DADOS</t>
  </si>
  <si>
    <t>INSTRUÇÕES DE PREENCHIMENTO - ANEXO X - PLANILHAS DE COMPOSIÇÃO DE CUSTOS</t>
  </si>
  <si>
    <t xml:space="preserve"> - Informar os valores unitários de cada item nas células destacadas em amarelo dispostas na "Coluna G", de acordo com sua descrição "Colunas B:E".</t>
  </si>
  <si>
    <t>Arqplast</t>
  </si>
  <si>
    <t>2. Na célula “R13 ou R14” deverá ser informado a quantidade de dias em que o trabalho insalubre foi realizado por outra servente do quadro, durante as férias da titular.</t>
  </si>
  <si>
    <t>Auxiliar Administrativo</t>
  </si>
  <si>
    <t>EQUIPAMENTOS - SERVENTE</t>
  </si>
  <si>
    <t>Total da Depreciação de Máquinas e Equipamentos - SERVENTE</t>
  </si>
  <si>
    <t>Jaleco</t>
  </si>
  <si>
    <t>Subseção Judiciária de Passos</t>
  </si>
  <si>
    <t>Bralimpia</t>
  </si>
  <si>
    <t>Tramontina</t>
  </si>
  <si>
    <t>cx.</t>
  </si>
  <si>
    <t>Santher ou similar</t>
  </si>
  <si>
    <t>Água sanitária galão de 5 litros, composição do produto: hipoclorito de sódio 2,5%, hidróxido de sódio e veículo.,teor de cloro ativo entre 2,0 e 2,5% p/p.</t>
  </si>
  <si>
    <t>Santa Clara</t>
  </si>
  <si>
    <t>bimestral</t>
  </si>
  <si>
    <t>Asseptgel</t>
  </si>
  <si>
    <t>mensal</t>
  </si>
  <si>
    <t>Álcool Líquido 1 Litro: Etilico Hidratado, para limpeza em geral, teor alcoolico 70 inpm. Aprovação Anvisa; Produto devera estar de acordo com legislacão vigente</t>
  </si>
  <si>
    <t>Facilita</t>
  </si>
  <si>
    <t>Balde plástico em polietileno de alta densidade, alta resistência a impacto, com paredes e fundo reforçados, com reforço no encaixe da alça de aço zincado constando no corpo a marcado fabricante, capacidade de 12 litros.</t>
  </si>
  <si>
    <t>anual</t>
  </si>
  <si>
    <t>Desentupidor Pia: Tipo: Sanfonado, Com Alto Poder De Sucção. Material: Borracha Flexível, Composto Por Polipropileno E Borracha Termoplástica. Plástico Resistente, Cabo Longo, mínimo 20 CM.</t>
  </si>
  <si>
    <t>Oliveira e Azevedo</t>
  </si>
  <si>
    <t>Desentupidor Vaso Sanitário Material: Borracha Flexível, Comprimento Cabo: 50 CM, Altura: 10 CM, Cor: Preta , Diâmetro: 16 CM, MaterialCabo: Madeira</t>
  </si>
  <si>
    <t>Canada</t>
  </si>
  <si>
    <t>Desinfetante concentrado líquido. Aroma floral. Embalagem com 5 litros.</t>
  </si>
  <si>
    <t>Mirax Floral Bouquet</t>
  </si>
  <si>
    <t>Escova para lavar multiuso, oval, base plástica e cerdas de escova para lavar multiuso, oval, base plástica e cerdas de nylon.</t>
  </si>
  <si>
    <t>Condor</t>
  </si>
  <si>
    <t>Escova Sanitária Redonda em plástico Branco contendo 01 escova para vaso sanitário e 01 suporte redondo: Branco Tamanho: 14 x 42 cm</t>
  </si>
  <si>
    <t>Limpamania</t>
  </si>
  <si>
    <t>Esponja Para Lavagem De Louças E Limpeza Em Geral, Dupla Face Sintética, Um Lado Em Espuma Poliuretano E Outro Em Fibra Sintética Abrasiva, Antibacteriana, Formato Retangular, Medindo Aproximadamente 110mm X 75mm X 20mm De Espessura. Pacote com 4 unidades.</t>
  </si>
  <si>
    <t>pacote</t>
  </si>
  <si>
    <t>Scotch-Brite</t>
  </si>
  <si>
    <t>Espanador de pó de penas nº 25. Medidas: 25 cm de penas e 40 cm de cabo</t>
  </si>
  <si>
    <t>Duster</t>
  </si>
  <si>
    <t>Extensão elétrica 20 metros 3 tomada 20a cabo pp2x1,5mm reforçada, 2 cabos de som 10m para ligar as caixas xlr/p10, 2cabos xlr para microfones sem fio (especificações mínima)</t>
  </si>
  <si>
    <t>Daneva</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</si>
  <si>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</si>
  <si>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Intextil</t>
  </si>
  <si>
    <t>Inseticida Aerossol, multiinseticida, frasco com mínimo 300 ml. Registro/ Autorização no ministério da saúde.</t>
  </si>
  <si>
    <t>Raid</t>
  </si>
  <si>
    <t>semestral</t>
  </si>
  <si>
    <t>Kit limpador de vidro: Rodo limpa vidros com cabo telescópico extensor de 06 (seis) metros. Extremidade composta por lavador de acrílico e limpador com lâmina de borracha de aproximadamente 35 cm. Utilizado para limpeza de vidros e vidraças.</t>
  </si>
  <si>
    <t>Limpa vidro 500ml (Veja ou similar)</t>
  </si>
  <si>
    <t>Veja</t>
  </si>
  <si>
    <t>Limpa Pedras Pisos, lajota removedor de encardido pedra e cerâmica - Ácido Sulfônico - 5 litros concentrado com baixo odor e pH ácido sinergicamente balanceado para uma ação rápida e eficaz. Limpeza pesada, sem danificar, de sujidades como terra, fuligem, ferrugem, incrustações e encardidos em geral.</t>
  </si>
  <si>
    <t>Pedrex</t>
  </si>
  <si>
    <t>trimestral</t>
  </si>
  <si>
    <t>Multiuso limpeza pesada 500ml - composição: alquil benzeno sulfonato de sódio, solvente, coadjuvantes, conservante, sequestrante, corante, fragrância e água. tensoativo biodegradável. frascos de 500 ml de produto (marca de referência: veja).</t>
  </si>
  <si>
    <t>Par</t>
  </si>
  <si>
    <t>Bettanin</t>
  </si>
  <si>
    <t>Mangueira para jardim, com 50 metros de extensão, antitorção, com engate de torneira e esguicho</t>
  </si>
  <si>
    <t>Pá p/ lixo em plástico resistente c/ cabo de madeira de 60cm de altura na vertical.</t>
  </si>
  <si>
    <t>Papel Higiênico Rolão 8 x 300m Folha Dupla - Institucional Rolão De 300 Metros, Neutro, Macio, Branco, Folha Dupla, Absorvente E Homogêneo Medindo: 10Cm X 300M. Pacote Com 8 Rolos. Material Hidrossolúvel (Solúvel Na Água), 100% Fibra Virgem. Produto Deverá Estar De Acordo Com As Normas Da Abnt Nbr 15464-9/2010 E Nbr 15134/2007. Não Poderá Esfarelar Durante O Uso, Não Poderá Apresentar Odor desagradável (Não Característico)</t>
  </si>
  <si>
    <t>Pacote 08 rolos</t>
  </si>
  <si>
    <t>Papel Toalha Bobina 200m, Uso Institucional, Alta Absorção. Bobina De, No Mínimo, 200M Metros De Comprimento Por 20Cm De Largura, Auto Cortante (Picotado). Gofrado, Folha Simples; Em Bobina; Branco, Com Maciez E Absorção. Composto Com 100% Celulose Virgem, Máximo De 15Mm2/M2, Conforme Notam Tappi T437 Om-90; Alvura Acima De 82%, Conforme A Norma Iso; Absorção Máxima De 3. Embalado Em Caixa C/06 Rolos. As Informações Do Produto Deve Constar No Exterior Da Embalagem.</t>
  </si>
  <si>
    <t>quadrimestral</t>
  </si>
  <si>
    <t>Rodo Plástico e borracha dupla expandida de 60cm, resistente e durável, que puxa e seca a água, feita em EVA e cepo em polipropileno com garras pontiagudas nas laterais para melhor fixar panos de chão.</t>
  </si>
  <si>
    <t>Brubalar</t>
  </si>
  <si>
    <t>Sabão em barra glicerinado - cor neutra. Pacote com 5 de 200g cada unidade.</t>
  </si>
  <si>
    <t>Minuano</t>
  </si>
  <si>
    <t>Sabão em Pó – Caixa de 0,8 a 1Kg. Sabão em pó, convencional, de primeira linha. Para lavar roupas e limpeza em geral.</t>
  </si>
  <si>
    <t>Omo ou similar</t>
  </si>
  <si>
    <t>Sapólio em pó 300g</t>
  </si>
  <si>
    <t>Bombril</t>
  </si>
  <si>
    <t>Sabonete líquido Concentrado, cremoso perolizado, pronto pra uso, aroma erva-doce, lavanda ou similar, galão de 05 litros.</t>
  </si>
  <si>
    <t>Nobre, Start, Ikebana</t>
  </si>
  <si>
    <t>Saco de Algodão Tipo: Alvejado, Tamanho: 60 X 80 CM, Cor: Branco, Características Adicionais: Dupla Face</t>
  </si>
  <si>
    <t>Santa Margarida</t>
  </si>
  <si>
    <t>Saco plástico reforçado para lixo em polietileno, com capacidade de 100 litros, com estanqueidade suficiente para que não haja vazamento de lixo líquido. com espessura mínima de 10 micra, na cor preta. Pacote com 100 unidades.</t>
  </si>
  <si>
    <t>Pacote</t>
  </si>
  <si>
    <t>Polisac</t>
  </si>
  <si>
    <t>Saco plástico reforçado para lixo em polietileno, com capacidade de 20 litros, com estanqueidade suficiente para que não haja vazamento de lixo líquido. com espessura mínima de 09 micra, na cor preta. Pacote com 100 unidades.</t>
  </si>
  <si>
    <t>Altaplast</t>
  </si>
  <si>
    <t>Vassoura limpa teto, com cerdas macias de sisal e cabo de madeira de 2,70 metros. Ideal para uso na limpeza de locais de difícil acesso.</t>
  </si>
  <si>
    <t>Vassoura Material Cerdas: Pêlo Sintético, Comprimento Cepa: 60 CM, Tipo Cabo: Reforçado, Material Cabo: Madeira</t>
  </si>
  <si>
    <t>Vassoura de nylon, cerdas c/ ponta desfiada, corpo de madeira medindo aproximadamente 25 x 05cm, c/ cabo de no mínimo 1,50m de comprimento</t>
  </si>
  <si>
    <t>Carro Multifuncional Para Limpeza Kit completo - Para Transporte c/ Bolsa Para Coleta De No Mínimo 90 Litros, Com Tampa. Conjunto Balde Duplo De 25 Litros (Aproximadamente) Cada (Removível) 4 Organizadores/Prateleiras Para Acessórios; Rodízios Fixos E Giratórios. Balde espremedor, com rodas giratórias para mobilidade fácil, alça e cabo metálico resistente. Kit de limpeza contendo carrinho pequeno, placa, mop esfregão e espremedor</t>
  </si>
  <si>
    <t>Coador de Café. Especificação: Em pano 100% algodão, cor branca, dimensões de 20cm (diâmetro) x 30cm (profundidade), cabo 16 cm de comprimento feito de arame de aço galvanizado revestido com PVC. O rótulo do produto deve estampar o nome do fabricante.</t>
  </si>
  <si>
    <t>Stolf</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</si>
  <si>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</si>
  <si>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Limpol ou similar</t>
  </si>
  <si>
    <t>Esponja de LÃ DE AÇO, composição básica: aço carbono abrasivo, p/ limpeza em geral, acondicionada em embalagem plástica original do fabricante, peso líquido aproximado de 60g, pacote c/ 08 unidades</t>
  </si>
  <si>
    <t>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 </t>
  </si>
  <si>
    <t>Santepel</t>
  </si>
  <si>
    <t>Pano de copa aberto 100%  dimensões mínimas 40x60cm</t>
  </si>
  <si>
    <t>Karsten</t>
  </si>
  <si>
    <t>Aspirador de pó e de água, com potência mínima de 1200 W, tensão de alimentação: 127V, 220V (fornecimento conforme pedido) ou bivolt comutável, capacidade mínima de 10 Litros (água + pó), acompanha mangueira, tubos, bocal para piso, canto e estofados e adaptador, manual de instruções em português. Garantia mínima de 12Meses</t>
  </si>
  <si>
    <t>Carretel tipo: enrolador mangueira de jardim, Modelo: Móvel Acoplado ao Carrinho , Material Estrutural: Alumínio , Capacidade: 50 Metros De Mangueira ,Componentes Básicos: Engate Rápido E Mangotinho.</t>
  </si>
  <si>
    <t>Suporte fixo de metal para mangueira até 50 metros</t>
  </si>
  <si>
    <t>Escada doméstica, material alumínio, número degraus 8, características adicionais pés antiderrapantes, trava de segurança, capacidade 120 kg, tipo dobrável.</t>
  </si>
  <si>
    <t>Lavadora de alta pressão Karcher k3 1500W 110v ou Similar. Alta potência de 1450W no mínimo. Pressão máxima no mínimo de 1800psi, sem desperdícios de água e energia. Proteção em caso de superaquecimento. Ajuste de jato regulável. Rodas e alça retrátil para transporte.</t>
  </si>
  <si>
    <t>Bota Segurança Material: Pvc - Cloreto De Polivinila , Material Sola: Antiderrapante , Cor: Preta , Tipo Cano: Longo Características Adicionais: Com Forro, Palmilha e Biqueira De Aço.</t>
  </si>
  <si>
    <t>Camisa Social</t>
  </si>
  <si>
    <t>Azul Claro</t>
  </si>
  <si>
    <t>Camisa Polo</t>
  </si>
  <si>
    <t>Calça Social</t>
  </si>
  <si>
    <t>Material: brim leve misto 67% Algodão / 33% Poliéster; Modelo: Unissex;  Quantidade Bolsos: 2 Laterais E 2 Traseiros; Tipo Cós: Com Elástico E Pala; Modelo: unissex;  características adicionais: com elástico e cordão na cintura, sem fecho, tamanhos PP, P, M, G, GG</t>
  </si>
  <si>
    <t>Calça com elastico</t>
  </si>
  <si>
    <t>Sapato social</t>
  </si>
  <si>
    <t>Modelo unissex, confeccionado em Malha PV, com gramatura de 180g/m² ou superior, em tecido sem transparência, com manga curta, sem punho. Gola redonda e barra reta. Logotipo da empresa em silk screen.</t>
  </si>
  <si>
    <t>Camisa Malha</t>
  </si>
  <si>
    <t>Modelo em brim, confeccionado preferencialmente em 100% algodão. Gola modelo italiana. fechamento em botão. Frente com 3 (três) bolsos, sendo um na altura do peito e dois na altura da cintura. Botões e aviamentos na cor do tecido. Logotipo da empresa bordado.</t>
  </si>
  <si>
    <t>Sapato de Segurança</t>
  </si>
  <si>
    <t>Botina segurança - Material: Couro, Material Sola: Borracha, Modelo: Com Elástico nas Laterais, Características Adicionais: Biqueira Em Polipropileno, Tamanho: Sob Medida</t>
  </si>
  <si>
    <t>Avental de cozinheiro - 1,20 x 0,60 m (Tecido Oxford).  Cor: Preta , Características Adicionais: 2 Bolsos Dianteiros, Tamanho: Longo.</t>
  </si>
  <si>
    <t>Camisa Polo - Material: Piquet | Tipo Manga: Meia Manga | Tipo Colarinho: Gola Polo| Tamanho: P, M, G, GG. Confeccionada em malha Piquet ou similar, sendo 50% poliéster e 50% algodão, em tecido não transparente com gramatura entre 190 a 220g/m².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t>
  </si>
  <si>
    <t>01° de Abril</t>
  </si>
  <si>
    <t xml:space="preserve"> - Informar piso salarial de cada categoria, correspondente à jornada de 220h. (Células "E7":"E10").</t>
  </si>
  <si>
    <t xml:space="preserve"> - Informar o percentual de acúmulo de função a ser aplicado. (Célula "I8").</t>
  </si>
  <si>
    <t xml:space="preserve"> - Informar o percentual correspondente ao tempo de execução da atividade acumulada. (Célula "J8").</t>
  </si>
  <si>
    <t xml:space="preserve"> - Informar o salário base para cálculo da atividade acumulada. (Célula "K8").</t>
  </si>
  <si>
    <t xml:space="preserve"> - Informar os Dados da Apresentação da Proposta e relacionados à Convenção Coletiva de Trabalho. Tais informações não interferem na execução de cálculos, servem apenas para instruir o processo da análise da proposta. (Células "E13:E17").</t>
  </si>
  <si>
    <t xml:space="preserve"> - Informar o percentual correspondente ao RAT, conforme atividade principal da licitante. (Célula "G23").</t>
  </si>
  <si>
    <t xml:space="preserve"> - Informar o fator correspondente ao FAP, conforme extraído do relatório FapWeb. (Célula "G24").</t>
  </si>
  <si>
    <t xml:space="preserve"> - Informar o valor do salário mínimo nacional vigente (base de cálculo para a cotação de insalubridade). (Célula "G27").</t>
  </si>
  <si>
    <t xml:space="preserve"> - Informar o valor unitário do Seguro de Vida, nos casos exigidos, conforme legislação vigente. (Célula "G30").</t>
  </si>
  <si>
    <t xml:space="preserve"> - Informar o valor unitário do Programa de Assistência Familiar - PAF, nos casos exigidos, conforme legislação vigente. (Célula "G31").</t>
  </si>
  <si>
    <t xml:space="preserve"> - Informar o valor unitário da tarifa de transporte público vigente à data de apresentação da proposta, conforme legislação vigente. (Célula "G32").</t>
  </si>
  <si>
    <t xml:space="preserve"> - Informar o quantitativo unitário diário de tarifas de transporte público (ex.: 1 tarifa para ida e 1 tarifa para volta = Total de 2 tarifas). (Célula "G33").</t>
  </si>
  <si>
    <t xml:space="preserve"> - Informar o valor unitário do ticket de Vale Alimentação, nos casos exigidos, conforme legislação vigente. (Célula "G36").</t>
  </si>
  <si>
    <t xml:space="preserve"> - Informar o percentual de desconto à título de participação do trabalhador em relação ao fornecimento de Vale Alimentação, nos casos exigidos, conforme legislação vigente. (Célula "G38").</t>
  </si>
  <si>
    <t xml:space="preserve"> - Incluir outros custos não previstos previamente, bem como descrevê-los, em caso de previsão legal, devendo ser apresentadas justificativas para a inserção. (Células "B39" e "G39").</t>
  </si>
  <si>
    <t xml:space="preserve"> - Informar o percentual relativo às Despesas Administrativas da licitante. (Células "G43").</t>
  </si>
  <si>
    <t xml:space="preserve"> - Informar o percentual relativo ao Lucro da licitante. (Células "G44").</t>
  </si>
  <si>
    <t xml:space="preserve"> - Informar a opção tributária da licitante (Células "F50") conforme legislação vigente, OBSERVANDO as instruções contantes na Célula "B48".</t>
  </si>
  <si>
    <t xml:space="preserve"> - Informar o percentual da alíquota COFINS (Células "G51") conforme legislação vigente, OBSERVANDO as instruções contantes na Célula "B48".</t>
  </si>
  <si>
    <t xml:space="preserve"> - Informar o percentual da alíquota PIS/PASEP (Células "G52") conforme legislação vigente, OBSERVANDO as instruções contantes na Célula "B48".</t>
  </si>
  <si>
    <t xml:space="preserve"> - Informar o percentual da alíquota ISSQN (Células "G53") conforme legislação vigente, OBSERVANDO as instruções contantes na Célula "B48".</t>
  </si>
  <si>
    <t xml:space="preserve"> - Incluir outros impostos não inseridos previamente, bem como descrevê-los, em caso de previsão legal, devendo ser apresentadas justificativas para a inserção. (Células "B54" e "G54").</t>
  </si>
  <si>
    <t xml:space="preserve"> - Materiais de Limpeza (Células "G9:G43)</t>
  </si>
  <si>
    <t xml:space="preserve"> - Materiais de Copa (Células "G50:G56)</t>
  </si>
  <si>
    <t>4.2</t>
  </si>
  <si>
    <t>DATA DA PROPOSTA</t>
  </si>
  <si>
    <t>Informar data de entrega da proposta comercial.</t>
  </si>
  <si>
    <t>SINSERTH x SINTAPPI</t>
  </si>
  <si>
    <t>Informar o número de registro da Convenção Coletiva de Tralbalho utilizada, junto ao Ministério do Trabalho e Emprego.</t>
  </si>
  <si>
    <t>2025/2026</t>
  </si>
  <si>
    <t>Informar a vigência da Convenção Coletiva de Trabalho utilizada.</t>
  </si>
  <si>
    <t>Informar a data base da Convenção Coletiva de Trabalho utilizada.</t>
  </si>
  <si>
    <t>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t>
  </si>
  <si>
    <t>União</t>
  </si>
  <si>
    <t>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t>
  </si>
  <si>
    <t>3 Corações Gormet, Orfeu</t>
  </si>
  <si>
    <t>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t>
  </si>
  <si>
    <t>Linea</t>
  </si>
  <si>
    <t>Anual</t>
  </si>
  <si>
    <t>Caixa com 06 rolos</t>
  </si>
  <si>
    <t>Chaleira Eletrica - Material: Aço Inoxidável, Capacidade: 1,8L, Potencia mínima de 1.100W, Voltagem 127V, Características Adicionais: Desligamento Automático, Base Destacável, Com Luz De Funcionamento, Garantia De Fabrica De 12 Meses</t>
  </si>
  <si>
    <t>ANEXO X - CUSTO ESTIMATIVO DE INSUMOS DE LIMPEZA</t>
  </si>
  <si>
    <t>ANEXO X - CUSTO ESTIMATIVO DE INSUMOS DE COPA</t>
  </si>
  <si>
    <t>Mensal</t>
  </si>
  <si>
    <t>Luva Segurança Com Forro. Material: 100% Látex Nitrílico , Tamanho: M ou G, Aplicação: Manuseio Reagente Químico E Radioativo , Características Adicionais: Com Forro, Sem Talco, Pulso Com Bainha , Modelo: Palma Antiderrapante, Cor: Verde, Tipo: Ambidestra</t>
  </si>
  <si>
    <t>Total da Depreciação de Máquinas e Equipamentos de Copa - COPEIRA</t>
  </si>
  <si>
    <t>Servente de Limpeza acúmulo de função Copeira</t>
  </si>
  <si>
    <t>Servente de Limpeza com insalubridade 40%</t>
  </si>
  <si>
    <r>
      <rPr>
        <b/>
        <sz val="9"/>
        <rFont val="Calibri"/>
        <family val="2"/>
        <scheme val="minor"/>
      </rPr>
      <t>Feminino: </t>
    </r>
    <r>
      <rPr>
        <sz val="9"/>
        <rFont val="Calibri"/>
        <family val="2"/>
        <scheme val="minor"/>
      </rPr>
      <t xml:space="preserve">modelo social, confeccionada em tricoline com elastano, sendo 3% elastano e no mínimo 40% algodão, tecido não transparente.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sem pence. Traseira: 2 pences. Aviamento e botões na mesma cor do tecido. Etiqueta de composição e instrução de lavagem conforme determinação do INMETRO.                                                                                </t>
    </r>
    <r>
      <rPr>
        <b/>
        <sz val="9"/>
        <rFont val="Calibri"/>
        <family val="2"/>
        <scheme val="minor"/>
      </rPr>
      <t>Masculino:</t>
    </r>
    <r>
      <rPr>
        <sz val="9"/>
        <rFont val="Calibri"/>
        <family val="2"/>
        <scheme val="minor"/>
      </rPr>
      <t> modelo social, confeccionada em tecido tricoline 60% poliéster e 40% algodão.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Aviamento e botões na mesma cor do tecido. Etiqueta de composição e instrução de lavagem conforme determinação do INMETRO.</t>
    </r>
  </si>
  <si>
    <r>
      <t>Feminino: </t>
    </r>
    <r>
      <rPr>
        <sz val="9"/>
        <color rgb="FF000000"/>
        <rFont val="Calibri"/>
        <family val="2"/>
        <scheme val="minor"/>
      </rPr>
      <t xml:space="preserve">Modelo social, confeccionada em tecido Gabardine com elastano (lado interno acetinado), 95% poliéster, 5% elastano, 1ª qualidade ou confeccionada em tecido plano encorpado 74% Poliéster, 20% Viscose, 6% Elastano. Modelo: Sem pregas, com cós alto. Frente: fechável por zíper comum de nylon fino trava automática, com 01(um) botão no cós na cor do tecido para fechamento, e gancho metálico interno. Cós no próprio tecido entretelado com 6 passadores. Traseira: 2 (dois) pences. Barra: Máquina reta. Aviamento e botões na mesma cor do tecido. Etiqueta de composição e identificação do tecido, forro, confecção, tamanho da peça e instruções de lavagem, conforme determinação do INMETRO.                                           </t>
    </r>
    <r>
      <rPr>
        <b/>
        <sz val="9"/>
        <color rgb="FF000000"/>
        <rFont val="Calibri"/>
        <family val="2"/>
        <scheme val="minor"/>
      </rPr>
      <t>Masculino:</t>
    </r>
    <r>
      <rPr>
        <sz val="9"/>
        <color rgb="FF000000"/>
        <rFont val="Calibri"/>
        <family val="2"/>
        <scheme val="minor"/>
      </rPr>
      <t> Modelo social, confeccionada em Microfibra 100% poliéster maquinetada, sem pregas, 2 bolsos na frente tipo faca, 2 bolsos traseiros sendo um bolso do lado direito e um do lado esquerdo, embutidos sem portinhola, cerzidos, 1 pinchal em cada, fechamento por caseado e 1 botão. Ziper de nylon 18 cm trava automática; Cós no próprio tecido entretelado, fechável por gancho metálico e 1 botão na extensão, com 8 passantes de 1 cm; forro de bolso: 50% poliéster e 50% algodão na cor do tecido. Aviamento e botões na mesma cor do tecido. Etiqueta de composição e identificação do tecido, forro, confecção, tamanho da peça e instruções de lavagem, conforme determinação do INMETRO.</t>
    </r>
  </si>
  <si>
    <r>
      <t>Feminino</t>
    </r>
    <r>
      <rPr>
        <sz val="9"/>
        <color rgb="FF000000"/>
        <rFont val="Calibri"/>
        <family val="2"/>
        <scheme val="minor"/>
      </rPr>
      <t xml:space="preserve">: Sapatilha Feminina material sintético; sola antiderrapante, confeccionado em couro na cor Preto, palmilha em EVA recoberta com tecido antimicrobiano. Tamanho: Sob Medida                                              </t>
    </r>
    <r>
      <rPr>
        <b/>
        <sz val="9"/>
        <color rgb="FF000000"/>
        <rFont val="Calibri"/>
        <family val="2"/>
        <scheme val="minor"/>
      </rPr>
      <t>Masculino:</t>
    </r>
    <r>
      <rPr>
        <sz val="9"/>
        <color rgb="FF000000"/>
        <rFont val="Calibri"/>
        <family val="2"/>
        <scheme val="minor"/>
      </rPr>
      <t> modelo social de couro, tipo esporte fino masculino, cabedal em couro natural, com cadarço, palmilha almofadada acolchoado, contraforte, solado em borracha, costurado e colado, sistema anti-impacto para o joelho e antiderrapante.</t>
    </r>
  </si>
  <si>
    <t>MG001973/2025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</si>
</sst>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_-;_-@_-"/>
    <numFmt numFmtId="165" formatCode="_-&quot;R$ &quot;* #,##0.00_-;&quot;-R$ &quot;* #,##0.00_-;_-&quot;R$ &quot;* \-??_-;_-@_-"/>
    <numFmt numFmtId="166" formatCode="#,##0_ ;\-#,##0\ "/>
    <numFmt numFmtId="167" formatCode="d/m/yyyy"/>
    <numFmt numFmtId="168" formatCode="0.0000"/>
    <numFmt numFmtId="169" formatCode="_(* #,##0.00_);_(* \(#,##0.00\);_(* \-??_);_(@_)"/>
    <numFmt numFmtId="170" formatCode="* #,##0.00\ ;* \(#,##0.00\);* \-#\ ;@\ "/>
  </numFmts>
  <fonts count="61" x14ac:knownFonts="1">
    <font>
      <sz val="11"/>
      <color rgb="FF000000"/>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sz val="10"/>
      <color rgb="FF000000"/>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6"/>
      <name val="Calibri"/>
      <family val="2"/>
      <charset val="1"/>
    </font>
    <font>
      <b/>
      <sz val="12"/>
      <color rgb="FFBFBFBF"/>
      <name val="Calibri"/>
      <family val="2"/>
      <charset val="1"/>
    </font>
    <font>
      <b/>
      <sz val="10"/>
      <color rgb="FFC00000"/>
      <name val="Calibri"/>
      <family val="2"/>
      <charset val="1"/>
    </font>
    <font>
      <sz val="10"/>
      <color rgb="FFC00000"/>
      <name val="Calibri"/>
      <family val="2"/>
      <charset val="1"/>
    </font>
    <font>
      <sz val="10"/>
      <name val="Times New Roman"/>
      <family val="1"/>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
      <b/>
      <sz val="10"/>
      <name val="Calibri"/>
      <family val="2"/>
    </font>
    <font>
      <b/>
      <sz val="11"/>
      <name val="Calibri"/>
      <family val="2"/>
    </font>
    <font>
      <b/>
      <sz val="12"/>
      <name val="Calibri"/>
      <family val="2"/>
    </font>
    <font>
      <sz val="10"/>
      <name val="Calibri"/>
      <family val="2"/>
    </font>
    <font>
      <u/>
      <sz val="11"/>
      <color theme="10"/>
      <name val="Calibri"/>
      <family val="2"/>
      <charset val="1"/>
    </font>
    <font>
      <sz val="10"/>
      <name val="Arial"/>
      <family val="2"/>
      <charset val="1"/>
    </font>
    <font>
      <b/>
      <sz val="11"/>
      <color rgb="FF000000"/>
      <name val="Calibri"/>
      <family val="2"/>
    </font>
    <font>
      <b/>
      <sz val="11"/>
      <color rgb="FFFF0000"/>
      <name val="Calibri"/>
      <family val="2"/>
    </font>
    <font>
      <b/>
      <sz val="20"/>
      <name val="Calibri"/>
      <family val="2"/>
      <charset val="1"/>
    </font>
    <font>
      <b/>
      <sz val="20"/>
      <name val="Calibri"/>
      <family val="2"/>
    </font>
    <font>
      <sz val="11"/>
      <name val="Calibri"/>
      <family val="2"/>
      <scheme val="minor"/>
    </font>
    <font>
      <b/>
      <sz val="10"/>
      <name val="Calibri"/>
      <family val="2"/>
      <scheme val="minor"/>
    </font>
    <font>
      <sz val="10"/>
      <name val="Calibri"/>
      <family val="2"/>
      <scheme val="minor"/>
    </font>
    <font>
      <b/>
      <sz val="12"/>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s>
  <fills count="27">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2CC"/>
      </patternFill>
    </fill>
    <fill>
      <patternFill patternType="solid">
        <fgColor rgb="FFDCE6F2"/>
        <bgColor rgb="FFDEEBF7"/>
      </patternFill>
    </fill>
    <fill>
      <patternFill patternType="solid">
        <fgColor rgb="FFF2DCDB"/>
        <bgColor rgb="FFD9D9D9"/>
      </patternFill>
    </fill>
    <fill>
      <patternFill patternType="solid">
        <fgColor rgb="FF606060"/>
        <bgColor rgb="FF808080"/>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FFF2CC"/>
        <bgColor rgb="FFFFFFCC"/>
      </patternFill>
    </fill>
    <fill>
      <patternFill patternType="solid">
        <fgColor rgb="FFADB9CA"/>
        <bgColor rgb="FFBFBFBF"/>
      </patternFill>
    </fill>
    <fill>
      <patternFill patternType="solid">
        <fgColor rgb="FF00B0F0"/>
        <bgColor rgb="FF33CCCC"/>
      </patternFill>
    </fill>
    <fill>
      <patternFill patternType="solid">
        <fgColor rgb="FF808080"/>
        <bgColor rgb="FF606060"/>
      </patternFill>
    </fill>
    <fill>
      <patternFill patternType="solid">
        <fgColor theme="1" tint="0.34998626667073579"/>
        <bgColor rgb="FFFFFFCC"/>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C000"/>
        <bgColor rgb="FFFFFFCC"/>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79998168889431442"/>
        <bgColor rgb="FFDCE6F2"/>
      </patternFill>
    </fill>
  </fills>
  <borders count="75">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bottom style="medium">
        <color auto="1"/>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thin">
        <color auto="1"/>
      </top>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medium">
        <color auto="1"/>
      </right>
      <top/>
      <bottom style="thin">
        <color auto="1"/>
      </bottom>
      <diagonal/>
    </border>
    <border>
      <left/>
      <right/>
      <top style="thin">
        <color auto="1"/>
      </top>
      <bottom style="medium">
        <color auto="1"/>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s>
  <cellStyleXfs count="7">
    <xf numFmtId="0" fontId="0" fillId="0" borderId="0"/>
    <xf numFmtId="164" fontId="41" fillId="0" borderId="0" applyBorder="0" applyProtection="0"/>
    <xf numFmtId="165" fontId="41" fillId="0" borderId="0" applyBorder="0" applyProtection="0"/>
    <xf numFmtId="9" fontId="41" fillId="0" borderId="0" applyBorder="0" applyProtection="0"/>
    <xf numFmtId="170" fontId="34" fillId="0" borderId="0" applyBorder="0" applyProtection="0"/>
    <xf numFmtId="0" fontId="46" fillId="0" borderId="0" applyNumberFormat="0" applyFill="0" applyBorder="0" applyAlignment="0" applyProtection="0"/>
    <xf numFmtId="0" fontId="47" fillId="0" borderId="0"/>
  </cellStyleXfs>
  <cellXfs count="743">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1" xfId="0" applyFont="1" applyBorder="1"/>
    <xf numFmtId="0" fontId="2" fillId="0" borderId="2" xfId="0" applyFont="1" applyBorder="1" applyAlignment="1">
      <alignment horizontal="left" vertical="center"/>
    </xf>
    <xf numFmtId="0" fontId="3" fillId="0" borderId="0" xfId="0" applyFont="1" applyAlignment="1">
      <alignment vertical="center"/>
    </xf>
    <xf numFmtId="0" fontId="1" fillId="0" borderId="3" xfId="0" applyFont="1" applyBorder="1" applyAlignment="1">
      <alignment vertical="top"/>
    </xf>
    <xf numFmtId="0" fontId="2" fillId="0" borderId="0" xfId="0" applyFont="1" applyAlignment="1">
      <alignment horizontal="left" vertical="center"/>
    </xf>
    <xf numFmtId="0" fontId="3"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top"/>
    </xf>
    <xf numFmtId="0" fontId="2" fillId="0" borderId="0" xfId="0" applyFont="1" applyAlignment="1">
      <alignment horizontal="left" vertical="top"/>
    </xf>
    <xf numFmtId="0" fontId="5" fillId="2" borderId="4" xfId="0" applyFont="1" applyFill="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1" fillId="0" borderId="4"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1" fontId="9" fillId="0" borderId="17" xfId="0" applyNumberFormat="1" applyFont="1" applyBorder="1" applyAlignment="1">
      <alignment horizontal="center" vertical="center"/>
    </xf>
    <xf numFmtId="0" fontId="9" fillId="0" borderId="4" xfId="0" applyFont="1" applyBorder="1" applyAlignment="1">
      <alignment vertical="center" wrapText="1"/>
    </xf>
    <xf numFmtId="1" fontId="9" fillId="0" borderId="4" xfId="0" applyNumberFormat="1" applyFont="1" applyBorder="1" applyAlignment="1">
      <alignment horizontal="center" vertical="center"/>
    </xf>
    <xf numFmtId="0" fontId="11" fillId="6" borderId="18" xfId="0"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2" fontId="11" fillId="6" borderId="17" xfId="0" applyNumberFormat="1" applyFont="1" applyFill="1" applyBorder="1" applyAlignment="1" applyProtection="1">
      <alignment horizontal="center" vertical="center"/>
      <protection locked="0"/>
    </xf>
    <xf numFmtId="2" fontId="9" fillId="0" borderId="19" xfId="0" applyNumberFormat="1" applyFont="1" applyBorder="1" applyAlignment="1">
      <alignment horizontal="center" vertical="center"/>
    </xf>
    <xf numFmtId="0" fontId="11" fillId="6" borderId="20" xfId="0" applyFont="1" applyFill="1" applyBorder="1" applyAlignment="1" applyProtection="1">
      <alignment horizontal="center" vertical="center"/>
      <protection locked="0"/>
    </xf>
    <xf numFmtId="164" fontId="12" fillId="7" borderId="20" xfId="0" applyNumberFormat="1" applyFont="1" applyFill="1" applyBorder="1" applyAlignment="1">
      <alignment horizontal="center" vertical="center"/>
    </xf>
    <xf numFmtId="164" fontId="9" fillId="0" borderId="21" xfId="0" applyNumberFormat="1" applyFont="1" applyBorder="1" applyAlignment="1">
      <alignment horizontal="center" vertical="center"/>
    </xf>
    <xf numFmtId="164" fontId="12" fillId="7" borderId="4" xfId="0" applyNumberFormat="1" applyFont="1" applyFill="1" applyBorder="1" applyAlignment="1">
      <alignment horizontal="center" vertical="center"/>
    </xf>
    <xf numFmtId="165" fontId="9" fillId="0" borderId="4" xfId="0" applyNumberFormat="1" applyFont="1" applyBorder="1" applyAlignment="1">
      <alignment horizontal="center" vertical="center"/>
    </xf>
    <xf numFmtId="0" fontId="9" fillId="0" borderId="4" xfId="0" applyFont="1" applyBorder="1" applyAlignment="1">
      <alignment horizontal="center" vertical="center"/>
    </xf>
    <xf numFmtId="165" fontId="9" fillId="0" borderId="4" xfId="2" applyFont="1" applyBorder="1" applyAlignment="1" applyProtection="1">
      <alignment horizontal="center" vertical="center"/>
    </xf>
    <xf numFmtId="165" fontId="9" fillId="0" borderId="19" xfId="2" applyFont="1" applyBorder="1" applyAlignment="1" applyProtection="1">
      <alignment horizontal="center" vertical="center"/>
    </xf>
    <xf numFmtId="0" fontId="9" fillId="0" borderId="21" xfId="0" applyFont="1" applyBorder="1" applyAlignment="1">
      <alignment horizontal="center" vertical="center"/>
    </xf>
    <xf numFmtId="1" fontId="9" fillId="0" borderId="22" xfId="0" applyNumberFormat="1" applyFont="1" applyBorder="1" applyAlignment="1">
      <alignment horizontal="center" vertical="center"/>
    </xf>
    <xf numFmtId="1" fontId="9" fillId="0" borderId="23" xfId="0" applyNumberFormat="1" applyFont="1" applyBorder="1" applyAlignment="1">
      <alignment horizontal="center" vertical="center"/>
    </xf>
    <xf numFmtId="0" fontId="11" fillId="6" borderId="23" xfId="0" applyFont="1" applyFill="1" applyBorder="1" applyAlignment="1" applyProtection="1">
      <alignment horizontal="center" vertical="center"/>
      <protection locked="0"/>
    </xf>
    <xf numFmtId="0" fontId="11" fillId="6" borderId="24" xfId="0" applyFont="1" applyFill="1" applyBorder="1" applyAlignment="1" applyProtection="1">
      <alignment horizontal="center" vertical="center"/>
      <protection locked="0"/>
    </xf>
    <xf numFmtId="2" fontId="11" fillId="6" borderId="22" xfId="0" applyNumberFormat="1" applyFont="1" applyFill="1" applyBorder="1" applyAlignment="1" applyProtection="1">
      <alignment horizontal="center" vertical="center"/>
      <protection locked="0"/>
    </xf>
    <xf numFmtId="2" fontId="9" fillId="0" borderId="25" xfId="0" applyNumberFormat="1" applyFont="1" applyBorder="1" applyAlignment="1">
      <alignment horizontal="center" vertical="center"/>
    </xf>
    <xf numFmtId="0" fontId="11" fillId="6" borderId="26" xfId="0" applyFont="1" applyFill="1" applyBorder="1" applyAlignment="1" applyProtection="1">
      <alignment horizontal="center" vertical="center"/>
      <protection locked="0"/>
    </xf>
    <xf numFmtId="0" fontId="7" fillId="5" borderId="27" xfId="0" applyFont="1" applyFill="1" applyBorder="1" applyAlignment="1">
      <alignment horizontal="center" vertical="center" wrapText="1"/>
    </xf>
    <xf numFmtId="4" fontId="7" fillId="5" borderId="29" xfId="0" applyNumberFormat="1"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2" xfId="0" applyFont="1" applyFill="1" applyBorder="1" applyAlignment="1">
      <alignment vertical="center" wrapText="1"/>
    </xf>
    <xf numFmtId="0" fontId="9" fillId="0" borderId="0" xfId="0" applyFont="1" applyAlignment="1">
      <alignment vertical="center"/>
    </xf>
    <xf numFmtId="0" fontId="13"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14" fillId="0" borderId="0" xfId="0" applyFont="1" applyAlignment="1">
      <alignment horizontal="left" vertical="center" wrapText="1"/>
    </xf>
    <xf numFmtId="0" fontId="7" fillId="5" borderId="4" xfId="0" applyFont="1" applyFill="1" applyBorder="1" applyAlignment="1">
      <alignment horizontal="center" vertical="center" wrapText="1"/>
    </xf>
    <xf numFmtId="0" fontId="9" fillId="0" borderId="0" xfId="0" applyFont="1" applyAlignment="1">
      <alignment horizontal="center" vertical="center"/>
    </xf>
    <xf numFmtId="0" fontId="9" fillId="0" borderId="4" xfId="0" applyFont="1" applyBorder="1" applyAlignment="1" applyProtection="1">
      <alignment horizontal="center" vertical="center"/>
      <protection locked="0"/>
    </xf>
    <xf numFmtId="2" fontId="9" fillId="0" borderId="4" xfId="0" applyNumberFormat="1" applyFont="1" applyBorder="1" applyAlignment="1" applyProtection="1">
      <alignment horizontal="center" vertical="center"/>
      <protection locked="0"/>
    </xf>
    <xf numFmtId="165" fontId="1" fillId="0" borderId="0" xfId="2" applyFont="1" applyBorder="1" applyAlignment="1" applyProtection="1">
      <alignment horizontal="left" vertical="center"/>
    </xf>
    <xf numFmtId="0" fontId="7" fillId="0" borderId="0" xfId="0" applyFont="1" applyAlignment="1">
      <alignment horizontal="center" vertical="center" wrapText="1"/>
    </xf>
    <xf numFmtId="0" fontId="9" fillId="0" borderId="0" xfId="0" applyFont="1"/>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11" fillId="6" borderId="12" xfId="0" applyFont="1" applyFill="1" applyBorder="1" applyAlignment="1" applyProtection="1">
      <alignment horizontal="center" vertical="center"/>
      <protection locked="0"/>
    </xf>
    <xf numFmtId="0" fontId="9" fillId="0" borderId="14" xfId="0" applyFont="1" applyBorder="1" applyAlignment="1">
      <alignment vertical="center"/>
    </xf>
    <xf numFmtId="0" fontId="10" fillId="0" borderId="11" xfId="0" applyFont="1" applyBorder="1" applyAlignment="1">
      <alignment horizontal="center" vertical="center" wrapText="1"/>
    </xf>
    <xf numFmtId="166" fontId="9" fillId="0" borderId="12"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xf>
    <xf numFmtId="1" fontId="2" fillId="0" borderId="17" xfId="0" applyNumberFormat="1" applyFont="1" applyBorder="1" applyAlignment="1">
      <alignment horizontal="center" vertical="center" wrapText="1"/>
    </xf>
    <xf numFmtId="0" fontId="9" fillId="0" borderId="4" xfId="0" applyFont="1" applyBorder="1" applyAlignment="1">
      <alignment horizontal="center" vertical="center" wrapText="1"/>
    </xf>
    <xf numFmtId="165" fontId="7" fillId="5" borderId="14" xfId="2" applyFont="1" applyFill="1" applyBorder="1" applyAlignment="1" applyProtection="1">
      <alignment horizontal="center" vertical="center" wrapText="1"/>
    </xf>
    <xf numFmtId="10" fontId="7" fillId="5" borderId="21" xfId="0" applyNumberFormat="1" applyFont="1" applyFill="1" applyBorder="1" applyAlignment="1">
      <alignment horizontal="center" vertical="center" wrapText="1"/>
    </xf>
    <xf numFmtId="165" fontId="7" fillId="5" borderId="19" xfId="2" applyFont="1" applyFill="1" applyBorder="1" applyAlignment="1" applyProtection="1">
      <alignment horizontal="center" vertical="center" wrapText="1"/>
    </xf>
    <xf numFmtId="165" fontId="7" fillId="5" borderId="25" xfId="2" applyFont="1" applyFill="1" applyBorder="1" applyAlignment="1" applyProtection="1">
      <alignment horizontal="center" vertical="center" wrapText="1"/>
    </xf>
    <xf numFmtId="1" fontId="9" fillId="0" borderId="17"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65" fontId="7" fillId="5" borderId="34" xfId="2" applyFont="1" applyFill="1" applyBorder="1" applyAlignment="1" applyProtection="1">
      <alignment horizontal="center" vertical="center" wrapText="1"/>
    </xf>
    <xf numFmtId="0" fontId="1" fillId="0" borderId="4" xfId="0" applyFont="1" applyBorder="1"/>
    <xf numFmtId="3" fontId="1" fillId="0" borderId="18" xfId="0" applyNumberFormat="1" applyFont="1" applyBorder="1" applyAlignment="1">
      <alignment horizontal="center" vertical="center"/>
    </xf>
    <xf numFmtId="0" fontId="1" fillId="0" borderId="18" xfId="0" applyFont="1" applyBorder="1" applyAlignment="1">
      <alignment horizontal="center" vertical="center"/>
    </xf>
    <xf numFmtId="0" fontId="1" fillId="0" borderId="4" xfId="0" applyFont="1" applyBorder="1" applyAlignment="1">
      <alignment horizontal="left"/>
    </xf>
    <xf numFmtId="0" fontId="9" fillId="0" borderId="0" xfId="0" applyFont="1" applyAlignment="1">
      <alignment horizontal="left"/>
    </xf>
    <xf numFmtId="0" fontId="16" fillId="0" borderId="1" xfId="0" applyFont="1" applyBorder="1"/>
    <xf numFmtId="0" fontId="2" fillId="0" borderId="2" xfId="0" applyFont="1" applyBorder="1" applyAlignment="1">
      <alignment vertical="center"/>
    </xf>
    <xf numFmtId="0" fontId="16" fillId="0" borderId="3" xfId="0" applyFont="1" applyBorder="1"/>
    <xf numFmtId="0" fontId="2" fillId="0" borderId="0" xfId="0" applyFont="1" applyAlignment="1">
      <alignment vertical="center"/>
    </xf>
    <xf numFmtId="0" fontId="7" fillId="0" borderId="0" xfId="0" applyFont="1" applyAlignment="1">
      <alignment horizontal="center" vertical="center"/>
    </xf>
    <xf numFmtId="0" fontId="15" fillId="0" borderId="0" xfId="0" applyFont="1" applyAlignment="1">
      <alignment horizontal="left"/>
    </xf>
    <xf numFmtId="0" fontId="9" fillId="2" borderId="9" xfId="0" applyFont="1" applyFill="1" applyBorder="1" applyAlignment="1">
      <alignment horizontal="left"/>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9" fillId="2" borderId="0" xfId="0" applyFont="1" applyFill="1"/>
    <xf numFmtId="0" fontId="7" fillId="0" borderId="0" xfId="0" applyFont="1"/>
    <xf numFmtId="0" fontId="9" fillId="9" borderId="0" xfId="0" applyFont="1" applyFill="1"/>
    <xf numFmtId="0" fontId="18" fillId="10" borderId="0" xfId="0" applyFont="1" applyFill="1"/>
    <xf numFmtId="0" fontId="9" fillId="9" borderId="0" xfId="0" applyFont="1" applyFill="1" applyAlignment="1">
      <alignment vertical="center"/>
    </xf>
    <xf numFmtId="0" fontId="9" fillId="8" borderId="0" xfId="0" applyFont="1" applyFill="1" applyAlignment="1">
      <alignment vertical="center"/>
    </xf>
    <xf numFmtId="0" fontId="2" fillId="0" borderId="0" xfId="0" applyFont="1"/>
    <xf numFmtId="0" fontId="9" fillId="0" borderId="0" xfId="0" applyFont="1" applyAlignment="1">
      <alignment horizontal="center"/>
    </xf>
    <xf numFmtId="0" fontId="19" fillId="0" borderId="0" xfId="0" applyFont="1" applyAlignment="1">
      <alignment horizontal="left" vertical="center"/>
    </xf>
    <xf numFmtId="0" fontId="1" fillId="0" borderId="0" xfId="0" applyFont="1" applyAlignment="1">
      <alignment vertical="center"/>
    </xf>
    <xf numFmtId="167" fontId="5" fillId="0" borderId="0" xfId="0" applyNumberFormat="1" applyFont="1" applyAlignment="1">
      <alignment horizontal="left" vertical="center"/>
    </xf>
    <xf numFmtId="0" fontId="5" fillId="0" borderId="0" xfId="0" applyFont="1" applyAlignment="1">
      <alignment vertical="center" wrapText="1"/>
    </xf>
    <xf numFmtId="0" fontId="9" fillId="11" borderId="4" xfId="0" applyFont="1" applyFill="1" applyBorder="1" applyAlignment="1">
      <alignment horizontal="center" vertical="center" wrapText="1"/>
    </xf>
    <xf numFmtId="0" fontId="5" fillId="11" borderId="4" xfId="0" applyFont="1" applyFill="1" applyBorder="1" applyAlignment="1">
      <alignment horizontal="center" vertical="center" wrapText="1"/>
    </xf>
    <xf numFmtId="168" fontId="6" fillId="0" borderId="0" xfId="0" applyNumberFormat="1" applyFont="1" applyAlignment="1">
      <alignment vertical="center"/>
    </xf>
    <xf numFmtId="0" fontId="5" fillId="0" borderId="4" xfId="0" applyFont="1" applyBorder="1" applyAlignment="1">
      <alignment horizontal="center"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wrapText="1"/>
    </xf>
    <xf numFmtId="4" fontId="1" fillId="2" borderId="4" xfId="1" applyNumberFormat="1" applyFont="1" applyFill="1" applyBorder="1" applyAlignment="1" applyProtection="1">
      <alignment horizontal="center" vertical="center"/>
      <protection locked="0"/>
    </xf>
    <xf numFmtId="4" fontId="1" fillId="0" borderId="4" xfId="1" applyNumberFormat="1" applyFont="1" applyBorder="1" applyAlignment="1" applyProtection="1">
      <alignment horizontal="center" vertical="center"/>
    </xf>
    <xf numFmtId="10" fontId="1" fillId="0" borderId="4" xfId="3" applyNumberFormat="1" applyFont="1" applyBorder="1" applyAlignment="1" applyProtection="1">
      <alignment horizontal="center" vertical="center"/>
    </xf>
    <xf numFmtId="4" fontId="5" fillId="0" borderId="4" xfId="1" applyNumberFormat="1" applyFont="1" applyBorder="1" applyAlignment="1" applyProtection="1">
      <alignment horizontal="center" vertical="center"/>
    </xf>
    <xf numFmtId="3" fontId="1" fillId="0" borderId="4" xfId="0" applyNumberFormat="1" applyFont="1" applyBorder="1" applyAlignment="1">
      <alignment horizontal="center" vertical="center"/>
    </xf>
    <xf numFmtId="164" fontId="12" fillId="7" borderId="4" xfId="1" applyFont="1" applyFill="1" applyBorder="1" applyAlignment="1" applyProtection="1">
      <alignment horizontal="center" vertical="center"/>
    </xf>
    <xf numFmtId="10" fontId="1" fillId="2" borderId="4" xfId="3" applyNumberFormat="1" applyFont="1" applyFill="1" applyBorder="1" applyAlignment="1" applyProtection="1">
      <alignment horizontal="center" vertical="center"/>
      <protection locked="0"/>
    </xf>
    <xf numFmtId="2" fontId="1" fillId="0" borderId="4" xfId="3" applyNumberFormat="1" applyFont="1" applyBorder="1" applyAlignment="1" applyProtection="1">
      <alignment horizontal="center" vertical="center"/>
    </xf>
    <xf numFmtId="4" fontId="1" fillId="0" borderId="4" xfId="0" applyNumberFormat="1" applyFont="1" applyBorder="1" applyAlignment="1">
      <alignment horizontal="center" vertical="center"/>
    </xf>
    <xf numFmtId="0" fontId="5" fillId="0" borderId="0" xfId="0" applyFont="1" applyAlignment="1">
      <alignment vertical="center"/>
    </xf>
    <xf numFmtId="0" fontId="5" fillId="0" borderId="12" xfId="0" applyFont="1" applyBorder="1" applyAlignment="1">
      <alignment horizontal="center" vertical="center"/>
    </xf>
    <xf numFmtId="4" fontId="5" fillId="0" borderId="12" xfId="1" applyNumberFormat="1" applyFont="1" applyBorder="1" applyAlignment="1" applyProtection="1">
      <alignment horizontal="center" vertical="center"/>
    </xf>
    <xf numFmtId="0" fontId="5" fillId="11"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44" xfId="0" applyFont="1" applyBorder="1" applyAlignment="1">
      <alignment vertical="center"/>
    </xf>
    <xf numFmtId="10" fontId="5" fillId="0" borderId="4" xfId="3" applyNumberFormat="1" applyFont="1" applyBorder="1" applyAlignment="1" applyProtection="1">
      <alignment horizontal="center" vertical="center"/>
    </xf>
    <xf numFmtId="2" fontId="1" fillId="2" borderId="4" xfId="0" applyNumberFormat="1" applyFont="1" applyFill="1" applyBorder="1" applyAlignment="1" applyProtection="1">
      <alignment horizontal="center" vertical="center"/>
      <protection locked="0"/>
    </xf>
    <xf numFmtId="0" fontId="1" fillId="0" borderId="18" xfId="0" applyFont="1" applyBorder="1" applyAlignment="1">
      <alignment vertical="center"/>
    </xf>
    <xf numFmtId="0" fontId="1" fillId="0" borderId="45" xfId="0" applyFont="1" applyBorder="1" applyAlignment="1">
      <alignment vertical="center"/>
    </xf>
    <xf numFmtId="164" fontId="1" fillId="0" borderId="21" xfId="1" applyFont="1" applyBorder="1" applyAlignment="1" applyProtection="1">
      <alignment vertical="center"/>
    </xf>
    <xf numFmtId="0" fontId="1" fillId="0" borderId="44" xfId="0" applyFont="1" applyBorder="1" applyAlignment="1">
      <alignment horizontal="center" vertical="center"/>
    </xf>
    <xf numFmtId="2" fontId="1" fillId="2" borderId="4" xfId="0" applyNumberFormat="1" applyFont="1" applyFill="1" applyBorder="1" applyAlignment="1" applyProtection="1">
      <alignment horizontal="center" vertical="center" wrapText="1"/>
      <protection locked="0"/>
    </xf>
    <xf numFmtId="4" fontId="20" fillId="0" borderId="4" xfId="0" applyNumberFormat="1" applyFont="1" applyBorder="1" applyAlignment="1">
      <alignment horizontal="center" vertical="center"/>
    </xf>
    <xf numFmtId="10" fontId="1" fillId="2" borderId="4" xfId="0"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164" fontId="1" fillId="0" borderId="0" xfId="1" applyFont="1" applyBorder="1" applyProtection="1"/>
    <xf numFmtId="10" fontId="14" fillId="0" borderId="4" xfId="0" applyNumberFormat="1" applyFont="1" applyBorder="1" applyAlignment="1">
      <alignment horizontal="center" vertical="center"/>
    </xf>
    <xf numFmtId="0" fontId="14" fillId="0" borderId="4" xfId="0" applyFont="1" applyBorder="1" applyAlignment="1">
      <alignment horizontal="center" vertical="center"/>
    </xf>
    <xf numFmtId="2" fontId="1" fillId="0" borderId="4" xfId="0" applyNumberFormat="1" applyFont="1" applyBorder="1" applyAlignment="1">
      <alignment horizontal="center" vertical="center"/>
    </xf>
    <xf numFmtId="0" fontId="1" fillId="0" borderId="0" xfId="0" applyFont="1" applyAlignment="1">
      <alignment horizontal="left"/>
    </xf>
    <xf numFmtId="0" fontId="21" fillId="11" borderId="4" xfId="0" applyFont="1" applyFill="1" applyBorder="1" applyAlignment="1">
      <alignment horizontal="center" vertical="center" wrapText="1"/>
    </xf>
    <xf numFmtId="0" fontId="1" fillId="0" borderId="33" xfId="0" applyFont="1" applyBorder="1"/>
    <xf numFmtId="0" fontId="1" fillId="0" borderId="12" xfId="0" applyFont="1" applyBorder="1"/>
    <xf numFmtId="0" fontId="2" fillId="0" borderId="1" xfId="0" applyFont="1" applyBorder="1"/>
    <xf numFmtId="0" fontId="2" fillId="0" borderId="47" xfId="0" applyFont="1" applyBorder="1" applyAlignment="1">
      <alignment vertical="center"/>
    </xf>
    <xf numFmtId="0" fontId="2" fillId="0" borderId="3" xfId="0" applyFont="1" applyBorder="1"/>
    <xf numFmtId="0" fontId="2" fillId="0" borderId="48" xfId="0" applyFont="1" applyBorder="1" applyAlignment="1">
      <alignment vertical="center"/>
    </xf>
    <xf numFmtId="0" fontId="10" fillId="0" borderId="3" xfId="0" applyFont="1" applyBorder="1"/>
    <xf numFmtId="0" fontId="23" fillId="0" borderId="17" xfId="0" applyFont="1" applyBorder="1" applyAlignment="1">
      <alignment horizontal="center"/>
    </xf>
    <xf numFmtId="0" fontId="23" fillId="0" borderId="4" xfId="0" applyFont="1" applyBorder="1" applyAlignment="1">
      <alignment horizontal="center"/>
    </xf>
    <xf numFmtId="0" fontId="23" fillId="0" borderId="19" xfId="0" applyFont="1" applyBorder="1" applyAlignment="1">
      <alignment horizontal="center"/>
    </xf>
    <xf numFmtId="0" fontId="24" fillId="11"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4" xfId="0" applyFont="1" applyBorder="1" applyAlignment="1">
      <alignment vertical="center"/>
    </xf>
    <xf numFmtId="10" fontId="10" fillId="2" borderId="19" xfId="0" applyNumberFormat="1" applyFont="1" applyFill="1" applyBorder="1" applyAlignment="1" applyProtection="1">
      <alignment horizontal="center" vertical="center"/>
      <protection locked="0"/>
    </xf>
    <xf numFmtId="10" fontId="10" fillId="0" borderId="19" xfId="0" applyNumberFormat="1" applyFont="1" applyBorder="1" applyAlignment="1">
      <alignment horizontal="center" vertical="center"/>
    </xf>
    <xf numFmtId="2" fontId="0" fillId="0" borderId="0" xfId="0" applyNumberFormat="1"/>
    <xf numFmtId="10" fontId="24" fillId="11" borderId="19" xfId="0" applyNumberFormat="1" applyFont="1" applyFill="1" applyBorder="1" applyAlignment="1">
      <alignment horizontal="center" vertical="center"/>
    </xf>
    <xf numFmtId="0" fontId="10" fillId="0" borderId="18" xfId="0" applyFont="1" applyBorder="1" applyAlignment="1">
      <alignment vertical="center"/>
    </xf>
    <xf numFmtId="10" fontId="18" fillId="13" borderId="19" xfId="3" applyNumberFormat="1" applyFont="1" applyFill="1" applyBorder="1" applyAlignment="1" applyProtection="1">
      <alignment horizontal="center" vertical="center"/>
    </xf>
    <xf numFmtId="10" fontId="25" fillId="0" borderId="19" xfId="0" applyNumberFormat="1" applyFont="1" applyBorder="1" applyAlignment="1">
      <alignment horizontal="center" vertical="center"/>
    </xf>
    <xf numFmtId="10" fontId="26" fillId="0" borderId="14" xfId="0" applyNumberFormat="1" applyFont="1" applyBorder="1" applyAlignment="1">
      <alignment horizontal="center" vertical="center"/>
    </xf>
    <xf numFmtId="10" fontId="27" fillId="0" borderId="19" xfId="0" applyNumberFormat="1" applyFont="1" applyBorder="1" applyAlignment="1">
      <alignment horizontal="center" vertical="center"/>
    </xf>
    <xf numFmtId="0" fontId="25" fillId="0" borderId="17" xfId="0" applyFont="1" applyBorder="1" applyAlignment="1">
      <alignment horizontal="center" vertical="center"/>
    </xf>
    <xf numFmtId="0" fontId="25" fillId="0" borderId="4" xfId="0" applyFont="1" applyBorder="1" applyAlignment="1">
      <alignment horizontal="left" vertical="center"/>
    </xf>
    <xf numFmtId="0" fontId="9" fillId="14" borderId="17"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8" fillId="14" borderId="19" xfId="0" applyFont="1" applyFill="1" applyBorder="1" applyAlignment="1">
      <alignment horizontal="center" vertical="center" wrapText="1"/>
    </xf>
    <xf numFmtId="10" fontId="9" fillId="14" borderId="4" xfId="0" applyNumberFormat="1" applyFont="1" applyFill="1" applyBorder="1" applyAlignment="1">
      <alignment horizontal="center" vertical="center" wrapText="1"/>
    </xf>
    <xf numFmtId="10" fontId="11" fillId="14" borderId="19" xfId="0" applyNumberFormat="1" applyFont="1" applyFill="1" applyBorder="1" applyAlignment="1">
      <alignment horizontal="center" vertical="center" wrapText="1"/>
    </xf>
    <xf numFmtId="0" fontId="10" fillId="0" borderId="17" xfId="0" applyFont="1" applyBorder="1" applyAlignment="1">
      <alignment horizontal="center" vertical="center" wrapText="1"/>
    </xf>
    <xf numFmtId="10" fontId="10" fillId="0" borderId="4" xfId="0" applyNumberFormat="1" applyFont="1" applyBorder="1" applyAlignment="1">
      <alignment horizontal="center" vertical="center" wrapText="1"/>
    </xf>
    <xf numFmtId="10" fontId="10" fillId="0" borderId="19" xfId="0" applyNumberFormat="1" applyFont="1" applyBorder="1" applyAlignment="1">
      <alignment horizontal="center" vertical="center" wrapText="1"/>
    </xf>
    <xf numFmtId="0" fontId="25" fillId="14" borderId="17" xfId="0" applyFont="1" applyFill="1" applyBorder="1" applyAlignment="1">
      <alignment horizontal="center" vertical="center" wrapText="1"/>
    </xf>
    <xf numFmtId="10" fontId="25" fillId="14" borderId="4" xfId="0" applyNumberFormat="1" applyFont="1" applyFill="1" applyBorder="1" applyAlignment="1">
      <alignment horizontal="center" vertical="center" wrapText="1"/>
    </xf>
    <xf numFmtId="10" fontId="25" fillId="14" borderId="19" xfId="0" applyNumberFormat="1" applyFont="1" applyFill="1" applyBorder="1" applyAlignment="1">
      <alignment horizontal="center" vertical="center" wrapText="1"/>
    </xf>
    <xf numFmtId="10" fontId="10" fillId="0" borderId="50" xfId="0" applyNumberFormat="1" applyFont="1" applyBorder="1" applyAlignment="1">
      <alignment horizontal="center" vertical="center" wrapText="1"/>
    </xf>
    <xf numFmtId="0" fontId="25" fillId="0" borderId="17" xfId="0" applyFont="1" applyBorder="1" applyAlignment="1">
      <alignment horizontal="center" vertical="center" wrapText="1"/>
    </xf>
    <xf numFmtId="10" fontId="25" fillId="0" borderId="4" xfId="0" applyNumberFormat="1" applyFont="1" applyBorder="1" applyAlignment="1">
      <alignment horizontal="center" vertical="center" wrapText="1"/>
    </xf>
    <xf numFmtId="10" fontId="29" fillId="0" borderId="50" xfId="0" applyNumberFormat="1" applyFont="1" applyBorder="1" applyAlignment="1">
      <alignment horizontal="center" vertical="center" wrapText="1"/>
    </xf>
    <xf numFmtId="0" fontId="18" fillId="13" borderId="3" xfId="0" applyFont="1" applyFill="1" applyBorder="1" applyAlignment="1">
      <alignment horizontal="left" vertical="center"/>
    </xf>
    <xf numFmtId="0" fontId="18" fillId="13" borderId="0" xfId="0" applyFont="1" applyFill="1"/>
    <xf numFmtId="0" fontId="18" fillId="13" borderId="48" xfId="0" applyFont="1" applyFill="1" applyBorder="1"/>
    <xf numFmtId="0" fontId="25" fillId="14" borderId="22" xfId="0" applyFont="1" applyFill="1" applyBorder="1" applyAlignment="1">
      <alignment horizontal="center" vertical="center" wrapText="1"/>
    </xf>
    <xf numFmtId="10" fontId="25" fillId="14" borderId="23" xfId="0" applyNumberFormat="1" applyFont="1" applyFill="1" applyBorder="1" applyAlignment="1">
      <alignment horizontal="center" vertical="center" wrapText="1"/>
    </xf>
    <xf numFmtId="10" fontId="29" fillId="14" borderId="25" xfId="0" applyNumberFormat="1" applyFont="1" applyFill="1" applyBorder="1" applyAlignment="1">
      <alignment horizontal="center" vertical="center" wrapText="1"/>
    </xf>
    <xf numFmtId="0" fontId="9" fillId="0" borderId="1" xfId="0" applyFont="1" applyBorder="1"/>
    <xf numFmtId="0" fontId="9" fillId="0" borderId="2" xfId="0" applyFont="1" applyBorder="1"/>
    <xf numFmtId="0" fontId="9" fillId="0" borderId="47" xfId="0" applyFont="1" applyBorder="1"/>
    <xf numFmtId="0" fontId="9" fillId="0" borderId="3" xfId="0" applyFont="1" applyBorder="1"/>
    <xf numFmtId="0" fontId="9" fillId="0" borderId="48" xfId="0" applyFont="1" applyBorder="1"/>
    <xf numFmtId="0" fontId="19" fillId="0" borderId="0" xfId="0" applyFont="1" applyAlignment="1">
      <alignment horizontal="center" vertical="center"/>
    </xf>
    <xf numFmtId="0" fontId="5" fillId="0" borderId="0" xfId="0" applyFont="1" applyAlignment="1">
      <alignment horizontal="center" vertical="center"/>
    </xf>
    <xf numFmtId="0" fontId="7" fillId="11" borderId="4"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25" fillId="11" borderId="4"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15" borderId="13" xfId="0" applyFont="1" applyFill="1" applyBorder="1" applyAlignment="1">
      <alignment horizontal="center" vertical="center" wrapText="1"/>
    </xf>
    <xf numFmtId="0" fontId="8" fillId="5" borderId="11" xfId="0" applyFont="1" applyFill="1" applyBorder="1" applyAlignment="1">
      <alignment horizontal="center" vertical="center" wrapText="1"/>
    </xf>
    <xf numFmtId="2" fontId="9" fillId="2" borderId="4" xfId="0" applyNumberFormat="1" applyFont="1" applyFill="1" applyBorder="1" applyAlignment="1" applyProtection="1">
      <alignment horizontal="center" vertical="center"/>
      <protection locked="0"/>
    </xf>
    <xf numFmtId="4" fontId="9" fillId="0" borderId="4" xfId="0" applyNumberFormat="1" applyFont="1" applyBorder="1" applyAlignment="1">
      <alignment horizontal="center" vertical="center"/>
    </xf>
    <xf numFmtId="0" fontId="7" fillId="2" borderId="19" xfId="0" applyFont="1" applyFill="1" applyBorder="1" applyAlignment="1" applyProtection="1">
      <alignment horizontal="center" vertical="center" wrapText="1"/>
      <protection locked="0"/>
    </xf>
    <xf numFmtId="0" fontId="11" fillId="0" borderId="17" xfId="0" applyFont="1" applyBorder="1" applyAlignment="1">
      <alignment horizontal="center" vertical="center"/>
    </xf>
    <xf numFmtId="0" fontId="9" fillId="2" borderId="19" xfId="0" applyFont="1" applyFill="1" applyBorder="1" applyAlignment="1" applyProtection="1">
      <alignment vertical="center" wrapText="1"/>
      <protection locked="0"/>
    </xf>
    <xf numFmtId="0" fontId="9" fillId="2" borderId="19" xfId="0" applyFont="1" applyFill="1" applyBorder="1" applyAlignment="1" applyProtection="1">
      <alignment vertical="center"/>
      <protection locked="0"/>
    </xf>
    <xf numFmtId="0" fontId="11" fillId="0" borderId="0" xfId="0" applyFont="1" applyAlignment="1">
      <alignment horizontal="center" vertical="center"/>
    </xf>
    <xf numFmtId="0" fontId="9" fillId="0" borderId="3" xfId="0" applyFont="1" applyBorder="1" applyAlignment="1">
      <alignment horizontal="center" vertical="center"/>
    </xf>
    <xf numFmtId="0" fontId="7" fillId="0" borderId="3" xfId="0" applyFont="1" applyBorder="1" applyAlignment="1">
      <alignment horizontal="center" vertical="center"/>
    </xf>
    <xf numFmtId="0" fontId="7" fillId="0" borderId="48" xfId="0" applyFont="1" applyBorder="1" applyAlignment="1">
      <alignment horizontal="center" vertical="center"/>
    </xf>
    <xf numFmtId="0" fontId="25" fillId="15" borderId="12" xfId="0" applyFont="1" applyFill="1" applyBorder="1" applyAlignment="1">
      <alignment horizontal="center" vertical="center" wrapText="1"/>
    </xf>
    <xf numFmtId="0" fontId="14" fillId="0" borderId="17" xfId="0" applyFont="1" applyBorder="1" applyAlignment="1">
      <alignment horizontal="center" vertical="center"/>
    </xf>
    <xf numFmtId="0" fontId="6" fillId="0" borderId="2" xfId="0" applyFont="1" applyBorder="1" applyAlignment="1">
      <alignment horizontal="center"/>
    </xf>
    <xf numFmtId="0" fontId="6" fillId="0" borderId="2" xfId="0" applyFont="1" applyBorder="1"/>
    <xf numFmtId="0" fontId="6" fillId="0" borderId="47" xfId="0" applyFont="1" applyBorder="1"/>
    <xf numFmtId="0" fontId="6" fillId="0" borderId="0" xfId="0" applyFont="1" applyAlignment="1">
      <alignment horizontal="center"/>
    </xf>
    <xf numFmtId="0" fontId="6" fillId="0" borderId="0" xfId="0" applyFont="1"/>
    <xf numFmtId="0" fontId="6" fillId="0" borderId="48" xfId="0" applyFont="1" applyBorder="1"/>
    <xf numFmtId="0" fontId="17" fillId="0" borderId="3" xfId="0" applyFont="1" applyBorder="1" applyAlignment="1">
      <alignment horizontal="center" vertical="center"/>
    </xf>
    <xf numFmtId="0" fontId="17" fillId="0" borderId="0" xfId="0" applyFont="1" applyAlignment="1">
      <alignment horizontal="center" vertical="center"/>
    </xf>
    <xf numFmtId="9" fontId="31" fillId="0" borderId="48" xfId="0" applyNumberFormat="1" applyFont="1" applyBorder="1" applyAlignment="1">
      <alignment horizontal="center" vertical="center"/>
    </xf>
    <xf numFmtId="0" fontId="7" fillId="11" borderId="17" xfId="0" applyFont="1" applyFill="1" applyBorder="1" applyAlignment="1">
      <alignment horizontal="center" vertical="center" wrapText="1"/>
    </xf>
    <xf numFmtId="4" fontId="7" fillId="11" borderId="4" xfId="0" applyNumberFormat="1" applyFont="1" applyFill="1" applyBorder="1" applyAlignment="1">
      <alignment horizontal="center" vertical="center" wrapText="1"/>
    </xf>
    <xf numFmtId="4" fontId="7" fillId="11" borderId="19" xfId="0" applyNumberFormat="1" applyFont="1" applyFill="1" applyBorder="1" applyAlignment="1">
      <alignment horizontal="center" vertical="center" wrapText="1"/>
    </xf>
    <xf numFmtId="0" fontId="7" fillId="0" borderId="17" xfId="1" applyNumberFormat="1" applyFont="1" applyBorder="1" applyAlignment="1" applyProtection="1">
      <alignment horizontal="center" vertical="center"/>
    </xf>
    <xf numFmtId="0" fontId="9" fillId="0" borderId="4" xfId="1" applyNumberFormat="1" applyFont="1" applyBorder="1" applyAlignment="1" applyProtection="1">
      <alignment horizontal="center" vertical="center"/>
    </xf>
    <xf numFmtId="4" fontId="9" fillId="2" borderId="4" xfId="1" applyNumberFormat="1" applyFont="1" applyFill="1" applyBorder="1" applyAlignment="1" applyProtection="1">
      <alignment horizontal="center" vertical="center"/>
      <protection locked="0"/>
    </xf>
    <xf numFmtId="4" fontId="9" fillId="0" borderId="4" xfId="1" applyNumberFormat="1" applyFont="1" applyBorder="1" applyAlignment="1" applyProtection="1">
      <alignment horizontal="center" vertical="center"/>
    </xf>
    <xf numFmtId="4" fontId="9" fillId="0" borderId="19" xfId="1" applyNumberFormat="1" applyFont="1" applyBorder="1" applyAlignment="1" applyProtection="1">
      <alignment horizontal="center" vertical="center"/>
    </xf>
    <xf numFmtId="4" fontId="9" fillId="2" borderId="4" xfId="1" applyNumberFormat="1" applyFont="1" applyFill="1" applyBorder="1" applyAlignment="1" applyProtection="1">
      <alignment horizontal="center" vertical="center" wrapText="1"/>
      <protection locked="0"/>
    </xf>
    <xf numFmtId="4" fontId="27" fillId="11" borderId="25" xfId="1" applyNumberFormat="1" applyFont="1" applyFill="1" applyBorder="1" applyAlignment="1" applyProtection="1">
      <alignment horizontal="center" vertical="center"/>
    </xf>
    <xf numFmtId="1" fontId="1" fillId="0" borderId="0" xfId="0" applyNumberFormat="1" applyFont="1" applyAlignment="1">
      <alignment horizontal="center"/>
    </xf>
    <xf numFmtId="2" fontId="1" fillId="0" borderId="0" xfId="0" applyNumberFormat="1" applyFont="1" applyAlignment="1">
      <alignment horizontal="center"/>
    </xf>
    <xf numFmtId="0" fontId="0" fillId="0" borderId="0" xfId="0" applyAlignment="1">
      <alignment horizontal="center"/>
    </xf>
    <xf numFmtId="0" fontId="16" fillId="0" borderId="53" xfId="0" applyFont="1" applyBorder="1" applyAlignment="1">
      <alignment horizontal="left" vertical="center"/>
    </xf>
    <xf numFmtId="0" fontId="16" fillId="0" borderId="31" xfId="0" applyFont="1" applyBorder="1" applyAlignment="1">
      <alignment horizontal="left"/>
    </xf>
    <xf numFmtId="1" fontId="16" fillId="0" borderId="31" xfId="0" applyNumberFormat="1" applyFont="1" applyBorder="1" applyAlignment="1">
      <alignment horizontal="center"/>
    </xf>
    <xf numFmtId="0" fontId="1" fillId="0" borderId="31" xfId="0" applyFont="1" applyBorder="1"/>
    <xf numFmtId="1" fontId="1" fillId="0" borderId="31" xfId="0" applyNumberFormat="1" applyFont="1" applyBorder="1" applyAlignment="1">
      <alignment horizontal="center"/>
    </xf>
    <xf numFmtId="2" fontId="1" fillId="0" borderId="31" xfId="0" applyNumberFormat="1" applyFont="1" applyBorder="1" applyAlignment="1">
      <alignment horizontal="center"/>
    </xf>
    <xf numFmtId="0" fontId="16" fillId="0" borderId="3" xfId="0" applyFont="1" applyBorder="1" applyAlignment="1">
      <alignment horizontal="left" vertical="center"/>
    </xf>
    <xf numFmtId="0" fontId="16" fillId="0" borderId="0" xfId="0" applyFont="1" applyAlignment="1">
      <alignment horizontal="left"/>
    </xf>
    <xf numFmtId="1" fontId="16" fillId="0" borderId="0" xfId="0" applyNumberFormat="1" applyFont="1" applyAlignment="1">
      <alignment horizontal="center"/>
    </xf>
    <xf numFmtId="0" fontId="16" fillId="0" borderId="0" xfId="0" applyFont="1" applyAlignment="1">
      <alignment horizontal="left" vertical="center"/>
    </xf>
    <xf numFmtId="1" fontId="16" fillId="0" borderId="0" xfId="0" applyNumberFormat="1" applyFont="1" applyAlignment="1">
      <alignment horizontal="center" vertical="center"/>
    </xf>
    <xf numFmtId="1" fontId="1" fillId="0" borderId="0" xfId="0" applyNumberFormat="1" applyFont="1" applyAlignment="1">
      <alignment horizontal="center" vertical="center"/>
    </xf>
    <xf numFmtId="2" fontId="1" fillId="0" borderId="0" xfId="0" applyNumberFormat="1" applyFont="1" applyAlignment="1">
      <alignment horizontal="center" vertical="center"/>
    </xf>
    <xf numFmtId="0" fontId="1" fillId="0" borderId="39" xfId="0" applyFont="1" applyBorder="1" applyAlignment="1">
      <alignment horizontal="center" vertical="center"/>
    </xf>
    <xf numFmtId="0" fontId="1" fillId="0" borderId="55" xfId="0" applyFont="1" applyBorder="1" applyAlignment="1">
      <alignment horizontal="left" vertical="center"/>
    </xf>
    <xf numFmtId="1" fontId="1" fillId="0" borderId="55" xfId="0" applyNumberFormat="1" applyFont="1" applyBorder="1" applyAlignment="1">
      <alignment horizontal="center" vertical="center"/>
    </xf>
    <xf numFmtId="2" fontId="1" fillId="0" borderId="55" xfId="0" applyNumberFormat="1" applyFont="1" applyBorder="1" applyAlignment="1">
      <alignment horizontal="center" vertical="center"/>
    </xf>
    <xf numFmtId="0" fontId="7" fillId="0" borderId="4" xfId="0" applyFont="1" applyBorder="1" applyAlignment="1">
      <alignment horizontal="center" vertical="center"/>
    </xf>
    <xf numFmtId="1" fontId="9" fillId="0" borderId="4" xfId="1" applyNumberFormat="1" applyFont="1" applyBorder="1" applyAlignment="1" applyProtection="1">
      <alignment horizontal="center" vertical="center"/>
    </xf>
    <xf numFmtId="1" fontId="9" fillId="0" borderId="18" xfId="1" applyNumberFormat="1" applyFont="1" applyBorder="1" applyAlignment="1" applyProtection="1">
      <alignment horizontal="center" vertical="center"/>
    </xf>
    <xf numFmtId="2" fontId="1" fillId="16" borderId="4" xfId="0" applyNumberFormat="1" applyFont="1" applyFill="1" applyBorder="1" applyAlignment="1" applyProtection="1">
      <alignment horizontal="center" vertical="center"/>
      <protection locked="0"/>
    </xf>
    <xf numFmtId="0" fontId="33" fillId="0" borderId="4" xfId="0" applyFont="1" applyBorder="1" applyAlignment="1">
      <alignment horizontal="center" vertical="center"/>
    </xf>
    <xf numFmtId="0" fontId="9" fillId="0" borderId="17" xfId="0" applyFont="1" applyBorder="1" applyAlignment="1">
      <alignment horizontal="center" vertical="center" wrapText="1"/>
    </xf>
    <xf numFmtId="1" fontId="3" fillId="0" borderId="11" xfId="0" applyNumberFormat="1" applyFont="1" applyBorder="1" applyAlignment="1">
      <alignment horizontal="center" vertical="center"/>
    </xf>
    <xf numFmtId="2" fontId="17" fillId="11" borderId="57" xfId="0" applyNumberFormat="1" applyFont="1" applyFill="1" applyBorder="1" applyAlignment="1">
      <alignment horizontal="center" vertical="center"/>
    </xf>
    <xf numFmtId="0" fontId="9" fillId="0" borderId="3" xfId="0" applyFont="1" applyBorder="1" applyAlignment="1">
      <alignment horizontal="center" vertical="center" wrapText="1"/>
    </xf>
    <xf numFmtId="1" fontId="9" fillId="0" borderId="0" xfId="1" applyNumberFormat="1" applyFont="1" applyBorder="1" applyAlignment="1" applyProtection="1">
      <alignment horizontal="center" vertical="center"/>
    </xf>
    <xf numFmtId="0" fontId="9" fillId="0" borderId="0" xfId="0" applyFont="1" applyAlignment="1">
      <alignment vertical="center" wrapText="1"/>
    </xf>
    <xf numFmtId="2" fontId="9" fillId="0" borderId="0" xfId="1" applyNumberFormat="1" applyFont="1" applyBorder="1" applyAlignment="1" applyProtection="1">
      <alignment horizontal="center" vertical="center"/>
    </xf>
    <xf numFmtId="0" fontId="32" fillId="5" borderId="43" xfId="0" applyFont="1" applyFill="1" applyBorder="1" applyAlignment="1">
      <alignment horizontal="center" vertical="center" wrapText="1"/>
    </xf>
    <xf numFmtId="0" fontId="7" fillId="5" borderId="43" xfId="0" applyFont="1" applyFill="1" applyBorder="1" applyAlignment="1">
      <alignment horizontal="center" vertical="center" wrapText="1"/>
    </xf>
    <xf numFmtId="0" fontId="9" fillId="0" borderId="12" xfId="0" applyFont="1" applyBorder="1" applyAlignment="1">
      <alignment horizontal="center" vertical="center"/>
    </xf>
    <xf numFmtId="0" fontId="17" fillId="0" borderId="0" xfId="0" applyFont="1" applyAlignment="1">
      <alignment horizontal="left" vertical="center"/>
    </xf>
    <xf numFmtId="1" fontId="17" fillId="0" borderId="0" xfId="0" applyNumberFormat="1" applyFont="1" applyAlignment="1">
      <alignment horizontal="center" vertical="center"/>
    </xf>
    <xf numFmtId="2" fontId="17" fillId="0" borderId="0" xfId="0" applyNumberFormat="1" applyFont="1" applyAlignment="1">
      <alignment horizontal="center" vertical="center"/>
    </xf>
    <xf numFmtId="4" fontId="9" fillId="0" borderId="0" xfId="0" applyNumberFormat="1" applyFont="1" applyAlignment="1">
      <alignment horizontal="center"/>
    </xf>
    <xf numFmtId="0" fontId="2" fillId="0" borderId="1" xfId="0" applyFont="1" applyBorder="1" applyAlignment="1">
      <alignment vertical="center"/>
    </xf>
    <xf numFmtId="0" fontId="9" fillId="0" borderId="2" xfId="0" applyFont="1" applyBorder="1" applyAlignment="1">
      <alignment vertical="center"/>
    </xf>
    <xf numFmtId="4" fontId="9" fillId="0" borderId="2" xfId="0" applyNumberFormat="1" applyFont="1" applyBorder="1" applyAlignment="1">
      <alignment horizontal="center" vertical="center"/>
    </xf>
    <xf numFmtId="4" fontId="9" fillId="0" borderId="2" xfId="0" applyNumberFormat="1" applyFont="1" applyBorder="1" applyAlignment="1">
      <alignment horizontal="center"/>
    </xf>
    <xf numFmtId="4" fontId="9" fillId="0" borderId="47" xfId="0" applyNumberFormat="1" applyFont="1" applyBorder="1" applyAlignment="1">
      <alignment horizontal="center"/>
    </xf>
    <xf numFmtId="0" fontId="2" fillId="0" borderId="3" xfId="0" applyFont="1" applyBorder="1" applyAlignment="1">
      <alignment vertical="center"/>
    </xf>
    <xf numFmtId="4" fontId="9" fillId="0" borderId="0" xfId="0" applyNumberFormat="1" applyFont="1" applyAlignment="1">
      <alignment horizontal="center" vertical="center"/>
    </xf>
    <xf numFmtId="4" fontId="9" fillId="0" borderId="48" xfId="0" applyNumberFormat="1" applyFont="1" applyBorder="1" applyAlignment="1">
      <alignment horizontal="center"/>
    </xf>
    <xf numFmtId="0" fontId="10" fillId="0" borderId="0" xfId="0" applyFont="1"/>
    <xf numFmtId="4" fontId="9" fillId="11" borderId="4" xfId="0" applyNumberFormat="1" applyFont="1" applyFill="1" applyBorder="1" applyAlignment="1">
      <alignment horizontal="center" vertical="center"/>
    </xf>
    <xf numFmtId="4" fontId="9" fillId="0" borderId="19" xfId="0" applyNumberFormat="1" applyFont="1" applyBorder="1" applyAlignment="1">
      <alignment horizontal="center" vertical="center"/>
    </xf>
    <xf numFmtId="4" fontId="9" fillId="11" borderId="43" xfId="0" applyNumberFormat="1" applyFont="1" applyFill="1" applyBorder="1" applyAlignment="1">
      <alignment horizontal="center" vertical="center"/>
    </xf>
    <xf numFmtId="4" fontId="9" fillId="0" borderId="43" xfId="0" applyNumberFormat="1" applyFont="1" applyBorder="1" applyAlignment="1">
      <alignment horizontal="center" vertical="center"/>
    </xf>
    <xf numFmtId="4" fontId="9" fillId="0" borderId="61" xfId="0" applyNumberFormat="1" applyFont="1" applyBorder="1" applyAlignment="1">
      <alignment horizontal="center" vertical="center"/>
    </xf>
    <xf numFmtId="4" fontId="7" fillId="11" borderId="4" xfId="0" applyNumberFormat="1" applyFont="1" applyFill="1" applyBorder="1" applyAlignment="1">
      <alignment horizontal="center" vertical="center"/>
    </xf>
    <xf numFmtId="4" fontId="7" fillId="11" borderId="19" xfId="0" applyNumberFormat="1" applyFont="1" applyFill="1" applyBorder="1" applyAlignment="1">
      <alignment horizontal="center" vertical="center"/>
    </xf>
    <xf numFmtId="4" fontId="7" fillId="11" borderId="7" xfId="0" applyNumberFormat="1" applyFont="1" applyFill="1" applyBorder="1" applyAlignment="1">
      <alignment horizontal="center" vertical="center"/>
    </xf>
    <xf numFmtId="4" fontId="7" fillId="11" borderId="8" xfId="0" applyNumberFormat="1" applyFont="1" applyFill="1" applyBorder="1" applyAlignment="1">
      <alignment horizontal="center" vertical="center"/>
    </xf>
    <xf numFmtId="2" fontId="9" fillId="0" borderId="4" xfId="1" applyNumberFormat="1" applyFont="1" applyBorder="1" applyAlignment="1" applyProtection="1">
      <alignment horizontal="center" vertical="center"/>
    </xf>
    <xf numFmtId="2" fontId="9" fillId="0" borderId="4" xfId="0" applyNumberFormat="1" applyFont="1" applyBorder="1" applyAlignment="1">
      <alignment horizontal="center" vertical="center"/>
    </xf>
    <xf numFmtId="10" fontId="9" fillId="0" borderId="4" xfId="3" applyNumberFormat="1" applyFont="1" applyBorder="1" applyAlignment="1" applyProtection="1">
      <alignment horizontal="center" vertical="center"/>
    </xf>
    <xf numFmtId="2" fontId="9" fillId="0" borderId="43" xfId="1" applyNumberFormat="1" applyFont="1" applyBorder="1" applyAlignment="1" applyProtection="1">
      <alignment horizontal="center" vertical="center"/>
    </xf>
    <xf numFmtId="2" fontId="9" fillId="0" borderId="43" xfId="0" applyNumberFormat="1" applyFont="1" applyBorder="1" applyAlignment="1">
      <alignment horizontal="center" vertical="center"/>
    </xf>
    <xf numFmtId="4" fontId="7" fillId="11" borderId="38" xfId="0" applyNumberFormat="1" applyFont="1" applyFill="1" applyBorder="1" applyAlignment="1">
      <alignment horizontal="center" vertical="center"/>
    </xf>
    <xf numFmtId="4" fontId="7" fillId="11" borderId="29" xfId="0" applyNumberFormat="1" applyFont="1" applyFill="1" applyBorder="1" applyAlignment="1">
      <alignment horizontal="center" vertical="center"/>
    </xf>
    <xf numFmtId="4" fontId="7" fillId="11" borderId="37" xfId="0" applyNumberFormat="1" applyFont="1" applyFill="1" applyBorder="1" applyAlignment="1">
      <alignment horizontal="center" vertical="center"/>
    </xf>
    <xf numFmtId="4" fontId="7" fillId="11" borderId="64" xfId="0" applyNumberFormat="1" applyFont="1" applyFill="1" applyBorder="1" applyAlignment="1">
      <alignment horizontal="center" vertical="center"/>
    </xf>
    <xf numFmtId="4" fontId="17" fillId="11" borderId="4" xfId="0" applyNumberFormat="1" applyFont="1" applyFill="1" applyBorder="1" applyAlignment="1">
      <alignment horizontal="center" vertical="center"/>
    </xf>
    <xf numFmtId="4" fontId="17" fillId="11" borderId="19" xfId="0" applyNumberFormat="1" applyFont="1" applyFill="1" applyBorder="1" applyAlignment="1">
      <alignment horizontal="center" vertical="center"/>
    </xf>
    <xf numFmtId="164" fontId="9" fillId="0" borderId="0" xfId="0" applyNumberFormat="1" applyFont="1"/>
    <xf numFmtId="2" fontId="17" fillId="11" borderId="23" xfId="0" applyNumberFormat="1" applyFont="1" applyFill="1" applyBorder="1" applyAlignment="1">
      <alignment horizontal="center" vertical="center"/>
    </xf>
    <xf numFmtId="165" fontId="7" fillId="12" borderId="25" xfId="2" applyFont="1" applyFill="1" applyBorder="1" applyAlignment="1" applyProtection="1">
      <alignment horizontal="center" vertical="center"/>
    </xf>
    <xf numFmtId="0" fontId="2" fillId="0" borderId="2" xfId="0" applyFont="1" applyBorder="1"/>
    <xf numFmtId="0" fontId="1" fillId="0" borderId="2" xfId="0" applyFont="1" applyBorder="1"/>
    <xf numFmtId="0" fontId="1" fillId="0" borderId="47" xfId="0" applyFont="1" applyBorder="1"/>
    <xf numFmtId="0" fontId="1" fillId="0" borderId="3" xfId="0" applyFont="1" applyBorder="1"/>
    <xf numFmtId="0" fontId="1" fillId="0" borderId="48" xfId="0" applyFont="1" applyBorder="1"/>
    <xf numFmtId="0" fontId="35" fillId="0" borderId="0" xfId="0" applyFont="1" applyAlignment="1">
      <alignment vertical="center"/>
    </xf>
    <xf numFmtId="0" fontId="6" fillId="11" borderId="62" xfId="0" applyFont="1" applyFill="1" applyBorder="1" applyAlignment="1">
      <alignment vertical="center"/>
    </xf>
    <xf numFmtId="0" fontId="36" fillId="11" borderId="63" xfId="0" applyFont="1" applyFill="1" applyBorder="1" applyAlignment="1">
      <alignment vertical="center" wrapText="1"/>
    </xf>
    <xf numFmtId="0" fontId="19" fillId="11" borderId="63" xfId="0" applyFont="1" applyFill="1" applyBorder="1" applyAlignment="1">
      <alignment vertical="center"/>
    </xf>
    <xf numFmtId="0" fontId="17" fillId="11" borderId="63" xfId="0" applyFont="1" applyFill="1" applyBorder="1" applyAlignment="1">
      <alignment vertical="center"/>
    </xf>
    <xf numFmtId="0" fontId="6" fillId="11" borderId="63" xfId="0" applyFont="1" applyFill="1" applyBorder="1" applyAlignment="1">
      <alignment vertical="center"/>
    </xf>
    <xf numFmtId="0" fontId="5" fillId="11" borderId="2" xfId="0" applyFont="1" applyFill="1" applyBorder="1" applyAlignment="1">
      <alignment horizontal="center" vertical="center" wrapText="1"/>
    </xf>
    <xf numFmtId="0" fontId="9" fillId="11" borderId="22" xfId="0" applyFont="1" applyFill="1" applyBorder="1" applyAlignment="1">
      <alignment horizontal="center" vertical="center" wrapText="1"/>
    </xf>
    <xf numFmtId="0" fontId="10" fillId="11" borderId="25" xfId="0" applyFont="1" applyFill="1" applyBorder="1" applyAlignment="1">
      <alignment horizontal="center" vertical="center" wrapText="1"/>
    </xf>
    <xf numFmtId="0" fontId="9" fillId="11" borderId="22" xfId="0" applyFont="1" applyFill="1" applyBorder="1" applyAlignment="1">
      <alignment horizontal="center" vertical="center"/>
    </xf>
    <xf numFmtId="0" fontId="9" fillId="11" borderId="23"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43" xfId="0" applyFont="1" applyFill="1" applyBorder="1" applyAlignment="1">
      <alignment horizontal="center" vertical="center" wrapText="1"/>
    </xf>
    <xf numFmtId="0" fontId="9" fillId="11" borderId="61" xfId="0" applyFont="1" applyFill="1" applyBorder="1" applyAlignment="1">
      <alignment horizontal="center" vertical="center" wrapText="1"/>
    </xf>
    <xf numFmtId="0" fontId="9" fillId="11" borderId="52" xfId="0" applyFont="1" applyFill="1" applyBorder="1" applyAlignment="1">
      <alignment horizontal="center" vertical="center" wrapText="1"/>
    </xf>
    <xf numFmtId="0" fontId="9" fillId="11" borderId="60" xfId="0" applyFont="1" applyFill="1" applyBorder="1" applyAlignment="1">
      <alignment horizontal="center" vertical="center" wrapText="1"/>
    </xf>
    <xf numFmtId="0" fontId="10" fillId="11" borderId="24" xfId="0" applyFont="1" applyFill="1" applyBorder="1" applyAlignment="1">
      <alignment horizontal="center" vertical="center" wrapText="1"/>
    </xf>
    <xf numFmtId="0" fontId="9" fillId="11" borderId="25" xfId="0" applyFont="1" applyFill="1" applyBorder="1" applyAlignment="1">
      <alignment horizontal="center" vertical="center" wrapText="1"/>
    </xf>
    <xf numFmtId="0" fontId="1" fillId="0" borderId="12" xfId="0" applyFont="1" applyBorder="1" applyAlignment="1">
      <alignment vertical="center" wrapText="1"/>
    </xf>
    <xf numFmtId="1" fontId="1" fillId="0" borderId="12" xfId="0" applyNumberFormat="1" applyFont="1" applyBorder="1" applyAlignment="1">
      <alignment horizontal="center" vertical="center"/>
    </xf>
    <xf numFmtId="1" fontId="1" fillId="0" borderId="11"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13" xfId="0" applyNumberFormat="1" applyFont="1" applyBorder="1" applyAlignment="1">
      <alignment horizontal="center" vertical="center"/>
    </xf>
    <xf numFmtId="4" fontId="1" fillId="0" borderId="32" xfId="0" applyNumberFormat="1" applyFont="1" applyBorder="1" applyAlignment="1">
      <alignment horizontal="center" vertical="center"/>
    </xf>
    <xf numFmtId="164" fontId="5" fillId="0" borderId="33" xfId="1" applyFont="1" applyBorder="1" applyAlignment="1" applyProtection="1">
      <alignment horizontal="center" vertical="center"/>
    </xf>
    <xf numFmtId="164" fontId="5" fillId="0" borderId="34" xfId="1" applyFont="1" applyBorder="1" applyAlignment="1" applyProtection="1">
      <alignment horizontal="center" vertical="center"/>
    </xf>
    <xf numFmtId="4" fontId="1" fillId="0" borderId="46" xfId="0" applyNumberFormat="1" applyFont="1" applyBorder="1" applyAlignment="1">
      <alignment horizontal="center" vertical="center"/>
    </xf>
    <xf numFmtId="4" fontId="1" fillId="0" borderId="16" xfId="0" applyNumberFormat="1" applyFont="1" applyBorder="1" applyAlignment="1">
      <alignment horizontal="center" vertical="center"/>
    </xf>
    <xf numFmtId="164" fontId="5" fillId="0" borderId="12" xfId="1" applyFont="1" applyBorder="1" applyAlignment="1" applyProtection="1">
      <alignment horizontal="center" vertical="center"/>
    </xf>
    <xf numFmtId="164" fontId="5" fillId="0" borderId="13" xfId="1" applyFont="1" applyBorder="1" applyAlignment="1" applyProtection="1">
      <alignment horizontal="center" vertical="center"/>
    </xf>
    <xf numFmtId="164" fontId="1" fillId="0" borderId="11" xfId="1" applyFont="1" applyBorder="1" applyAlignment="1" applyProtection="1">
      <alignment horizontal="center" vertical="center"/>
    </xf>
    <xf numFmtId="164" fontId="1" fillId="0" borderId="12" xfId="1" applyFont="1" applyBorder="1" applyAlignment="1" applyProtection="1">
      <alignment horizontal="center" vertical="center"/>
    </xf>
    <xf numFmtId="164" fontId="5" fillId="0" borderId="69" xfId="1" applyFont="1" applyBorder="1" applyAlignment="1" applyProtection="1">
      <alignment horizontal="center" vertical="center"/>
    </xf>
    <xf numFmtId="164" fontId="5" fillId="11" borderId="11" xfId="1" applyFont="1" applyFill="1" applyBorder="1" applyAlignment="1" applyProtection="1">
      <alignment horizontal="center" vertical="center"/>
    </xf>
    <xf numFmtId="164" fontId="5" fillId="11" borderId="12" xfId="1" applyFont="1" applyFill="1" applyBorder="1" applyAlignment="1" applyProtection="1">
      <alignment horizontal="center" vertical="center"/>
    </xf>
    <xf numFmtId="164" fontId="5" fillId="11" borderId="14" xfId="1" applyFont="1" applyFill="1" applyBorder="1" applyAlignment="1" applyProtection="1">
      <alignment horizontal="center" vertical="center"/>
    </xf>
    <xf numFmtId="165" fontId="1" fillId="0" borderId="70" xfId="2" applyFont="1" applyBorder="1" applyAlignment="1" applyProtection="1">
      <alignment horizontal="right" vertical="center"/>
    </xf>
    <xf numFmtId="4" fontId="1" fillId="0" borderId="17" xfId="0" applyNumberFormat="1" applyFont="1" applyBorder="1" applyAlignment="1">
      <alignment horizontal="center" vertical="center"/>
    </xf>
    <xf numFmtId="164" fontId="5" fillId="0" borderId="4" xfId="1" applyFont="1" applyBorder="1" applyAlignment="1" applyProtection="1">
      <alignment horizontal="center" vertical="center"/>
    </xf>
    <xf numFmtId="164" fontId="5" fillId="0" borderId="19" xfId="1" applyFont="1" applyBorder="1" applyAlignment="1" applyProtection="1">
      <alignment horizontal="center" vertical="center"/>
    </xf>
    <xf numFmtId="4" fontId="1" fillId="0" borderId="21" xfId="0" applyNumberFormat="1" applyFont="1" applyBorder="1" applyAlignment="1">
      <alignment horizontal="center" vertical="center"/>
    </xf>
    <xf numFmtId="164" fontId="5" fillId="0" borderId="18" xfId="1" applyFont="1" applyBorder="1" applyAlignment="1" applyProtection="1">
      <alignment horizontal="center" vertical="center"/>
    </xf>
    <xf numFmtId="164" fontId="1" fillId="0" borderId="17" xfId="1" applyFont="1" applyBorder="1" applyAlignment="1" applyProtection="1">
      <alignment horizontal="center" vertical="center"/>
    </xf>
    <xf numFmtId="164" fontId="1" fillId="0" borderId="4" xfId="1" applyFont="1" applyBorder="1" applyAlignment="1" applyProtection="1">
      <alignment horizontal="center" vertical="center"/>
    </xf>
    <xf numFmtId="164" fontId="5" fillId="0" borderId="39" xfId="1" applyFont="1" applyBorder="1" applyAlignment="1" applyProtection="1">
      <alignment horizontal="center" vertical="center"/>
    </xf>
    <xf numFmtId="164" fontId="1" fillId="0" borderId="19" xfId="1" applyFont="1" applyBorder="1" applyAlignment="1" applyProtection="1">
      <alignment horizontal="center" vertical="center"/>
    </xf>
    <xf numFmtId="164" fontId="5" fillId="11" borderId="17" xfId="1" applyFont="1" applyFill="1" applyBorder="1" applyAlignment="1" applyProtection="1">
      <alignment horizontal="center" vertical="center"/>
    </xf>
    <xf numFmtId="164" fontId="5" fillId="11" borderId="4" xfId="1" applyFont="1" applyFill="1" applyBorder="1" applyAlignment="1" applyProtection="1">
      <alignment horizontal="center" vertical="center"/>
    </xf>
    <xf numFmtId="164" fontId="5" fillId="11" borderId="19" xfId="1" applyFont="1" applyFill="1" applyBorder="1" applyAlignment="1" applyProtection="1">
      <alignment horizontal="center" vertical="center"/>
    </xf>
    <xf numFmtId="0" fontId="1" fillId="0" borderId="37" xfId="0" applyFont="1" applyBorder="1" applyAlignment="1">
      <alignment vertical="center" wrapText="1"/>
    </xf>
    <xf numFmtId="1" fontId="1" fillId="0" borderId="37" xfId="0" applyNumberFormat="1" applyFont="1" applyBorder="1" applyAlignment="1">
      <alignment horizontal="center" vertical="center"/>
    </xf>
    <xf numFmtId="1" fontId="1" fillId="0" borderId="68" xfId="0" applyNumberFormat="1" applyFont="1" applyBorder="1" applyAlignment="1">
      <alignment horizontal="center" vertical="center"/>
    </xf>
    <xf numFmtId="4" fontId="1" fillId="0" borderId="37" xfId="0" applyNumberFormat="1" applyFont="1" applyBorder="1" applyAlignment="1">
      <alignment horizontal="center" vertical="center"/>
    </xf>
    <xf numFmtId="4" fontId="1" fillId="0" borderId="44" xfId="0" applyNumberFormat="1" applyFont="1" applyBorder="1" applyAlignment="1">
      <alignment horizontal="center" vertical="center"/>
    </xf>
    <xf numFmtId="4" fontId="1" fillId="0" borderId="42" xfId="0" applyNumberFormat="1" applyFont="1" applyBorder="1" applyAlignment="1">
      <alignment horizontal="center" vertical="center"/>
    </xf>
    <xf numFmtId="164" fontId="5" fillId="0" borderId="43" xfId="1" applyFont="1" applyBorder="1" applyAlignment="1" applyProtection="1">
      <alignment horizontal="center" vertical="center"/>
    </xf>
    <xf numFmtId="164" fontId="5" fillId="0" borderId="61" xfId="1" applyFont="1" applyBorder="1" applyAlignment="1" applyProtection="1">
      <alignment horizontal="center" vertical="center"/>
    </xf>
    <xf numFmtId="4" fontId="1" fillId="0" borderId="52" xfId="0" applyNumberFormat="1" applyFont="1" applyBorder="1" applyAlignment="1">
      <alignment horizontal="center" vertical="center"/>
    </xf>
    <xf numFmtId="164" fontId="5" fillId="0" borderId="60" xfId="1" applyFont="1" applyBorder="1" applyAlignment="1" applyProtection="1">
      <alignment horizontal="center" vertical="center"/>
    </xf>
    <xf numFmtId="164" fontId="1" fillId="0" borderId="42" xfId="1" applyFont="1" applyBorder="1" applyAlignment="1" applyProtection="1">
      <alignment horizontal="center" vertical="center"/>
    </xf>
    <xf numFmtId="164" fontId="1" fillId="0" borderId="43" xfId="1" applyFont="1" applyBorder="1" applyAlignment="1" applyProtection="1">
      <alignment horizontal="center" vertical="center"/>
    </xf>
    <xf numFmtId="164" fontId="5" fillId="0" borderId="53" xfId="1" applyFont="1" applyBorder="1" applyAlignment="1" applyProtection="1">
      <alignment horizontal="center" vertical="center"/>
    </xf>
    <xf numFmtId="164" fontId="5" fillId="11" borderId="42" xfId="1" applyFont="1" applyFill="1" applyBorder="1" applyAlignment="1" applyProtection="1">
      <alignment horizontal="center" vertical="center"/>
    </xf>
    <xf numFmtId="164" fontId="5" fillId="11" borderId="43" xfId="1" applyFont="1" applyFill="1" applyBorder="1" applyAlignment="1" applyProtection="1">
      <alignment horizontal="center" vertical="center"/>
    </xf>
    <xf numFmtId="164" fontId="5" fillId="11" borderId="61" xfId="1" applyFont="1" applyFill="1" applyBorder="1" applyAlignment="1" applyProtection="1">
      <alignment horizontal="center" vertical="center"/>
    </xf>
    <xf numFmtId="165" fontId="1" fillId="0" borderId="48" xfId="2" applyFont="1" applyBorder="1" applyAlignment="1" applyProtection="1">
      <alignment horizontal="right" vertical="center"/>
    </xf>
    <xf numFmtId="1" fontId="17" fillId="11" borderId="5" xfId="0" applyNumberFormat="1" applyFont="1" applyFill="1" applyBorder="1" applyAlignment="1">
      <alignment horizontal="center" vertical="center"/>
    </xf>
    <xf numFmtId="4" fontId="17" fillId="11" borderId="7" xfId="0" applyNumberFormat="1" applyFont="1" applyFill="1" applyBorder="1" applyAlignment="1">
      <alignment horizontal="center" vertical="center"/>
    </xf>
    <xf numFmtId="4" fontId="17" fillId="11" borderId="6" xfId="0" applyNumberFormat="1" applyFont="1" applyFill="1" applyBorder="1" applyAlignment="1">
      <alignment horizontal="center" vertical="center"/>
    </xf>
    <xf numFmtId="4" fontId="17" fillId="11" borderId="5" xfId="0" applyNumberFormat="1" applyFont="1" applyFill="1" applyBorder="1" applyAlignment="1">
      <alignment horizontal="center" vertical="center"/>
    </xf>
    <xf numFmtId="4" fontId="17" fillId="11" borderId="8" xfId="0" applyNumberFormat="1" applyFont="1" applyFill="1" applyBorder="1" applyAlignment="1">
      <alignment horizontal="center" vertical="center"/>
    </xf>
    <xf numFmtId="164" fontId="17" fillId="11" borderId="10" xfId="1" applyFont="1" applyFill="1" applyBorder="1" applyAlignment="1" applyProtection="1">
      <alignment horizontal="center" vertical="center"/>
    </xf>
    <xf numFmtId="4" fontId="17" fillId="11" borderId="10" xfId="0" applyNumberFormat="1" applyFont="1" applyFill="1" applyBorder="1" applyAlignment="1">
      <alignment horizontal="center" vertical="center"/>
    </xf>
    <xf numFmtId="164" fontId="17" fillId="11" borderId="62" xfId="1" applyFont="1" applyFill="1" applyBorder="1" applyAlignment="1" applyProtection="1">
      <alignment horizontal="center" vertical="center"/>
    </xf>
    <xf numFmtId="164" fontId="17" fillId="11" borderId="5" xfId="1" applyFont="1" applyFill="1" applyBorder="1" applyAlignment="1" applyProtection="1">
      <alignment horizontal="center" vertical="center"/>
    </xf>
    <xf numFmtId="165" fontId="17" fillId="18" borderId="65" xfId="2" applyFont="1" applyFill="1" applyBorder="1" applyAlignment="1" applyProtection="1">
      <alignment horizontal="center" vertical="center"/>
    </xf>
    <xf numFmtId="0" fontId="7" fillId="0" borderId="3" xfId="0" applyFont="1" applyBorder="1" applyAlignment="1">
      <alignment vertical="center"/>
    </xf>
    <xf numFmtId="165" fontId="6" fillId="11" borderId="51" xfId="2" applyFont="1" applyFill="1" applyBorder="1" applyAlignment="1" applyProtection="1">
      <alignment vertical="center"/>
    </xf>
    <xf numFmtId="165" fontId="17" fillId="11" borderId="9" xfId="2" applyFont="1" applyFill="1" applyBorder="1" applyAlignment="1" applyProtection="1">
      <alignment vertical="center"/>
    </xf>
    <xf numFmtId="0" fontId="9" fillId="0" borderId="0" xfId="0" applyFont="1" applyAlignment="1">
      <alignment vertical="top"/>
    </xf>
    <xf numFmtId="0" fontId="10" fillId="0" borderId="48" xfId="0" applyFont="1" applyBorder="1"/>
    <xf numFmtId="0" fontId="37" fillId="0" borderId="0" xfId="0" applyFont="1" applyAlignment="1">
      <alignment vertical="center" wrapText="1"/>
    </xf>
    <xf numFmtId="0" fontId="25" fillId="0" borderId="0" xfId="0" applyFont="1" applyAlignment="1">
      <alignment vertical="center"/>
    </xf>
    <xf numFmtId="4" fontId="9" fillId="8" borderId="12" xfId="4" applyNumberFormat="1" applyFont="1" applyFill="1" applyBorder="1" applyAlignment="1" applyProtection="1">
      <alignment vertical="center"/>
    </xf>
    <xf numFmtId="4" fontId="9" fillId="8" borderId="14" xfId="4" applyNumberFormat="1" applyFont="1" applyFill="1" applyBorder="1" applyAlignment="1" applyProtection="1">
      <alignment vertical="center"/>
    </xf>
    <xf numFmtId="4" fontId="9" fillId="8" borderId="4" xfId="4" applyNumberFormat="1" applyFont="1" applyFill="1" applyBorder="1" applyAlignment="1" applyProtection="1">
      <alignment vertical="center"/>
    </xf>
    <xf numFmtId="4" fontId="9" fillId="8" borderId="19" xfId="4" applyNumberFormat="1" applyFont="1" applyFill="1" applyBorder="1" applyAlignment="1" applyProtection="1">
      <alignment vertical="center"/>
    </xf>
    <xf numFmtId="4" fontId="7" fillId="8" borderId="4" xfId="4" applyNumberFormat="1" applyFont="1" applyFill="1" applyBorder="1" applyAlignment="1" applyProtection="1">
      <alignment horizontal="right" vertical="center"/>
    </xf>
    <xf numFmtId="4" fontId="7" fillId="8" borderId="19" xfId="4" applyNumberFormat="1" applyFont="1" applyFill="1" applyBorder="1" applyAlignment="1" applyProtection="1">
      <alignment horizontal="right" vertical="center"/>
    </xf>
    <xf numFmtId="0" fontId="25" fillId="0" borderId="18" xfId="0" applyFont="1" applyBorder="1" applyAlignment="1">
      <alignment horizontal="right" vertical="center"/>
    </xf>
    <xf numFmtId="0" fontId="28" fillId="15" borderId="4" xfId="0" applyFont="1" applyFill="1" applyBorder="1" applyAlignment="1">
      <alignment horizontal="center" vertical="center"/>
    </xf>
    <xf numFmtId="0" fontId="5" fillId="15" borderId="4" xfId="0" applyFont="1" applyFill="1" applyBorder="1" applyAlignment="1">
      <alignment horizontal="center" vertical="center"/>
    </xf>
    <xf numFmtId="0" fontId="16" fillId="0" borderId="4" xfId="0" applyFont="1" applyBorder="1" applyAlignment="1">
      <alignment horizontal="center" vertical="center"/>
    </xf>
    <xf numFmtId="10" fontId="28" fillId="0" borderId="4" xfId="0" applyNumberFormat="1" applyFont="1" applyBorder="1" applyAlignment="1">
      <alignment horizontal="center" vertical="center"/>
    </xf>
    <xf numFmtId="0" fontId="28" fillId="0" borderId="4" xfId="0" applyFont="1" applyBorder="1" applyAlignment="1">
      <alignment horizontal="center" vertical="center"/>
    </xf>
    <xf numFmtId="4" fontId="1" fillId="0" borderId="4" xfId="0" applyNumberFormat="1" applyFont="1" applyBorder="1" applyAlignment="1">
      <alignment horizontal="center"/>
    </xf>
    <xf numFmtId="0" fontId="16" fillId="0" borderId="12" xfId="0" applyFont="1" applyBorder="1" applyAlignment="1">
      <alignment horizontal="center" vertical="center"/>
    </xf>
    <xf numFmtId="10" fontId="28" fillId="0" borderId="12" xfId="0" applyNumberFormat="1" applyFont="1" applyBorder="1" applyAlignment="1">
      <alignment horizontal="center" vertical="center"/>
    </xf>
    <xf numFmtId="0" fontId="28" fillId="0" borderId="12" xfId="0" applyFont="1" applyBorder="1" applyAlignment="1">
      <alignment horizontal="center" vertical="center"/>
    </xf>
    <xf numFmtId="10" fontId="40" fillId="8" borderId="4" xfId="0" applyNumberFormat="1" applyFont="1" applyFill="1" applyBorder="1" applyAlignment="1">
      <alignment horizontal="center" vertical="center"/>
    </xf>
    <xf numFmtId="167" fontId="1" fillId="0" borderId="4" xfId="0" applyNumberFormat="1" applyFont="1" applyBorder="1" applyAlignment="1">
      <alignment horizontal="center" vertical="center"/>
    </xf>
    <xf numFmtId="10" fontId="1" fillId="20" borderId="4" xfId="3" applyNumberFormat="1" applyFont="1" applyFill="1" applyBorder="1" applyAlignment="1" applyProtection="1">
      <alignment horizontal="center" vertical="center"/>
      <protection locked="0"/>
    </xf>
    <xf numFmtId="4" fontId="1" fillId="20" borderId="4" xfId="1" applyNumberFormat="1" applyFont="1" applyFill="1" applyBorder="1" applyAlignment="1" applyProtection="1">
      <alignment horizontal="center" vertical="center"/>
      <protection locked="0"/>
    </xf>
    <xf numFmtId="2" fontId="1" fillId="21" borderId="4" xfId="3" applyNumberFormat="1" applyFont="1" applyFill="1" applyBorder="1" applyAlignment="1" applyProtection="1">
      <alignment horizontal="center" vertical="center"/>
    </xf>
    <xf numFmtId="0" fontId="26" fillId="0" borderId="4" xfId="0" applyFont="1" applyBorder="1" applyAlignment="1">
      <alignment wrapText="1"/>
    </xf>
    <xf numFmtId="164" fontId="26" fillId="0" borderId="4" xfId="1" applyFont="1" applyBorder="1" applyAlignment="1">
      <alignment wrapText="1"/>
    </xf>
    <xf numFmtId="0" fontId="26" fillId="0" borderId="4" xfId="0" applyFont="1" applyBorder="1" applyAlignment="1">
      <alignment vertical="center" wrapText="1"/>
    </xf>
    <xf numFmtId="4" fontId="9" fillId="0" borderId="19" xfId="0" applyNumberFormat="1" applyFont="1" applyBorder="1" applyAlignment="1">
      <alignment vertical="center"/>
    </xf>
    <xf numFmtId="2" fontId="9" fillId="0" borderId="4" xfId="0" applyNumberFormat="1" applyFont="1" applyBorder="1" applyAlignment="1">
      <alignment horizontal="center" vertical="center" wrapText="1"/>
    </xf>
    <xf numFmtId="169" fontId="7" fillId="0" borderId="25" xfId="0" applyNumberFormat="1" applyFont="1" applyBorder="1" applyAlignment="1">
      <alignment vertical="center"/>
    </xf>
    <xf numFmtId="0" fontId="44" fillId="22" borderId="4" xfId="0" applyFont="1" applyFill="1" applyBorder="1" applyAlignment="1">
      <alignment horizontal="center"/>
    </xf>
    <xf numFmtId="2" fontId="44" fillId="22" borderId="4" xfId="0" applyNumberFormat="1" applyFont="1" applyFill="1" applyBorder="1" applyAlignment="1">
      <alignment horizontal="center"/>
    </xf>
    <xf numFmtId="0" fontId="44" fillId="22" borderId="4" xfId="0" applyFont="1" applyFill="1" applyBorder="1" applyAlignment="1">
      <alignment horizontal="center" vertical="center"/>
    </xf>
    <xf numFmtId="2" fontId="44" fillId="22" borderId="4" xfId="0" applyNumberFormat="1" applyFont="1" applyFill="1" applyBorder="1" applyAlignment="1">
      <alignment horizontal="center" vertical="center"/>
    </xf>
    <xf numFmtId="0" fontId="9" fillId="11" borderId="57" xfId="0" applyFont="1" applyFill="1" applyBorder="1" applyAlignment="1">
      <alignment vertical="center" wrapText="1"/>
    </xf>
    <xf numFmtId="0" fontId="10" fillId="0" borderId="4" xfId="0" applyFont="1" applyBorder="1" applyAlignment="1">
      <alignment horizontal="center" vertical="center" wrapText="1"/>
    </xf>
    <xf numFmtId="0" fontId="10" fillId="0" borderId="60" xfId="0" applyFont="1" applyBorder="1" applyAlignment="1">
      <alignment horizontal="center" vertical="center"/>
    </xf>
    <xf numFmtId="10" fontId="9" fillId="0" borderId="4" xfId="0" applyNumberFormat="1" applyFont="1" applyBorder="1" applyAlignment="1">
      <alignment horizontal="center" vertical="center"/>
    </xf>
    <xf numFmtId="0" fontId="9" fillId="0" borderId="43" xfId="0" applyFont="1" applyBorder="1" applyAlignment="1">
      <alignment vertical="center" wrapText="1"/>
    </xf>
    <xf numFmtId="10" fontId="9" fillId="0" borderId="43" xfId="0" applyNumberFormat="1" applyFont="1" applyBorder="1" applyAlignment="1">
      <alignment horizontal="center" vertical="center" wrapText="1"/>
    </xf>
    <xf numFmtId="10" fontId="9" fillId="0" borderId="12" xfId="0" applyNumberFormat="1" applyFont="1" applyBorder="1" applyAlignment="1">
      <alignment horizontal="center" vertical="center"/>
    </xf>
    <xf numFmtId="0" fontId="9" fillId="0" borderId="17" xfId="0" applyFont="1" applyBorder="1" applyAlignment="1">
      <alignment horizontal="left" vertical="center"/>
    </xf>
    <xf numFmtId="0" fontId="9" fillId="0" borderId="4" xfId="0" applyFont="1" applyBorder="1" applyAlignment="1">
      <alignment horizontal="left" vertical="center"/>
    </xf>
    <xf numFmtId="0" fontId="9" fillId="0" borderId="39" xfId="0" applyFont="1" applyBorder="1" applyAlignment="1">
      <alignment vertical="center"/>
    </xf>
    <xf numFmtId="0" fontId="9" fillId="0" borderId="55" xfId="0" applyFont="1" applyBorder="1" applyAlignment="1">
      <alignment vertical="center"/>
    </xf>
    <xf numFmtId="4" fontId="9" fillId="0" borderId="55" xfId="0" applyNumberFormat="1" applyFont="1" applyBorder="1" applyAlignment="1">
      <alignment vertical="center"/>
    </xf>
    <xf numFmtId="0" fontId="9" fillId="0" borderId="53" xfId="0" applyFont="1" applyBorder="1" applyAlignment="1">
      <alignment vertical="center"/>
    </xf>
    <xf numFmtId="0" fontId="9" fillId="0" borderId="31" xfId="0" applyFont="1" applyBorder="1" applyAlignment="1">
      <alignment vertical="center"/>
    </xf>
    <xf numFmtId="10" fontId="9" fillId="0" borderId="43" xfId="0" applyNumberFormat="1" applyFont="1" applyBorder="1" applyAlignment="1">
      <alignment horizontal="center" vertical="center"/>
    </xf>
    <xf numFmtId="4" fontId="9" fillId="0" borderId="31" xfId="0" applyNumberFormat="1" applyFont="1" applyBorder="1" applyAlignment="1">
      <alignment vertical="center"/>
    </xf>
    <xf numFmtId="0" fontId="7" fillId="11" borderId="62" xfId="0" applyFont="1" applyFill="1" applyBorder="1" applyAlignment="1">
      <alignment vertical="center"/>
    </xf>
    <xf numFmtId="0" fontId="7" fillId="11" borderId="63" xfId="0" applyFont="1" applyFill="1" applyBorder="1" applyAlignment="1">
      <alignment vertical="center"/>
    </xf>
    <xf numFmtId="10" fontId="7" fillId="11" borderId="7" xfId="0" applyNumberFormat="1" applyFont="1" applyFill="1" applyBorder="1" applyAlignment="1">
      <alignment horizontal="center" vertical="center"/>
    </xf>
    <xf numFmtId="4" fontId="7" fillId="11" borderId="7" xfId="0" applyNumberFormat="1" applyFont="1" applyFill="1" applyBorder="1" applyAlignment="1">
      <alignment vertical="center"/>
    </xf>
    <xf numFmtId="10" fontId="7" fillId="11" borderId="43" xfId="0" applyNumberFormat="1" applyFont="1" applyFill="1" applyBorder="1" applyAlignment="1">
      <alignment horizontal="center" vertical="center"/>
    </xf>
    <xf numFmtId="4" fontId="7" fillId="11" borderId="43" xfId="0" applyNumberFormat="1" applyFont="1" applyFill="1" applyBorder="1" applyAlignment="1">
      <alignment horizontal="center" vertical="center"/>
    </xf>
    <xf numFmtId="164" fontId="9" fillId="0" borderId="4" xfId="0" applyNumberFormat="1" applyFont="1" applyBorder="1" applyAlignment="1">
      <alignment horizontal="center" vertical="center"/>
    </xf>
    <xf numFmtId="49" fontId="38" fillId="8" borderId="10" xfId="0" applyNumberFormat="1" applyFont="1" applyFill="1" applyBorder="1" applyAlignment="1">
      <alignment horizontal="center" vertical="center" wrapText="1"/>
    </xf>
    <xf numFmtId="49" fontId="25" fillId="0" borderId="7" xfId="0" applyNumberFormat="1" applyFont="1" applyBorder="1" applyAlignment="1">
      <alignment horizontal="center" vertical="center" wrapText="1"/>
    </xf>
    <xf numFmtId="49" fontId="25" fillId="0" borderId="8" xfId="0" applyNumberFormat="1" applyFont="1" applyBorder="1" applyAlignment="1">
      <alignment horizontal="center" vertical="center" wrapText="1"/>
    </xf>
    <xf numFmtId="0" fontId="27" fillId="8" borderId="3" xfId="0" applyFont="1" applyFill="1" applyBorder="1" applyAlignment="1">
      <alignment horizontal="center" vertical="center"/>
    </xf>
    <xf numFmtId="0" fontId="39" fillId="19" borderId="5" xfId="0" applyFont="1" applyFill="1" applyBorder="1" applyAlignment="1">
      <alignment horizontal="center" vertical="center"/>
    </xf>
    <xf numFmtId="4" fontId="39" fillId="19" borderId="7" xfId="0" applyNumberFormat="1" applyFont="1" applyFill="1" applyBorder="1" applyAlignment="1">
      <alignment vertical="center"/>
    </xf>
    <xf numFmtId="4" fontId="39" fillId="19" borderId="8" xfId="0" applyNumberFormat="1" applyFont="1" applyFill="1" applyBorder="1" applyAlignment="1">
      <alignment vertical="center"/>
    </xf>
    <xf numFmtId="0" fontId="9" fillId="0" borderId="11" xfId="0" applyFont="1" applyBorder="1" applyAlignment="1">
      <alignment horizontal="center" vertical="center"/>
    </xf>
    <xf numFmtId="0" fontId="9" fillId="0" borderId="17" xfId="0" applyFont="1" applyBorder="1" applyAlignment="1">
      <alignment horizontal="center" vertical="center"/>
    </xf>
    <xf numFmtId="10" fontId="26" fillId="0" borderId="4" xfId="0" applyNumberFormat="1" applyFont="1" applyBorder="1" applyAlignment="1">
      <alignment horizontal="center" vertical="center"/>
    </xf>
    <xf numFmtId="10" fontId="27" fillId="0" borderId="4" xfId="0" applyNumberFormat="1" applyFont="1" applyBorder="1" applyAlignment="1">
      <alignment horizontal="center" vertical="center"/>
    </xf>
    <xf numFmtId="0" fontId="27" fillId="11" borderId="17" xfId="0" applyFont="1" applyFill="1" applyBorder="1" applyAlignment="1">
      <alignment horizontal="center" vertical="center"/>
    </xf>
    <xf numFmtId="0" fontId="27" fillId="11" borderId="4" xfId="0" applyFont="1" applyFill="1" applyBorder="1" applyAlignment="1">
      <alignment vertical="center"/>
    </xf>
    <xf numFmtId="0" fontId="9" fillId="0" borderId="4" xfId="0" applyFont="1" applyBorder="1" applyAlignment="1">
      <alignment vertical="center"/>
    </xf>
    <xf numFmtId="4" fontId="9" fillId="0" borderId="4" xfId="0" applyNumberFormat="1" applyFont="1" applyBorder="1" applyAlignment="1">
      <alignment vertical="center"/>
    </xf>
    <xf numFmtId="4" fontId="27" fillId="0" borderId="4" xfId="0" applyNumberFormat="1" applyFont="1" applyBorder="1" applyAlignment="1">
      <alignment vertical="center"/>
    </xf>
    <xf numFmtId="4" fontId="27" fillId="0" borderId="19" xfId="0" applyNumberFormat="1" applyFont="1" applyBorder="1" applyAlignment="1">
      <alignment vertical="center"/>
    </xf>
    <xf numFmtId="10" fontId="27" fillId="11" borderId="4" xfId="0" applyNumberFormat="1" applyFont="1" applyFill="1" applyBorder="1" applyAlignment="1">
      <alignment horizontal="center" vertical="center"/>
    </xf>
    <xf numFmtId="10" fontId="9" fillId="0" borderId="4" xfId="0" applyNumberFormat="1" applyFont="1" applyBorder="1" applyAlignment="1">
      <alignment vertical="center" wrapText="1"/>
    </xf>
    <xf numFmtId="4" fontId="9" fillId="8" borderId="4" xfId="0" applyNumberFormat="1" applyFont="1" applyFill="1" applyBorder="1" applyAlignment="1">
      <alignment horizontal="right" vertical="center"/>
    </xf>
    <xf numFmtId="4" fontId="9" fillId="8" borderId="19" xfId="0" applyNumberFormat="1" applyFont="1" applyFill="1" applyBorder="1" applyAlignment="1">
      <alignment horizontal="right" vertical="center"/>
    </xf>
    <xf numFmtId="0" fontId="27" fillId="0" borderId="17" xfId="0" applyFont="1" applyBorder="1" applyAlignment="1">
      <alignment horizontal="center" vertical="center"/>
    </xf>
    <xf numFmtId="10" fontId="27" fillId="0" borderId="4" xfId="0" applyNumberFormat="1" applyFont="1" applyBorder="1" applyAlignment="1">
      <alignment vertical="center" wrapText="1"/>
    </xf>
    <xf numFmtId="4" fontId="27" fillId="8" borderId="4" xfId="0" applyNumberFormat="1" applyFont="1" applyFill="1" applyBorder="1" applyAlignment="1">
      <alignment horizontal="right" vertical="center"/>
    </xf>
    <xf numFmtId="4" fontId="27" fillId="8" borderId="19" xfId="0" applyNumberFormat="1" applyFont="1" applyFill="1" applyBorder="1" applyAlignment="1">
      <alignment horizontal="right" vertical="center"/>
    </xf>
    <xf numFmtId="0" fontId="9" fillId="8" borderId="17" xfId="0" applyFont="1" applyFill="1" applyBorder="1" applyAlignment="1">
      <alignment horizontal="center" vertical="center"/>
    </xf>
    <xf numFmtId="0" fontId="27" fillId="0" borderId="42" xfId="0" applyFont="1" applyBorder="1" applyAlignment="1">
      <alignment vertical="center"/>
    </xf>
    <xf numFmtId="4" fontId="27" fillId="0" borderId="43" xfId="0" applyNumberFormat="1" applyFont="1" applyBorder="1" applyAlignment="1">
      <alignment horizontal="right" vertical="center"/>
    </xf>
    <xf numFmtId="4" fontId="27" fillId="0" borderId="61" xfId="0" applyNumberFormat="1" applyFont="1" applyBorder="1" applyAlignment="1">
      <alignment horizontal="right" vertical="center"/>
    </xf>
    <xf numFmtId="0" fontId="27" fillId="11" borderId="11" xfId="0" applyFont="1" applyFill="1" applyBorder="1" applyAlignment="1">
      <alignment vertical="center"/>
    </xf>
    <xf numFmtId="0" fontId="27" fillId="11" borderId="12" xfId="0" applyFont="1" applyFill="1" applyBorder="1" applyAlignment="1">
      <alignment vertical="center"/>
    </xf>
    <xf numFmtId="4" fontId="26" fillId="8" borderId="4" xfId="0" applyNumberFormat="1" applyFont="1" applyFill="1" applyBorder="1" applyAlignment="1">
      <alignment vertical="center"/>
    </xf>
    <xf numFmtId="4" fontId="26" fillId="8" borderId="19" xfId="0" applyNumberFormat="1" applyFont="1" applyFill="1" applyBorder="1" applyAlignment="1">
      <alignment vertical="center"/>
    </xf>
    <xf numFmtId="0" fontId="27" fillId="0" borderId="4" xfId="0" applyFont="1" applyBorder="1" applyAlignment="1">
      <alignment vertical="center"/>
    </xf>
    <xf numFmtId="4" fontId="27" fillId="8" borderId="4" xfId="0" applyNumberFormat="1" applyFont="1" applyFill="1" applyBorder="1" applyAlignment="1">
      <alignment vertical="center"/>
    </xf>
    <xf numFmtId="4" fontId="27" fillId="8" borderId="19" xfId="0" applyNumberFormat="1" applyFont="1" applyFill="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4" fontId="26" fillId="8" borderId="43" xfId="0" applyNumberFormat="1" applyFont="1" applyFill="1" applyBorder="1" applyAlignment="1">
      <alignment vertical="center"/>
    </xf>
    <xf numFmtId="4" fontId="26" fillId="8" borderId="61" xfId="0" applyNumberFormat="1" applyFont="1" applyFill="1" applyBorder="1" applyAlignment="1">
      <alignment vertical="center"/>
    </xf>
    <xf numFmtId="0" fontId="27" fillId="11" borderId="5" xfId="0" applyFont="1" applyFill="1" applyBorder="1" applyAlignment="1">
      <alignment vertical="center"/>
    </xf>
    <xf numFmtId="0" fontId="27" fillId="11" borderId="7" xfId="0" applyFont="1" applyFill="1" applyBorder="1" applyAlignment="1">
      <alignment vertical="center"/>
    </xf>
    <xf numFmtId="4" fontId="27" fillId="11" borderId="7" xfId="0" applyNumberFormat="1" applyFont="1" applyFill="1" applyBorder="1" applyAlignment="1">
      <alignment vertical="center"/>
    </xf>
    <xf numFmtId="4" fontId="27" fillId="11" borderId="8" xfId="0" applyNumberFormat="1" applyFont="1" applyFill="1" applyBorder="1" applyAlignment="1">
      <alignment vertical="center"/>
    </xf>
    <xf numFmtId="0" fontId="26" fillId="0" borderId="0" xfId="0" applyFont="1" applyAlignment="1">
      <alignment vertical="center" wrapText="1"/>
    </xf>
    <xf numFmtId="0" fontId="45" fillId="0" borderId="12"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7" xfId="0" applyFont="1" applyBorder="1" applyAlignment="1">
      <alignment horizontal="center" vertical="center" wrapText="1"/>
    </xf>
    <xf numFmtId="164" fontId="1" fillId="21" borderId="4" xfId="0" applyNumberFormat="1" applyFont="1" applyFill="1" applyBorder="1" applyAlignment="1">
      <alignment vertical="center"/>
    </xf>
    <xf numFmtId="0" fontId="45" fillId="0" borderId="4" xfId="0" applyFont="1" applyBorder="1" applyAlignment="1">
      <alignment horizontal="center" vertical="center"/>
    </xf>
    <xf numFmtId="2" fontId="45" fillId="0" borderId="4" xfId="0" applyNumberFormat="1" applyFont="1" applyBorder="1" applyAlignment="1">
      <alignment horizontal="center" vertical="center"/>
    </xf>
    <xf numFmtId="2" fontId="7" fillId="22" borderId="4" xfId="0" applyNumberFormat="1" applyFont="1" applyFill="1" applyBorder="1" applyAlignment="1">
      <alignment horizontal="center" vertical="center"/>
    </xf>
    <xf numFmtId="0" fontId="33" fillId="0" borderId="0" xfId="0" applyFont="1" applyAlignment="1">
      <alignment horizontal="center" vertical="center"/>
    </xf>
    <xf numFmtId="0" fontId="45" fillId="0" borderId="4" xfId="0" applyFont="1" applyBorder="1" applyAlignment="1">
      <alignment horizontal="left" vertical="center" wrapText="1"/>
    </xf>
    <xf numFmtId="0" fontId="9" fillId="0" borderId="11" xfId="0" applyFont="1" applyBorder="1" applyAlignment="1">
      <alignment horizontal="center" vertical="center" wrapText="1"/>
    </xf>
    <xf numFmtId="1" fontId="9" fillId="0" borderId="52" xfId="0" applyNumberFormat="1" applyFont="1" applyBorder="1" applyAlignment="1">
      <alignment horizontal="center" vertical="center" wrapText="1"/>
    </xf>
    <xf numFmtId="0" fontId="48" fillId="0" borderId="4" xfId="0" applyFont="1" applyBorder="1" applyAlignment="1">
      <alignment horizontal="center" vertical="center"/>
    </xf>
    <xf numFmtId="0" fontId="0" fillId="0" borderId="4" xfId="0" applyBorder="1" applyAlignment="1">
      <alignment horizontal="center" vertical="center"/>
    </xf>
    <xf numFmtId="0" fontId="48" fillId="22" borderId="4" xfId="0" applyFont="1" applyFill="1" applyBorder="1" applyAlignment="1">
      <alignment horizontal="center"/>
    </xf>
    <xf numFmtId="169" fontId="7" fillId="11" borderId="19" xfId="0" applyNumberFormat="1" applyFont="1" applyFill="1" applyBorder="1" applyAlignment="1">
      <alignment vertical="center"/>
    </xf>
    <xf numFmtId="0" fontId="49" fillId="0" borderId="0" xfId="0" applyFont="1" applyAlignment="1">
      <alignment horizontal="left" vertical="center"/>
    </xf>
    <xf numFmtId="0" fontId="7" fillId="24" borderId="17" xfId="0" applyFont="1" applyFill="1" applyBorder="1" applyAlignment="1">
      <alignment horizontal="center" vertical="center"/>
    </xf>
    <xf numFmtId="0" fontId="7" fillId="24" borderId="4" xfId="0" applyFont="1" applyFill="1" applyBorder="1" applyAlignment="1">
      <alignment horizontal="center" vertical="center"/>
    </xf>
    <xf numFmtId="1" fontId="7" fillId="24" borderId="4" xfId="0" applyNumberFormat="1" applyFont="1" applyFill="1" applyBorder="1" applyAlignment="1">
      <alignment horizontal="center" vertical="center"/>
    </xf>
    <xf numFmtId="1" fontId="7" fillId="24" borderId="4" xfId="0" applyNumberFormat="1" applyFont="1" applyFill="1" applyBorder="1" applyAlignment="1">
      <alignment horizontal="center" vertical="center" wrapText="1"/>
    </xf>
    <xf numFmtId="2" fontId="7" fillId="24" borderId="43" xfId="0" applyNumberFormat="1" applyFont="1" applyFill="1" applyBorder="1" applyAlignment="1">
      <alignment horizontal="center" vertical="center" wrapText="1"/>
    </xf>
    <xf numFmtId="2" fontId="7" fillId="24" borderId="4" xfId="0" applyNumberFormat="1" applyFont="1" applyFill="1" applyBorder="1" applyAlignment="1">
      <alignment horizontal="center" vertical="center" wrapText="1"/>
    </xf>
    <xf numFmtId="0" fontId="43" fillId="25" borderId="42" xfId="0" applyFont="1" applyFill="1" applyBorder="1" applyAlignment="1">
      <alignment horizontal="center" vertical="center" wrapText="1"/>
    </xf>
    <xf numFmtId="0" fontId="43" fillId="25" borderId="17" xfId="0" applyFont="1" applyFill="1" applyBorder="1" applyAlignment="1">
      <alignment horizontal="center" vertical="center" wrapText="1"/>
    </xf>
    <xf numFmtId="1" fontId="50" fillId="0" borderId="17" xfId="0" applyNumberFormat="1" applyFont="1" applyBorder="1" applyAlignment="1">
      <alignment horizontal="center" vertical="center"/>
    </xf>
    <xf numFmtId="1" fontId="51" fillId="0" borderId="17" xfId="0" applyNumberFormat="1" applyFont="1" applyBorder="1" applyAlignment="1">
      <alignment horizontal="center" vertical="center" wrapText="1"/>
    </xf>
    <xf numFmtId="0" fontId="56" fillId="0" borderId="31" xfId="0" applyFont="1" applyBorder="1"/>
    <xf numFmtId="0" fontId="56" fillId="0" borderId="0" xfId="0" applyFont="1"/>
    <xf numFmtId="0" fontId="56" fillId="0" borderId="0" xfId="0" applyFont="1" applyAlignment="1">
      <alignment vertical="center"/>
    </xf>
    <xf numFmtId="0" fontId="56" fillId="0" borderId="55" xfId="0" applyFont="1" applyBorder="1" applyAlignment="1">
      <alignment horizontal="left" vertical="center"/>
    </xf>
    <xf numFmtId="0" fontId="57" fillId="24" borderId="4" xfId="0" applyFont="1" applyFill="1" applyBorder="1" applyAlignment="1">
      <alignment horizontal="center" vertical="center"/>
    </xf>
    <xf numFmtId="0" fontId="58" fillId="0" borderId="4" xfId="0" applyFont="1" applyBorder="1" applyAlignment="1">
      <alignment vertical="center" wrapText="1"/>
    </xf>
    <xf numFmtId="0" fontId="58" fillId="0" borderId="4" xfId="0" applyFont="1" applyBorder="1" applyAlignment="1">
      <alignment horizontal="justify" vertical="center" wrapText="1"/>
    </xf>
    <xf numFmtId="0" fontId="58" fillId="0" borderId="74" xfId="0" applyFont="1" applyBorder="1" applyAlignment="1">
      <alignment horizontal="justify" vertical="center" wrapText="1"/>
    </xf>
    <xf numFmtId="0" fontId="56" fillId="0" borderId="0" xfId="0" applyFont="1" applyAlignment="1">
      <alignment vertical="center" wrapText="1"/>
    </xf>
    <xf numFmtId="0" fontId="58" fillId="0" borderId="0" xfId="0" applyFont="1" applyAlignment="1">
      <alignment horizontal="justify" vertical="center" wrapText="1"/>
    </xf>
    <xf numFmtId="0" fontId="57" fillId="0" borderId="0" xfId="0" applyFont="1" applyAlignment="1">
      <alignment horizontal="left" vertical="center"/>
    </xf>
    <xf numFmtId="0" fontId="56" fillId="0" borderId="4" xfId="0" applyFont="1" applyBorder="1" applyAlignment="1">
      <alignment vertical="center" wrapText="1"/>
    </xf>
    <xf numFmtId="0" fontId="59" fillId="0" borderId="74" xfId="0" applyFont="1" applyBorder="1" applyAlignment="1">
      <alignment horizontal="justify" vertical="center" wrapText="1"/>
    </xf>
    <xf numFmtId="0" fontId="59" fillId="0" borderId="4" xfId="0" applyFont="1" applyBorder="1" applyAlignment="1">
      <alignment horizontal="justify" vertical="center" wrapText="1"/>
    </xf>
    <xf numFmtId="4" fontId="52" fillId="0" borderId="54" xfId="0" applyNumberFormat="1" applyFont="1" applyBorder="1" applyAlignment="1">
      <alignment horizontal="center"/>
    </xf>
    <xf numFmtId="4" fontId="52" fillId="0" borderId="48" xfId="0" applyNumberFormat="1" applyFont="1" applyBorder="1" applyAlignment="1">
      <alignment horizontal="center"/>
    </xf>
    <xf numFmtId="4" fontId="52" fillId="0" borderId="48" xfId="0" applyNumberFormat="1" applyFont="1" applyBorder="1" applyAlignment="1">
      <alignment horizontal="center" vertical="center"/>
    </xf>
    <xf numFmtId="4" fontId="52" fillId="0" borderId="50" xfId="0" applyNumberFormat="1" applyFont="1" applyBorder="1" applyAlignment="1">
      <alignment horizontal="center" vertical="center"/>
    </xf>
    <xf numFmtId="4" fontId="53" fillId="24" borderId="19" xfId="0" applyNumberFormat="1" applyFont="1" applyFill="1" applyBorder="1" applyAlignment="1">
      <alignment horizontal="center" vertical="center"/>
    </xf>
    <xf numFmtId="4" fontId="54" fillId="0" borderId="50" xfId="1" applyNumberFormat="1" applyFont="1" applyBorder="1" applyAlignment="1" applyProtection="1">
      <alignment horizontal="center" vertical="center"/>
    </xf>
    <xf numFmtId="4" fontId="53" fillId="0" borderId="19" xfId="1" applyNumberFormat="1" applyFont="1" applyBorder="1" applyAlignment="1" applyProtection="1">
      <alignment horizontal="center" vertical="center"/>
    </xf>
    <xf numFmtId="4" fontId="55" fillId="11" borderId="29" xfId="1" applyNumberFormat="1" applyFont="1" applyFill="1" applyBorder="1" applyAlignment="1" applyProtection="1">
      <alignment horizontal="center" vertical="center"/>
    </xf>
    <xf numFmtId="4" fontId="54" fillId="0" borderId="48" xfId="1" applyNumberFormat="1" applyFont="1" applyBorder="1" applyAlignment="1" applyProtection="1">
      <alignment horizontal="center" vertical="center"/>
    </xf>
    <xf numFmtId="4" fontId="53" fillId="0" borderId="25" xfId="1" applyNumberFormat="1" applyFont="1" applyBorder="1" applyAlignment="1" applyProtection="1">
      <alignment horizontal="center" vertical="center"/>
    </xf>
    <xf numFmtId="4" fontId="55" fillId="0" borderId="48" xfId="1" applyNumberFormat="1" applyFont="1" applyBorder="1" applyAlignment="1" applyProtection="1">
      <alignment horizontal="center" vertical="center"/>
    </xf>
    <xf numFmtId="4" fontId="60" fillId="0" borderId="19" xfId="0" applyNumberFormat="1" applyFont="1" applyBorder="1" applyAlignment="1">
      <alignment horizontal="center"/>
    </xf>
    <xf numFmtId="4" fontId="52" fillId="0" borderId="0" xfId="0" applyNumberFormat="1" applyFont="1" applyAlignment="1">
      <alignment horizontal="center"/>
    </xf>
    <xf numFmtId="0" fontId="1" fillId="0" borderId="4" xfId="0" applyFont="1" applyBorder="1" applyAlignment="1">
      <alignment horizontal="center"/>
    </xf>
    <xf numFmtId="0" fontId="7" fillId="5" borderId="39" xfId="0" applyFont="1" applyFill="1" applyBorder="1" applyAlignment="1">
      <alignment horizontal="right" vertical="center" wrapText="1"/>
    </xf>
    <xf numFmtId="0" fontId="7" fillId="5" borderId="22" xfId="0" applyFont="1" applyFill="1" applyBorder="1" applyAlignment="1">
      <alignment horizontal="right" vertical="center" wrapText="1"/>
    </xf>
    <xf numFmtId="0" fontId="7" fillId="5" borderId="32"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0" xfId="0" applyFont="1" applyBorder="1" applyAlignment="1">
      <alignment horizontal="center" vertical="center" wrapText="1"/>
    </xf>
    <xf numFmtId="0" fontId="26" fillId="0" borderId="18" xfId="0" applyFont="1" applyBorder="1" applyAlignment="1">
      <alignment horizontal="left" wrapText="1"/>
    </xf>
    <xf numFmtId="0" fontId="26" fillId="0" borderId="55" xfId="0" applyFont="1" applyBorder="1" applyAlignment="1">
      <alignment horizontal="left" wrapText="1"/>
    </xf>
    <xf numFmtId="0" fontId="26" fillId="0" borderId="21" xfId="0" applyFont="1" applyBorder="1" applyAlignment="1">
      <alignment horizontal="left"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7" xfId="0" applyFont="1" applyFill="1" applyBorder="1" applyAlignment="1">
      <alignment horizontal="center" vertical="center" wrapText="1"/>
    </xf>
    <xf numFmtId="0" fontId="15" fillId="4" borderId="69" xfId="0" applyFont="1" applyFill="1" applyBorder="1" applyAlignment="1">
      <alignment horizontal="center" vertical="center" wrapText="1"/>
    </xf>
    <xf numFmtId="0" fontId="15" fillId="4" borderId="45" xfId="0" applyFont="1" applyFill="1" applyBorder="1" applyAlignment="1">
      <alignment horizontal="center" vertical="center" wrapText="1"/>
    </xf>
    <xf numFmtId="0" fontId="15" fillId="4" borderId="7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9" fillId="0" borderId="31" xfId="0" applyFont="1" applyBorder="1" applyAlignment="1">
      <alignment horizontal="left"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3" fillId="0" borderId="0" xfId="0" applyFont="1" applyAlignment="1">
      <alignment horizontal="center" vertical="top"/>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7" fillId="0" borderId="0" xfId="0" applyFont="1" applyAlignment="1">
      <alignment horizontal="center" vertical="center"/>
    </xf>
    <xf numFmtId="0" fontId="5" fillId="0" borderId="12" xfId="0" applyFont="1" applyBorder="1" applyAlignment="1">
      <alignment horizontal="left" vertical="center"/>
    </xf>
    <xf numFmtId="0" fontId="1" fillId="0" borderId="46" xfId="0" applyFont="1" applyBorder="1" applyAlignment="1">
      <alignment horizontal="center"/>
    </xf>
    <xf numFmtId="0" fontId="1" fillId="0" borderId="23" xfId="0" applyFont="1" applyBorder="1" applyAlignment="1">
      <alignment horizontal="left" vertical="center"/>
    </xf>
    <xf numFmtId="0" fontId="5" fillId="0" borderId="33" xfId="0" applyFont="1" applyBorder="1" applyAlignment="1">
      <alignment horizontal="left" vertical="center"/>
    </xf>
    <xf numFmtId="0" fontId="1" fillId="0" borderId="43" xfId="0" applyFont="1" applyBorder="1" applyAlignment="1">
      <alignment horizontal="left" vertical="center"/>
    </xf>
    <xf numFmtId="0" fontId="5" fillId="11" borderId="4" xfId="0" applyFont="1" applyFill="1" applyBorder="1" applyAlignment="1">
      <alignment horizontal="center" vertical="center" wrapText="1"/>
    </xf>
    <xf numFmtId="0" fontId="5" fillId="11" borderId="2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xf>
    <xf numFmtId="2" fontId="1" fillId="9" borderId="4" xfId="0" applyNumberFormat="1" applyFont="1" applyFill="1" applyBorder="1" applyAlignment="1">
      <alignment horizontal="center" vertical="center"/>
    </xf>
    <xf numFmtId="0" fontId="1" fillId="2" borderId="4" xfId="0" applyFont="1" applyFill="1" applyBorder="1" applyAlignment="1" applyProtection="1">
      <alignment horizontal="left" vertical="center"/>
      <protection locked="0"/>
    </xf>
    <xf numFmtId="0" fontId="5" fillId="11" borderId="4"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1" fillId="0" borderId="18" xfId="0" applyFont="1" applyBorder="1" applyAlignment="1">
      <alignment horizontal="left" vertical="center"/>
    </xf>
    <xf numFmtId="0" fontId="1" fillId="0" borderId="4" xfId="0" applyFont="1" applyBorder="1" applyAlignment="1">
      <alignment horizontal="left" vertical="center" wrapText="1"/>
    </xf>
    <xf numFmtId="0" fontId="46" fillId="23" borderId="4" xfId="5" applyFill="1" applyBorder="1" applyAlignment="1" applyProtection="1">
      <alignment horizontal="center" vertical="center"/>
      <protection locked="0"/>
    </xf>
    <xf numFmtId="14" fontId="5" fillId="2" borderId="4" xfId="0" applyNumberFormat="1" applyFont="1" applyFill="1" applyBorder="1" applyAlignment="1" applyProtection="1">
      <alignment horizontal="center" vertical="center"/>
      <protection locked="0"/>
    </xf>
    <xf numFmtId="0" fontId="9" fillId="11" borderId="4" xfId="0" applyFont="1" applyFill="1" applyBorder="1" applyAlignment="1">
      <alignment horizontal="center" vertical="center" wrapText="1"/>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2" xfId="0" applyFont="1" applyBorder="1" applyAlignment="1">
      <alignment horizontal="center" vertical="center"/>
    </xf>
    <xf numFmtId="0" fontId="10" fillId="0" borderId="17" xfId="0" applyFont="1" applyBorder="1" applyAlignment="1">
      <alignment horizontal="left" vertical="center"/>
    </xf>
    <xf numFmtId="0" fontId="24" fillId="11" borderId="42" xfId="0" applyFont="1" applyFill="1" applyBorder="1" applyAlignment="1">
      <alignment horizontal="left" vertical="center"/>
    </xf>
    <xf numFmtId="0" fontId="18" fillId="13" borderId="51" xfId="0" applyFont="1" applyFill="1" applyBorder="1" applyAlignment="1">
      <alignment horizontal="justify" wrapText="1"/>
    </xf>
    <xf numFmtId="0" fontId="25" fillId="0" borderId="17" xfId="0" applyFont="1" applyBorder="1" applyAlignment="1">
      <alignment horizontal="left" vertical="center"/>
    </xf>
    <xf numFmtId="0" fontId="24" fillId="11" borderId="20" xfId="0" applyFont="1" applyFill="1" applyBorder="1" applyAlignment="1">
      <alignment horizontal="center" vertical="center"/>
    </xf>
    <xf numFmtId="0" fontId="28" fillId="14" borderId="35"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19" xfId="0" applyFont="1" applyBorder="1" applyAlignment="1">
      <alignment horizontal="center" vertical="center" wrapText="1"/>
    </xf>
    <xf numFmtId="0" fontId="24" fillId="11" borderId="19" xfId="0" applyFont="1" applyFill="1" applyBorder="1" applyAlignment="1">
      <alignment horizontal="left" vertical="center"/>
    </xf>
    <xf numFmtId="0" fontId="24" fillId="0" borderId="17" xfId="0" applyFont="1" applyBorder="1" applyAlignment="1">
      <alignment horizontal="left" vertical="center"/>
    </xf>
    <xf numFmtId="0" fontId="10" fillId="0" borderId="17" xfId="0" applyFont="1" applyBorder="1" applyAlignment="1">
      <alignment horizontal="left" vertical="center" wrapText="1"/>
    </xf>
    <xf numFmtId="0" fontId="24" fillId="11" borderId="17" xfId="0" applyFont="1" applyFill="1" applyBorder="1" applyAlignment="1">
      <alignment horizontal="left" vertical="center"/>
    </xf>
    <xf numFmtId="0" fontId="24" fillId="11" borderId="20" xfId="0" applyFont="1" applyFill="1" applyBorder="1" applyAlignment="1">
      <alignment horizontal="left" vertical="center"/>
    </xf>
    <xf numFmtId="0" fontId="22" fillId="11" borderId="49" xfId="0" applyFont="1" applyFill="1" applyBorder="1" applyAlignment="1">
      <alignment horizontal="center" vertical="center"/>
    </xf>
    <xf numFmtId="0" fontId="7" fillId="12" borderId="15" xfId="0" applyFont="1" applyFill="1" applyBorder="1" applyAlignment="1">
      <alignment horizontal="center" wrapText="1"/>
    </xf>
    <xf numFmtId="0" fontId="7" fillId="11" borderId="20" xfId="0" applyFont="1" applyFill="1" applyBorder="1" applyAlignment="1">
      <alignment horizontal="center" vertical="center"/>
    </xf>
    <xf numFmtId="0" fontId="17" fillId="0" borderId="22" xfId="0" applyFont="1" applyBorder="1" applyAlignment="1">
      <alignment horizontal="center" vertical="center"/>
    </xf>
    <xf numFmtId="0" fontId="19" fillId="11" borderId="0" xfId="0" applyFont="1" applyFill="1" applyAlignment="1">
      <alignment horizontal="center" vertical="center"/>
    </xf>
    <xf numFmtId="0" fontId="30" fillId="11" borderId="17"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19"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19" fillId="11" borderId="49" xfId="0" applyFont="1" applyFill="1" applyBorder="1" applyAlignment="1">
      <alignment horizontal="center" vertical="center"/>
    </xf>
    <xf numFmtId="0" fontId="5" fillId="12" borderId="15" xfId="0" applyFont="1" applyFill="1" applyBorder="1" applyAlignment="1">
      <alignment horizontal="center" vertical="center" wrapText="1"/>
    </xf>
    <xf numFmtId="0" fontId="17" fillId="0" borderId="49" xfId="0" applyFont="1" applyBorder="1" applyAlignment="1">
      <alignment horizontal="center" vertical="center"/>
    </xf>
    <xf numFmtId="0" fontId="7" fillId="12" borderId="20" xfId="0" applyFont="1" applyFill="1" applyBorder="1" applyAlignment="1">
      <alignment horizontal="center" vertical="center" wrapText="1"/>
    </xf>
    <xf numFmtId="49" fontId="5" fillId="11" borderId="59" xfId="0" applyNumberFormat="1" applyFont="1" applyFill="1" applyBorder="1" applyAlignment="1">
      <alignment horizontal="center" vertical="center" wrapText="1"/>
    </xf>
    <xf numFmtId="49" fontId="5" fillId="11" borderId="71" xfId="0" applyNumberFormat="1" applyFont="1" applyFill="1" applyBorder="1" applyAlignment="1">
      <alignment horizontal="center" vertical="center" wrapText="1"/>
    </xf>
    <xf numFmtId="49" fontId="5" fillId="11" borderId="30" xfId="0" applyNumberFormat="1" applyFont="1" applyFill="1" applyBorder="1" applyAlignment="1">
      <alignment horizontal="center" vertical="center" wrapText="1"/>
    </xf>
    <xf numFmtId="49" fontId="7" fillId="11" borderId="4" xfId="0" applyNumberFormat="1" applyFont="1" applyFill="1" applyBorder="1" applyAlignment="1">
      <alignment horizontal="left" vertical="center" wrapText="1"/>
    </xf>
    <xf numFmtId="0" fontId="7" fillId="0" borderId="20" xfId="0" applyFont="1" applyBorder="1" applyAlignment="1">
      <alignment horizontal="center" vertical="center"/>
    </xf>
    <xf numFmtId="0" fontId="7" fillId="0" borderId="39" xfId="0" applyFont="1" applyBorder="1" applyAlignment="1">
      <alignment horizontal="center" vertical="center"/>
    </xf>
    <xf numFmtId="0" fontId="7" fillId="0" borderId="55" xfId="0" applyFont="1" applyBorder="1" applyAlignment="1">
      <alignment horizontal="center" vertical="center"/>
    </xf>
    <xf numFmtId="0" fontId="7" fillId="0" borderId="50" xfId="0" applyFont="1" applyBorder="1" applyAlignment="1">
      <alignment horizontal="center" vertical="center"/>
    </xf>
    <xf numFmtId="0" fontId="42" fillId="22" borderId="18" xfId="0" applyFont="1" applyFill="1" applyBorder="1" applyAlignment="1">
      <alignment horizontal="left" vertical="center"/>
    </xf>
    <xf numFmtId="0" fontId="42" fillId="22" borderId="55" xfId="0" applyFont="1" applyFill="1" applyBorder="1" applyAlignment="1">
      <alignment horizontal="left" vertical="center"/>
    </xf>
    <xf numFmtId="0" fontId="42" fillId="22" borderId="21" xfId="0" applyFont="1" applyFill="1" applyBorder="1" applyAlignment="1">
      <alignment horizontal="left" vertical="center"/>
    </xf>
    <xf numFmtId="0" fontId="5" fillId="0" borderId="17" xfId="0" applyFont="1" applyBorder="1" applyAlignment="1">
      <alignment horizontal="center" vertical="center"/>
    </xf>
    <xf numFmtId="0" fontId="17" fillId="11" borderId="56" xfId="0" applyFont="1" applyFill="1" applyBorder="1" applyAlignment="1">
      <alignment horizontal="left" vertical="center"/>
    </xf>
    <xf numFmtId="0" fontId="9" fillId="0" borderId="42" xfId="0" applyFont="1" applyBorder="1" applyAlignment="1">
      <alignment horizontal="center" vertical="center" wrapText="1"/>
    </xf>
    <xf numFmtId="0" fontId="9" fillId="0" borderId="11" xfId="0" applyFont="1" applyBorder="1" applyAlignment="1">
      <alignment horizontal="center" vertical="center" wrapText="1"/>
    </xf>
    <xf numFmtId="4" fontId="7" fillId="0" borderId="17" xfId="0" applyNumberFormat="1" applyFont="1" applyBorder="1" applyAlignment="1">
      <alignment horizontal="center" vertical="center"/>
    </xf>
    <xf numFmtId="4" fontId="7" fillId="0" borderId="59" xfId="0" applyNumberFormat="1" applyFont="1" applyBorder="1" applyAlignment="1">
      <alignment horizontal="center" vertical="center"/>
    </xf>
    <xf numFmtId="4" fontId="7" fillId="0" borderId="71" xfId="0" applyNumberFormat="1" applyFont="1" applyBorder="1" applyAlignment="1">
      <alignment horizontal="center" vertical="center"/>
    </xf>
    <xf numFmtId="4" fontId="7" fillId="0" borderId="30" xfId="0" applyNumberFormat="1" applyFont="1" applyBorder="1" applyAlignment="1">
      <alignment horizontal="center" vertical="center"/>
    </xf>
    <xf numFmtId="0" fontId="7" fillId="12" borderId="4" xfId="0" applyFont="1" applyFill="1" applyBorder="1" applyAlignment="1">
      <alignment horizontal="center" vertical="center" wrapText="1"/>
    </xf>
    <xf numFmtId="0" fontId="17" fillId="11" borderId="9" xfId="0" applyFont="1" applyFill="1" applyBorder="1" applyAlignment="1">
      <alignment horizontal="center" vertical="center"/>
    </xf>
    <xf numFmtId="0" fontId="7" fillId="26" borderId="15"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9" fillId="0" borderId="20" xfId="0" applyFont="1" applyBorder="1" applyAlignment="1">
      <alignment horizontal="left" vertical="center"/>
    </xf>
    <xf numFmtId="0" fontId="9" fillId="11" borderId="62" xfId="0" applyFont="1" applyFill="1" applyBorder="1" applyAlignment="1">
      <alignment horizontal="center" vertical="center" wrapText="1"/>
    </xf>
    <xf numFmtId="0" fontId="9" fillId="0" borderId="49" xfId="0" applyFont="1" applyBorder="1" applyAlignment="1">
      <alignment horizontal="left" vertical="center" wrapText="1"/>
    </xf>
    <xf numFmtId="0" fontId="9" fillId="0" borderId="51" xfId="0" applyFont="1" applyBorder="1" applyAlignment="1">
      <alignment horizontal="left" vertical="top" wrapText="1"/>
    </xf>
    <xf numFmtId="0" fontId="1" fillId="0" borderId="3" xfId="0" applyFont="1" applyBorder="1" applyAlignment="1">
      <alignment horizontal="left" vertical="center" wrapText="1"/>
    </xf>
    <xf numFmtId="0" fontId="17" fillId="11" borderId="9" xfId="0" applyFont="1" applyFill="1" applyBorder="1" applyAlignment="1">
      <alignment horizontal="center" vertical="center" wrapText="1"/>
    </xf>
    <xf numFmtId="0" fontId="17" fillId="11" borderId="9" xfId="0" applyFont="1" applyFill="1" applyBorder="1" applyAlignment="1">
      <alignment horizontal="left" vertical="center"/>
    </xf>
    <xf numFmtId="0" fontId="13" fillId="0" borderId="49" xfId="0" applyFont="1" applyBorder="1" applyAlignment="1">
      <alignment horizontal="left"/>
    </xf>
    <xf numFmtId="0" fontId="9" fillId="11" borderId="34" xfId="0" applyFont="1" applyFill="1" applyBorder="1" applyAlignment="1">
      <alignment horizontal="center" vertical="center" wrapText="1"/>
    </xf>
    <xf numFmtId="0" fontId="9" fillId="11" borderId="45" xfId="0" applyFont="1" applyFill="1" applyBorder="1" applyAlignment="1">
      <alignment horizontal="center" vertical="center" wrapText="1"/>
    </xf>
    <xf numFmtId="0" fontId="9" fillId="11" borderId="66" xfId="0" applyFont="1" applyFill="1" applyBorder="1" applyAlignment="1">
      <alignment horizontal="center" vertical="center" wrapText="1"/>
    </xf>
    <xf numFmtId="0" fontId="9" fillId="11" borderId="35" xfId="0" applyFont="1" applyFill="1" applyBorder="1" applyAlignment="1">
      <alignment horizontal="center" vertical="center" wrapText="1"/>
    </xf>
    <xf numFmtId="0" fontId="42" fillId="0" borderId="67" xfId="0" applyFont="1" applyBorder="1" applyAlignment="1">
      <alignment horizontal="center" vertical="center" textRotation="91"/>
    </xf>
    <xf numFmtId="0" fontId="42" fillId="0" borderId="68" xfId="0" applyFont="1" applyBorder="1" applyAlignment="1">
      <alignment horizontal="center" vertical="center" textRotation="91"/>
    </xf>
    <xf numFmtId="0" fontId="43" fillId="0" borderId="72" xfId="0" applyFont="1" applyBorder="1" applyAlignment="1">
      <alignment horizontal="center" vertical="center" wrapText="1"/>
    </xf>
    <xf numFmtId="0" fontId="43" fillId="0" borderId="73" xfId="0" applyFont="1" applyBorder="1" applyAlignment="1">
      <alignment horizontal="center" vertical="center" wrapText="1"/>
    </xf>
    <xf numFmtId="0" fontId="19" fillId="17" borderId="20" xfId="0" applyFont="1" applyFill="1" applyBorder="1" applyAlignment="1">
      <alignment horizontal="center" vertical="center" wrapText="1"/>
    </xf>
    <xf numFmtId="0" fontId="5" fillId="0" borderId="20" xfId="0" applyFont="1" applyBorder="1" applyAlignment="1">
      <alignment horizontal="center" vertical="center" wrapText="1"/>
    </xf>
    <xf numFmtId="0" fontId="9" fillId="8" borderId="58" xfId="0" applyFont="1" applyFill="1" applyBorder="1" applyAlignment="1">
      <alignment horizontal="center" vertical="center"/>
    </xf>
    <xf numFmtId="0" fontId="17" fillId="11" borderId="65" xfId="0" applyFont="1" applyFill="1" applyBorder="1" applyAlignment="1">
      <alignment horizontal="center" vertical="center" wrapText="1"/>
    </xf>
    <xf numFmtId="0" fontId="7" fillId="11" borderId="51" xfId="0" applyFont="1" applyFill="1" applyBorder="1" applyAlignment="1">
      <alignment horizontal="center" vertical="center" textRotation="90"/>
    </xf>
    <xf numFmtId="0" fontId="5" fillId="11" borderId="49" xfId="0" applyFont="1" applyFill="1" applyBorder="1" applyAlignment="1">
      <alignment horizontal="center" vertical="center" wrapText="1"/>
    </xf>
    <xf numFmtId="0" fontId="17" fillId="11" borderId="56" xfId="0" applyFont="1" applyFill="1" applyBorder="1" applyAlignment="1">
      <alignment horizontal="center" vertical="center"/>
    </xf>
    <xf numFmtId="0" fontId="17" fillId="11" borderId="51" xfId="0" applyFont="1" applyFill="1" applyBorder="1" applyAlignment="1">
      <alignment horizontal="center" vertical="center" wrapText="1"/>
    </xf>
    <xf numFmtId="0" fontId="5" fillId="11" borderId="66"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5" fillId="11" borderId="36" xfId="0" applyFont="1" applyFill="1" applyBorder="1" applyAlignment="1">
      <alignment horizontal="center" vertical="center" wrapText="1"/>
    </xf>
    <xf numFmtId="0" fontId="7" fillId="11" borderId="36" xfId="0" applyFont="1" applyFill="1" applyBorder="1" applyAlignment="1">
      <alignment horizontal="center" vertical="center" wrapText="1"/>
    </xf>
    <xf numFmtId="0" fontId="9" fillId="11" borderId="39" xfId="0" applyFont="1" applyFill="1" applyBorder="1" applyAlignment="1">
      <alignment horizontal="center" vertical="center" wrapText="1"/>
    </xf>
    <xf numFmtId="0" fontId="16" fillId="11" borderId="67" xfId="0" applyFont="1" applyFill="1" applyBorder="1" applyAlignment="1">
      <alignment horizontal="center" vertical="center" wrapText="1"/>
    </xf>
    <xf numFmtId="4" fontId="7" fillId="12" borderId="23" xfId="0" applyNumberFormat="1" applyFont="1" applyFill="1" applyBorder="1" applyAlignment="1">
      <alignment horizontal="center" vertical="center" wrapText="1"/>
    </xf>
    <xf numFmtId="0" fontId="9" fillId="0" borderId="17" xfId="0" applyFont="1" applyBorder="1" applyAlignment="1">
      <alignment horizontal="left" vertical="center"/>
    </xf>
    <xf numFmtId="0" fontId="7" fillId="11" borderId="42" xfId="0" applyFont="1" applyFill="1" applyBorder="1" applyAlignment="1">
      <alignment horizontal="center" vertical="center"/>
    </xf>
    <xf numFmtId="0" fontId="7" fillId="11" borderId="17" xfId="0" applyFont="1" applyFill="1" applyBorder="1" applyAlignment="1">
      <alignment vertical="center"/>
    </xf>
    <xf numFmtId="0" fontId="7" fillId="11" borderId="17" xfId="0" applyFont="1" applyFill="1" applyBorder="1" applyAlignment="1">
      <alignment vertical="center" wrapText="1"/>
    </xf>
    <xf numFmtId="0" fontId="7" fillId="11" borderId="22" xfId="0" applyFont="1" applyFill="1" applyBorder="1" applyAlignment="1">
      <alignment vertical="center"/>
    </xf>
    <xf numFmtId="0" fontId="7" fillId="11" borderId="56" xfId="0" applyFont="1" applyFill="1" applyBorder="1" applyAlignment="1">
      <alignment horizontal="left" vertical="center"/>
    </xf>
    <xf numFmtId="0" fontId="7" fillId="11" borderId="36" xfId="0" applyFont="1" applyFill="1" applyBorder="1" applyAlignment="1">
      <alignment horizontal="center" vertical="center"/>
    </xf>
    <xf numFmtId="0" fontId="7" fillId="11" borderId="5" xfId="0" applyFont="1" applyFill="1" applyBorder="1" applyAlignment="1">
      <alignment horizontal="left" vertical="center"/>
    </xf>
    <xf numFmtId="0" fontId="7" fillId="11" borderId="35" xfId="0" applyFont="1" applyFill="1" applyBorder="1" applyAlignment="1">
      <alignment horizontal="center" vertical="center"/>
    </xf>
    <xf numFmtId="0" fontId="9" fillId="0" borderId="17" xfId="0" applyFont="1" applyBorder="1" applyAlignment="1">
      <alignment horizontal="center" vertical="center"/>
    </xf>
    <xf numFmtId="4" fontId="9" fillId="0" borderId="50" xfId="0" applyNumberFormat="1" applyFont="1" applyBorder="1" applyAlignment="1">
      <alignment horizontal="center" vertical="center" wrapText="1"/>
    </xf>
    <xf numFmtId="0" fontId="9" fillId="0" borderId="17" xfId="0" applyFont="1" applyBorder="1" applyAlignment="1">
      <alignment vertical="center"/>
    </xf>
    <xf numFmtId="0" fontId="9" fillId="0" borderId="42" xfId="0" applyFont="1" applyBorder="1" applyAlignment="1">
      <alignment horizontal="left" vertical="center"/>
    </xf>
    <xf numFmtId="0" fontId="9" fillId="0" borderId="17" xfId="0" applyFont="1" applyBorder="1" applyAlignment="1">
      <alignment horizontal="left" vertical="center" wrapText="1"/>
    </xf>
    <xf numFmtId="0" fontId="7" fillId="11" borderId="62" xfId="0" applyFont="1" applyFill="1" applyBorder="1" applyAlignment="1">
      <alignment horizontal="left" vertical="center"/>
    </xf>
    <xf numFmtId="0" fontId="7" fillId="11" borderId="15" xfId="0" applyFont="1" applyFill="1" applyBorder="1" applyAlignment="1">
      <alignment horizontal="center" vertical="center"/>
    </xf>
    <xf numFmtId="0" fontId="9" fillId="0" borderId="4" xfId="0" applyFont="1" applyBorder="1" applyAlignment="1">
      <alignment horizontal="center" vertical="center"/>
    </xf>
    <xf numFmtId="4" fontId="9" fillId="0" borderId="19" xfId="0" applyNumberFormat="1" applyFont="1" applyBorder="1" applyAlignment="1">
      <alignment horizontal="center" vertical="center"/>
    </xf>
    <xf numFmtId="0" fontId="10" fillId="0" borderId="4" xfId="0" applyFont="1" applyBorder="1" applyAlignment="1">
      <alignment horizontal="center" vertical="center"/>
    </xf>
    <xf numFmtId="4" fontId="10" fillId="0" borderId="19" xfId="0" applyNumberFormat="1" applyFont="1" applyBorder="1" applyAlignment="1">
      <alignment horizontal="center" vertical="center" wrapText="1"/>
    </xf>
    <xf numFmtId="0" fontId="9" fillId="0" borderId="42" xfId="0" applyFont="1" applyBorder="1" applyAlignment="1">
      <alignment horizontal="center" vertical="center"/>
    </xf>
    <xf numFmtId="0" fontId="9" fillId="0" borderId="4" xfId="0" applyFont="1" applyBorder="1" applyAlignment="1">
      <alignment horizontal="left" vertical="center" wrapText="1"/>
    </xf>
    <xf numFmtId="0" fontId="7" fillId="11" borderId="4" xfId="0" applyFont="1" applyFill="1" applyBorder="1" applyAlignment="1">
      <alignment horizontal="left" vertical="center"/>
    </xf>
    <xf numFmtId="0" fontId="9" fillId="0" borderId="37" xfId="0" applyFont="1" applyBorder="1" applyAlignment="1">
      <alignment horizontal="left" vertical="center"/>
    </xf>
    <xf numFmtId="0" fontId="17" fillId="11" borderId="49" xfId="0" applyFont="1" applyFill="1" applyBorder="1" applyAlignment="1">
      <alignment horizontal="center" vertical="center"/>
    </xf>
    <xf numFmtId="0" fontId="2" fillId="0" borderId="51" xfId="0" applyFont="1" applyBorder="1" applyAlignment="1">
      <alignment horizontal="left" vertical="center" wrapText="1"/>
    </xf>
    <xf numFmtId="0" fontId="7" fillId="0" borderId="35" xfId="0" applyFont="1" applyBorder="1" applyAlignment="1">
      <alignment horizontal="left" vertical="center" wrapText="1"/>
    </xf>
    <xf numFmtId="4" fontId="25" fillId="11" borderId="9" xfId="0" applyNumberFormat="1" applyFont="1" applyFill="1" applyBorder="1" applyAlignment="1">
      <alignment horizontal="center" vertical="center" wrapText="1"/>
    </xf>
    <xf numFmtId="0" fontId="7" fillId="11" borderId="59" xfId="0" applyFont="1" applyFill="1" applyBorder="1" applyAlignment="1">
      <alignment horizontal="left" vertical="center" wrapText="1"/>
    </xf>
    <xf numFmtId="0" fontId="27" fillId="0" borderId="17" xfId="0" applyFont="1" applyBorder="1" applyAlignment="1">
      <alignment horizontal="left" vertical="center"/>
    </xf>
    <xf numFmtId="0" fontId="27" fillId="11" borderId="9" xfId="0" applyFont="1" applyFill="1" applyBorder="1" applyAlignment="1">
      <alignment horizontal="center" vertical="center"/>
    </xf>
    <xf numFmtId="0" fontId="27" fillId="8" borderId="9" xfId="0" applyFont="1" applyFill="1" applyBorder="1" applyAlignment="1">
      <alignment horizontal="center" vertical="center"/>
    </xf>
    <xf numFmtId="0" fontId="27" fillId="11" borderId="14" xfId="0" applyFont="1" applyFill="1" applyBorder="1" applyAlignment="1">
      <alignment horizontal="center" vertical="center"/>
    </xf>
    <xf numFmtId="0" fontId="7" fillId="0" borderId="4" xfId="0" applyFont="1" applyBorder="1" applyAlignment="1">
      <alignment horizontal="left" vertical="center" wrapText="1"/>
    </xf>
    <xf numFmtId="0" fontId="27" fillId="11" borderId="19" xfId="0" applyFont="1" applyFill="1" applyBorder="1" applyAlignment="1">
      <alignment horizontal="center" vertical="center"/>
    </xf>
    <xf numFmtId="0" fontId="9" fillId="0" borderId="4" xfId="0" applyFont="1" applyBorder="1" applyAlignment="1">
      <alignment horizontal="left" vertical="center"/>
    </xf>
    <xf numFmtId="0" fontId="27" fillId="11" borderId="4" xfId="0" applyFont="1" applyFill="1" applyBorder="1" applyAlignment="1">
      <alignment horizontal="left" vertical="center" wrapText="1"/>
    </xf>
    <xf numFmtId="0" fontId="39" fillId="19" borderId="7" xfId="0" applyFont="1" applyFill="1" applyBorder="1" applyAlignment="1">
      <alignment horizontal="left" vertical="center"/>
    </xf>
    <xf numFmtId="0" fontId="9" fillId="0" borderId="12" xfId="0" applyFont="1" applyBorder="1" applyAlignment="1">
      <alignment horizontal="left" vertical="center"/>
    </xf>
    <xf numFmtId="0" fontId="27" fillId="0" borderId="17" xfId="0" applyFont="1" applyBorder="1" applyAlignment="1">
      <alignment horizontal="left" vertical="center" wrapText="1"/>
    </xf>
    <xf numFmtId="0" fontId="37" fillId="11" borderId="51" xfId="0" applyFont="1" applyFill="1" applyBorder="1" applyAlignment="1">
      <alignment horizontal="center" vertical="center" wrapText="1"/>
    </xf>
    <xf numFmtId="0" fontId="25" fillId="8" borderId="9" xfId="0" applyFont="1" applyFill="1" applyBorder="1" applyAlignment="1">
      <alignment horizontal="center" vertical="center"/>
    </xf>
    <xf numFmtId="10" fontId="27" fillId="8" borderId="36" xfId="0" applyNumberFormat="1" applyFont="1" applyFill="1" applyBorder="1" applyAlignment="1">
      <alignment horizontal="center" vertical="center"/>
    </xf>
    <xf numFmtId="0" fontId="27" fillId="8" borderId="36" xfId="0" applyFont="1" applyFill="1" applyBorder="1" applyAlignment="1">
      <alignment horizontal="left" vertical="center" wrapText="1"/>
    </xf>
    <xf numFmtId="0" fontId="38" fillId="8" borderId="36" xfId="0" applyFont="1" applyFill="1" applyBorder="1" applyAlignment="1">
      <alignment horizontal="center" vertical="center"/>
    </xf>
    <xf numFmtId="0" fontId="28" fillId="15" borderId="4" xfId="0" applyFont="1" applyFill="1" applyBorder="1" applyAlignment="1">
      <alignment horizontal="center" vertical="center"/>
    </xf>
    <xf numFmtId="0" fontId="25" fillId="0" borderId="21" xfId="0" applyFont="1" applyBorder="1" applyAlignment="1">
      <alignment horizontal="left" vertical="center"/>
    </xf>
    <xf numFmtId="0" fontId="17" fillId="15" borderId="4" xfId="0" applyFont="1" applyFill="1" applyBorder="1" applyAlignment="1">
      <alignment horizontal="center" vertical="center" wrapText="1"/>
    </xf>
  </cellXfs>
  <cellStyles count="7">
    <cellStyle name="Excel Built-in Explanatory Text" xfId="4" xr:uid="{00000000-0005-0000-0000-000000000000}"/>
    <cellStyle name="Hiperlink" xfId="5" builtinId="8"/>
    <cellStyle name="Moeda" xfId="2" builtinId="4"/>
    <cellStyle name="Normal" xfId="0" builtinId="0"/>
    <cellStyle name="Normal 2 2" xfId="6" xr:uid="{469FBA86-64D0-4FA0-9ED0-AFB584686C17}"/>
    <cellStyle name="Porcentagem" xfId="3" builtinId="5"/>
    <cellStyle name="Vírgula" xfId="1" builtinId="3"/>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indexedColors>
      <rgbColor rgb="FF000000"/>
      <rgbColor rgb="FFFFFFFF"/>
      <rgbColor rgb="FFFF0000"/>
      <rgbColor rgb="FF00FF00"/>
      <rgbColor rgb="FF0000FF"/>
      <rgbColor rgb="FFFFF2CC"/>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2DCDB"/>
      <rgbColor rgb="FF0066CC"/>
      <rgbColor rgb="FFBDD7EE"/>
      <rgbColor rgb="FF000080"/>
      <rgbColor rgb="FFFF00FF"/>
      <rgbColor rgb="FFF2F2F2"/>
      <rgbColor rgb="FF00FFFF"/>
      <rgbColor rgb="FF800080"/>
      <rgbColor rgb="FFC00000"/>
      <rgbColor rgb="FF008080"/>
      <rgbColor rgb="FF0000FF"/>
      <rgbColor rgb="FF00B0F0"/>
      <rgbColor rgb="FFC6EFCE"/>
      <rgbColor rgb="FFCCFFCC"/>
      <rgbColor rgb="FFFFFF99"/>
      <rgbColor rgb="FFADB9CA"/>
      <rgbColor rgb="FFFFC7CE"/>
      <rgbColor rgb="FFBFBFBF"/>
      <rgbColor rgb="FFF8CBAD"/>
      <rgbColor rgb="FF3366CC"/>
      <rgbColor rgb="FF33CCCC"/>
      <rgbColor rgb="FF99CC00"/>
      <rgbColor rgb="FFFFD966"/>
      <rgbColor rgb="FFFF9900"/>
      <rgbColor rgb="FFFF6600"/>
      <rgbColor rgb="FF606060"/>
      <rgbColor rgb="FFDCE6F2"/>
      <rgbColor rgb="FF10243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38160</xdr:colOff>
      <xdr:row>0</xdr:row>
      <xdr:rowOff>76320</xdr:rowOff>
    </xdr:from>
    <xdr:to>
      <xdr:col>1</xdr:col>
      <xdr:colOff>1440</xdr:colOff>
      <xdr:row>2</xdr:row>
      <xdr:rowOff>83160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38160" y="76320"/>
          <a:ext cx="406440" cy="4734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16" name="Picture 1">
          <a:extLst>
            <a:ext uri="{FF2B5EF4-FFF2-40B4-BE49-F238E27FC236}">
              <a16:creationId xmlns:a16="http://schemas.microsoft.com/office/drawing/2014/main" id="{00000000-0008-0000-0800-000010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17" name="Picture 1">
          <a:extLst>
            <a:ext uri="{FF2B5EF4-FFF2-40B4-BE49-F238E27FC236}">
              <a16:creationId xmlns:a16="http://schemas.microsoft.com/office/drawing/2014/main" id="{00000000-0008-0000-0900-000011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19" name="Picture 1">
          <a:extLst>
            <a:ext uri="{FF2B5EF4-FFF2-40B4-BE49-F238E27FC236}">
              <a16:creationId xmlns:a16="http://schemas.microsoft.com/office/drawing/2014/main" id="{00000000-0008-0000-0A00-000013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20" name="Picture 1">
          <a:extLst>
            <a:ext uri="{FF2B5EF4-FFF2-40B4-BE49-F238E27FC236}">
              <a16:creationId xmlns:a16="http://schemas.microsoft.com/office/drawing/2014/main" id="{00000000-0008-0000-0B00-000014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397800</xdr:colOff>
      <xdr:row>2</xdr:row>
      <xdr:rowOff>26280</xdr:rowOff>
    </xdr:to>
    <xdr:pic>
      <xdr:nvPicPr>
        <xdr:cNvPr id="22" name="Picture 1">
          <a:extLst>
            <a:ext uri="{FF2B5EF4-FFF2-40B4-BE49-F238E27FC236}">
              <a16:creationId xmlns:a16="http://schemas.microsoft.com/office/drawing/2014/main" id="{00000000-0008-0000-0D00-000016000000}"/>
            </a:ext>
          </a:extLst>
        </xdr:cNvPr>
        <xdr:cNvPicPr/>
      </xdr:nvPicPr>
      <xdr:blipFill>
        <a:blip xmlns:r="http://schemas.openxmlformats.org/officeDocument/2006/relationships" r:embed="rId1" cstate="print"/>
        <a:stretch/>
      </xdr:blipFill>
      <xdr:spPr>
        <a:xfrm>
          <a:off x="95400" y="57240"/>
          <a:ext cx="302400" cy="34992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142920</xdr:colOff>
      <xdr:row>0</xdr:row>
      <xdr:rowOff>38160</xdr:rowOff>
    </xdr:from>
    <xdr:to>
      <xdr:col>0</xdr:col>
      <xdr:colOff>454680</xdr:colOff>
      <xdr:row>2</xdr:row>
      <xdr:rowOff>131040</xdr:rowOff>
    </xdr:to>
    <xdr:pic>
      <xdr:nvPicPr>
        <xdr:cNvPr id="23" name="Picture 1">
          <a:extLst>
            <a:ext uri="{FF2B5EF4-FFF2-40B4-BE49-F238E27FC236}">
              <a16:creationId xmlns:a16="http://schemas.microsoft.com/office/drawing/2014/main" id="{00000000-0008-0000-0E00-000017000000}"/>
            </a:ext>
          </a:extLst>
        </xdr:cNvPr>
        <xdr:cNvPicPr/>
      </xdr:nvPicPr>
      <xdr:blipFill>
        <a:blip xmlns:r="http://schemas.openxmlformats.org/officeDocument/2006/relationships" r:embed="rId1" cstate="print"/>
        <a:stretch/>
      </xdr:blipFill>
      <xdr:spPr>
        <a:xfrm>
          <a:off x="142920" y="38160"/>
          <a:ext cx="311760" cy="473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400680</xdr:colOff>
      <xdr:row>2</xdr:row>
      <xdr:rowOff>26280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xdr:blipFill>
      <xdr:spPr>
        <a:xfrm>
          <a:off x="95400" y="57240"/>
          <a:ext cx="305280" cy="3499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112680</xdr:colOff>
      <xdr:row>0</xdr:row>
      <xdr:rowOff>56160</xdr:rowOff>
    </xdr:from>
    <xdr:to>
      <xdr:col>0</xdr:col>
      <xdr:colOff>569160</xdr:colOff>
      <xdr:row>2</xdr:row>
      <xdr:rowOff>209940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xdr:blipFill>
      <xdr:spPr>
        <a:xfrm>
          <a:off x="112680" y="56160"/>
          <a:ext cx="456480" cy="5270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47520</xdr:colOff>
      <xdr:row>0</xdr:row>
      <xdr:rowOff>0</xdr:rowOff>
    </xdr:from>
    <xdr:to>
      <xdr:col>0</xdr:col>
      <xdr:colOff>454680</xdr:colOff>
      <xdr:row>2</xdr:row>
      <xdr:rowOff>92880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a:xfrm>
          <a:off x="47520" y="0"/>
          <a:ext cx="407160" cy="4737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67320</xdr:colOff>
      <xdr:row>0</xdr:row>
      <xdr:rowOff>111960</xdr:rowOff>
    </xdr:from>
    <xdr:to>
      <xdr:col>1</xdr:col>
      <xdr:colOff>18510</xdr:colOff>
      <xdr:row>2</xdr:row>
      <xdr:rowOff>47835</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tretch/>
      </xdr:blipFill>
      <xdr:spPr>
        <a:xfrm>
          <a:off x="67320" y="111960"/>
          <a:ext cx="307440" cy="3398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359640</xdr:colOff>
      <xdr:row>2</xdr:row>
      <xdr:rowOff>102240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xdr:blipFill>
      <xdr:spPr>
        <a:xfrm>
          <a:off x="38160" y="85680"/>
          <a:ext cx="321480" cy="30231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359640</xdr:colOff>
      <xdr:row>2</xdr:row>
      <xdr:rowOff>94620</xdr:rowOff>
    </xdr:to>
    <xdr:pic>
      <xdr:nvPicPr>
        <xdr:cNvPr id="5" name="Picture 1">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1" cstate="print"/>
        <a:stretch/>
      </xdr:blipFill>
      <xdr:spPr>
        <a:xfrm>
          <a:off x="38160" y="85680"/>
          <a:ext cx="321480" cy="30240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426525</xdr:colOff>
      <xdr:row>0</xdr:row>
      <xdr:rowOff>61725</xdr:rowOff>
    </xdr:from>
    <xdr:to>
      <xdr:col>0</xdr:col>
      <xdr:colOff>798405</xdr:colOff>
      <xdr:row>2</xdr:row>
      <xdr:rowOff>89805</xdr:rowOff>
    </xdr:to>
    <xdr:pic>
      <xdr:nvPicPr>
        <xdr:cNvPr id="6" name="Picture 1">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1" cstate="print"/>
        <a:stretch/>
      </xdr:blipFill>
      <xdr:spPr>
        <a:xfrm>
          <a:off x="426525" y="61725"/>
          <a:ext cx="371880" cy="35193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257040</xdr:colOff>
      <xdr:row>0</xdr:row>
      <xdr:rowOff>66600</xdr:rowOff>
    </xdr:from>
    <xdr:to>
      <xdr:col>0</xdr:col>
      <xdr:colOff>664200</xdr:colOff>
      <xdr:row>2</xdr:row>
      <xdr:rowOff>102240</xdr:rowOff>
    </xdr:to>
    <xdr:pic>
      <xdr:nvPicPr>
        <xdr:cNvPr id="21" name="Picture 1">
          <a:extLst>
            <a:ext uri="{FF2B5EF4-FFF2-40B4-BE49-F238E27FC236}">
              <a16:creationId xmlns:a16="http://schemas.microsoft.com/office/drawing/2014/main" id="{00000000-0008-0000-0C00-000015000000}"/>
            </a:ext>
          </a:extLst>
        </xdr:cNvPr>
        <xdr:cNvPicPr/>
      </xdr:nvPicPr>
      <xdr:blipFill>
        <a:blip xmlns:r="http://schemas.openxmlformats.org/officeDocument/2006/relationships" r:embed="rId1" cstate="print"/>
        <a:stretch/>
      </xdr:blipFill>
      <xdr:spPr>
        <a:xfrm>
          <a:off x="257040" y="66600"/>
          <a:ext cx="407160" cy="41652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intappimg.org.br/novosite/wp-content/uploads/2025/04/CCT-SINTAPPIMG-X-SINSERHT-MG-25_26.pdf" TargetMode="External"/><Relationship Id="rId1" Type="http://schemas.openxmlformats.org/officeDocument/2006/relationships/hyperlink" Target="https://sintappimg.org.br/novosite/wp-content/uploads/2025/04/CCT-SINTAPPIMG-X-SINSERHT-MG-25_26.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MK104"/>
  <sheetViews>
    <sheetView showGridLines="0" zoomScale="115" zoomScaleNormal="115" zoomScaleSheetLayoutView="140" zoomScalePageLayoutView="140" workbookViewId="0"/>
  </sheetViews>
  <sheetFormatPr defaultColWidth="8.6640625" defaultRowHeight="14.4" x14ac:dyDescent="0.3"/>
  <cols>
    <col min="1" max="1" width="6.33203125" style="1" customWidth="1"/>
    <col min="2" max="2" width="41.44140625" style="1" customWidth="1"/>
    <col min="3" max="3" width="7.88671875" style="1" customWidth="1"/>
    <col min="4" max="4" width="16.33203125" style="1" customWidth="1"/>
    <col min="5" max="5" width="12.88671875" style="1" customWidth="1"/>
    <col min="6" max="6" width="16.33203125" style="1" customWidth="1"/>
    <col min="7" max="7" width="17.6640625" style="1" customWidth="1"/>
    <col min="8" max="8" width="20" style="1" customWidth="1"/>
    <col min="9" max="10" width="16.33203125" style="1" customWidth="1"/>
    <col min="11" max="12" width="13.88671875" style="2" customWidth="1"/>
    <col min="13" max="13" width="14.33203125" style="2" customWidth="1"/>
    <col min="14" max="14" width="15.44140625" style="1" customWidth="1"/>
    <col min="15" max="15" width="12.88671875" style="1" customWidth="1"/>
    <col min="16" max="16" width="16.44140625" style="1" customWidth="1"/>
    <col min="17" max="17" width="12" style="1" customWidth="1"/>
    <col min="18" max="18" width="16.44140625" style="3" customWidth="1"/>
    <col min="19" max="19" width="10.109375" style="3" customWidth="1"/>
    <col min="20" max="20" width="13.33203125" style="3" customWidth="1"/>
    <col min="21" max="21" width="13.88671875" style="3" customWidth="1"/>
    <col min="22" max="22" width="13.6640625" style="3" customWidth="1"/>
    <col min="23" max="23" width="12.33203125" style="3" customWidth="1"/>
    <col min="24" max="256" width="9.109375" style="1" customWidth="1"/>
    <col min="257" max="257" width="6.33203125" style="1" customWidth="1"/>
    <col min="258" max="258" width="41.44140625" style="1" customWidth="1"/>
    <col min="259" max="259" width="7.88671875" style="1" customWidth="1"/>
    <col min="260" max="260" width="16.33203125" style="1" customWidth="1"/>
    <col min="261" max="261" width="12.88671875" style="1" customWidth="1"/>
    <col min="262" max="263" width="16.33203125" style="1" customWidth="1"/>
    <col min="264" max="264" width="13.33203125" style="1" customWidth="1"/>
    <col min="265" max="266" width="16.33203125" style="1" customWidth="1"/>
    <col min="267" max="268" width="13.88671875" style="1" customWidth="1"/>
    <col min="269" max="269" width="13" style="1" customWidth="1"/>
    <col min="270" max="270" width="13.5546875" style="1" customWidth="1"/>
    <col min="271" max="271" width="12.88671875" style="1" customWidth="1"/>
    <col min="272" max="272" width="14.109375" style="1" customWidth="1"/>
    <col min="273" max="273" width="12" style="1" customWidth="1"/>
    <col min="274" max="274" width="13" style="1" customWidth="1"/>
    <col min="275" max="275" width="11.88671875" style="1" customWidth="1"/>
    <col min="276" max="276" width="13.33203125" style="1" customWidth="1"/>
    <col min="277" max="277" width="12.33203125" style="1" customWidth="1"/>
    <col min="278" max="278" width="12.44140625" style="1" customWidth="1"/>
    <col min="279" max="279" width="10.5546875" style="1" customWidth="1"/>
    <col min="280" max="512" width="9.109375" style="1" customWidth="1"/>
    <col min="513" max="513" width="6.33203125" style="1" customWidth="1"/>
    <col min="514" max="514" width="41.44140625" style="1" customWidth="1"/>
    <col min="515" max="515" width="7.88671875" style="1" customWidth="1"/>
    <col min="516" max="516" width="16.33203125" style="1" customWidth="1"/>
    <col min="517" max="517" width="12.88671875" style="1" customWidth="1"/>
    <col min="518" max="519" width="16.33203125" style="1" customWidth="1"/>
    <col min="520" max="520" width="13.33203125" style="1" customWidth="1"/>
    <col min="521" max="522" width="16.33203125" style="1" customWidth="1"/>
    <col min="523" max="524" width="13.88671875" style="1" customWidth="1"/>
    <col min="525" max="525" width="13" style="1" customWidth="1"/>
    <col min="526" max="526" width="13.5546875" style="1" customWidth="1"/>
    <col min="527" max="527" width="12.88671875" style="1" customWidth="1"/>
    <col min="528" max="528" width="14.109375" style="1" customWidth="1"/>
    <col min="529" max="529" width="12" style="1" customWidth="1"/>
    <col min="530" max="530" width="13" style="1" customWidth="1"/>
    <col min="531" max="531" width="11.88671875" style="1" customWidth="1"/>
    <col min="532" max="532" width="13.33203125" style="1" customWidth="1"/>
    <col min="533" max="533" width="12.33203125" style="1" customWidth="1"/>
    <col min="534" max="534" width="12.44140625" style="1" customWidth="1"/>
    <col min="535" max="535" width="10.5546875" style="1" customWidth="1"/>
    <col min="536" max="768" width="9.109375" style="1" customWidth="1"/>
    <col min="769" max="769" width="6.33203125" style="1" customWidth="1"/>
    <col min="770" max="770" width="41.44140625" style="1" customWidth="1"/>
    <col min="771" max="771" width="7.88671875" style="1" customWidth="1"/>
    <col min="772" max="772" width="16.33203125" style="1" customWidth="1"/>
    <col min="773" max="773" width="12.88671875" style="1" customWidth="1"/>
    <col min="774" max="775" width="16.33203125" style="1" customWidth="1"/>
    <col min="776" max="776" width="13.33203125" style="1" customWidth="1"/>
    <col min="777" max="778" width="16.33203125" style="1" customWidth="1"/>
    <col min="779" max="780" width="13.88671875" style="1" customWidth="1"/>
    <col min="781" max="781" width="13" style="1" customWidth="1"/>
    <col min="782" max="782" width="13.5546875" style="1" customWidth="1"/>
    <col min="783" max="783" width="12.88671875" style="1" customWidth="1"/>
    <col min="784" max="784" width="14.109375" style="1" customWidth="1"/>
    <col min="785" max="785" width="12" style="1" customWidth="1"/>
    <col min="786" max="786" width="13" style="1" customWidth="1"/>
    <col min="787" max="787" width="11.88671875" style="1" customWidth="1"/>
    <col min="788" max="788" width="13.33203125" style="1" customWidth="1"/>
    <col min="789" max="789" width="12.33203125" style="1" customWidth="1"/>
    <col min="790" max="790" width="12.44140625" style="1" customWidth="1"/>
    <col min="791" max="791" width="10.5546875" style="1" customWidth="1"/>
    <col min="792" max="1025" width="9.109375" style="1" customWidth="1"/>
  </cols>
  <sheetData>
    <row r="1" spans="1:23" ht="17.25" customHeight="1" x14ac:dyDescent="0.3">
      <c r="A1" s="4"/>
      <c r="B1" s="5" t="str">
        <f>INSTRUÇÕES!B1</f>
        <v>Tribunal Regional Federal da 6ª Região</v>
      </c>
      <c r="T1" s="6"/>
      <c r="U1" s="6"/>
      <c r="V1" s="6"/>
    </row>
    <row r="2" spans="1:23" s="11" customFormat="1" ht="19.5" customHeight="1" x14ac:dyDescent="0.3">
      <c r="A2" s="7"/>
      <c r="B2" s="8" t="str">
        <f>INSTRUÇÕES!B2</f>
        <v>Seção Judiciária de Minas Gerais</v>
      </c>
      <c r="C2" s="582" t="s">
        <v>0</v>
      </c>
      <c r="D2" s="582"/>
      <c r="E2" s="582"/>
      <c r="F2" s="582"/>
      <c r="G2" s="582"/>
      <c r="H2" s="582"/>
      <c r="I2" s="582"/>
      <c r="J2" s="582"/>
      <c r="K2" s="582"/>
      <c r="L2" s="582"/>
      <c r="M2" s="582"/>
      <c r="N2" s="582"/>
      <c r="O2" s="582"/>
      <c r="P2" s="582"/>
      <c r="Q2" s="582"/>
      <c r="R2" s="582"/>
      <c r="S2" s="582"/>
      <c r="T2" s="9"/>
      <c r="U2" s="9"/>
      <c r="V2" s="9"/>
      <c r="W2" s="10"/>
    </row>
    <row r="3" spans="1:23" s="11" customFormat="1" ht="23.4" x14ac:dyDescent="0.3">
      <c r="A3" s="7"/>
      <c r="B3" s="12" t="str">
        <f>INSTRUÇÕES!B3</f>
        <v>Subseção Judiciária de Passos</v>
      </c>
      <c r="C3" s="582" t="s">
        <v>1</v>
      </c>
      <c r="D3" s="582"/>
      <c r="E3" s="582"/>
      <c r="F3" s="582"/>
      <c r="G3" s="582"/>
      <c r="H3" s="582"/>
      <c r="I3" s="582"/>
      <c r="J3" s="582"/>
      <c r="K3" s="582"/>
      <c r="L3" s="582"/>
      <c r="M3" s="582"/>
      <c r="N3" s="582"/>
      <c r="O3" s="582"/>
      <c r="P3" s="582"/>
      <c r="Q3" s="582"/>
      <c r="R3" s="582"/>
      <c r="S3" s="582"/>
      <c r="W3" s="10"/>
    </row>
    <row r="4" spans="1:23" s="17" customFormat="1" ht="30.75" customHeight="1" x14ac:dyDescent="0.3">
      <c r="A4" s="583" t="s">
        <v>2</v>
      </c>
      <c r="B4" s="583"/>
      <c r="C4" s="583"/>
      <c r="D4" s="584" t="s">
        <v>3</v>
      </c>
      <c r="E4" s="584"/>
      <c r="F4" s="14"/>
      <c r="G4" s="14"/>
      <c r="H4" s="14"/>
      <c r="I4" s="14"/>
      <c r="J4" s="15"/>
      <c r="K4" s="15"/>
      <c r="L4" s="15"/>
      <c r="M4" s="15"/>
      <c r="N4" s="15"/>
      <c r="O4" s="16"/>
      <c r="R4" s="18"/>
      <c r="S4" s="18"/>
      <c r="T4" s="18"/>
      <c r="U4" s="18"/>
      <c r="V4" s="18"/>
      <c r="W4" s="18"/>
    </row>
    <row r="5" spans="1:23" s="17" customFormat="1" ht="23.25" customHeight="1" x14ac:dyDescent="0.3">
      <c r="A5" s="583" t="s">
        <v>4</v>
      </c>
      <c r="B5" s="583"/>
      <c r="C5" s="583"/>
      <c r="D5" s="13" t="s">
        <v>5</v>
      </c>
      <c r="E5" s="19">
        <f>VLOOKUP(D5,B87:C90,2,FALSE())</f>
        <v>30</v>
      </c>
      <c r="F5" s="14" t="str">
        <f>VLOOKUP(D5,B88:D90,3,FALSE())</f>
        <v>Obs: Desconto atualmente aplicado (30 dias corridos).</v>
      </c>
      <c r="G5" s="14"/>
      <c r="H5" s="14"/>
      <c r="I5" s="14"/>
      <c r="J5" s="15"/>
      <c r="K5" s="15"/>
      <c r="L5" s="15"/>
      <c r="M5" s="15"/>
      <c r="N5" s="15"/>
      <c r="O5" s="16"/>
      <c r="R5" s="18"/>
      <c r="S5" s="18"/>
      <c r="T5" s="18"/>
      <c r="U5" s="18"/>
      <c r="V5" s="18"/>
      <c r="W5" s="18"/>
    </row>
    <row r="6" spans="1:23" s="17" customFormat="1" ht="12" customHeight="1" thickBot="1" x14ac:dyDescent="0.35">
      <c r="A6" s="15"/>
      <c r="B6" s="15"/>
      <c r="C6" s="15"/>
      <c r="D6" s="15"/>
      <c r="E6" s="15"/>
      <c r="F6" s="15"/>
      <c r="G6" s="15"/>
      <c r="H6" s="15"/>
      <c r="I6" s="15"/>
      <c r="J6" s="15"/>
      <c r="K6" s="15"/>
      <c r="L6" s="15"/>
      <c r="M6" s="15"/>
      <c r="N6" s="15"/>
      <c r="O6" s="16"/>
      <c r="R6" s="18"/>
      <c r="S6" s="18"/>
      <c r="T6" s="18"/>
      <c r="U6" s="18"/>
      <c r="V6" s="18"/>
      <c r="W6" s="18"/>
    </row>
    <row r="7" spans="1:23" s="17" customFormat="1" ht="31.5" customHeight="1" thickBot="1" x14ac:dyDescent="0.35">
      <c r="A7" s="585" t="s">
        <v>6</v>
      </c>
      <c r="B7" s="585"/>
      <c r="C7" s="585"/>
      <c r="D7" s="586" t="s">
        <v>7</v>
      </c>
      <c r="E7" s="587" t="s">
        <v>8</v>
      </c>
      <c r="F7" s="588" t="s">
        <v>9</v>
      </c>
      <c r="G7" s="588" t="s">
        <v>10</v>
      </c>
      <c r="H7" s="586" t="s">
        <v>11</v>
      </c>
      <c r="I7" s="587" t="s">
        <v>12</v>
      </c>
      <c r="J7" s="588" t="s">
        <v>13</v>
      </c>
      <c r="K7" s="589" t="s">
        <v>14</v>
      </c>
      <c r="L7" s="590" t="s">
        <v>15</v>
      </c>
      <c r="M7" s="590" t="s">
        <v>16</v>
      </c>
      <c r="N7" s="591" t="s">
        <v>17</v>
      </c>
      <c r="O7" s="592" t="s">
        <v>18</v>
      </c>
      <c r="P7" s="588" t="s">
        <v>19</v>
      </c>
      <c r="Q7" s="588" t="s">
        <v>20</v>
      </c>
      <c r="R7" s="589" t="s">
        <v>21</v>
      </c>
      <c r="S7" s="587" t="s">
        <v>22</v>
      </c>
      <c r="T7" s="574" t="s">
        <v>23</v>
      </c>
      <c r="U7" s="574"/>
      <c r="V7" s="574"/>
      <c r="W7" s="574"/>
    </row>
    <row r="8" spans="1:23" s="17" customFormat="1" ht="31.5" customHeight="1" thickBot="1" x14ac:dyDescent="0.35">
      <c r="A8" s="585"/>
      <c r="B8" s="585"/>
      <c r="C8" s="585"/>
      <c r="D8" s="586"/>
      <c r="E8" s="587"/>
      <c r="F8" s="588"/>
      <c r="G8" s="588"/>
      <c r="H8" s="586"/>
      <c r="I8" s="587"/>
      <c r="J8" s="588"/>
      <c r="K8" s="589"/>
      <c r="L8" s="590"/>
      <c r="M8" s="590"/>
      <c r="N8" s="591"/>
      <c r="O8" s="592"/>
      <c r="P8" s="588"/>
      <c r="Q8" s="588"/>
      <c r="R8" s="589"/>
      <c r="S8" s="587"/>
      <c r="T8" s="574"/>
      <c r="U8" s="574"/>
      <c r="V8" s="574"/>
      <c r="W8" s="574"/>
    </row>
    <row r="9" spans="1:23" s="17" customFormat="1" ht="31.5" customHeight="1" thickBot="1" x14ac:dyDescent="0.35">
      <c r="A9" s="585"/>
      <c r="B9" s="585"/>
      <c r="C9" s="585"/>
      <c r="D9" s="586"/>
      <c r="E9" s="587"/>
      <c r="F9" s="588"/>
      <c r="G9" s="588"/>
      <c r="H9" s="586"/>
      <c r="I9" s="587"/>
      <c r="J9" s="588"/>
      <c r="K9" s="589"/>
      <c r="L9" s="590"/>
      <c r="M9" s="590"/>
      <c r="N9" s="591"/>
      <c r="O9" s="592"/>
      <c r="P9" s="588"/>
      <c r="Q9" s="588"/>
      <c r="R9" s="589"/>
      <c r="S9" s="587"/>
      <c r="T9" s="574"/>
      <c r="U9" s="574"/>
      <c r="V9" s="574"/>
      <c r="W9" s="574"/>
    </row>
    <row r="10" spans="1:23" s="17" customFormat="1" ht="69" x14ac:dyDescent="0.3">
      <c r="A10" s="20" t="s">
        <v>24</v>
      </c>
      <c r="B10" s="21" t="s">
        <v>25</v>
      </c>
      <c r="C10" s="21" t="s">
        <v>26</v>
      </c>
      <c r="D10" s="22" t="s">
        <v>27</v>
      </c>
      <c r="E10" s="20" t="s">
        <v>28</v>
      </c>
      <c r="F10" s="21" t="s">
        <v>29</v>
      </c>
      <c r="G10" s="21" t="s">
        <v>30</v>
      </c>
      <c r="H10" s="22" t="s">
        <v>31</v>
      </c>
      <c r="I10" s="20" t="s">
        <v>32</v>
      </c>
      <c r="J10" s="21" t="s">
        <v>33</v>
      </c>
      <c r="K10" s="23" t="s">
        <v>33</v>
      </c>
      <c r="L10" s="24" t="s">
        <v>34</v>
      </c>
      <c r="M10" s="24" t="s">
        <v>35</v>
      </c>
      <c r="N10" s="24" t="s">
        <v>36</v>
      </c>
      <c r="O10" s="25" t="s">
        <v>37</v>
      </c>
      <c r="P10" s="21" t="s">
        <v>38</v>
      </c>
      <c r="Q10" s="21" t="s">
        <v>39</v>
      </c>
      <c r="R10" s="23" t="s">
        <v>40</v>
      </c>
      <c r="S10" s="20" t="s">
        <v>41</v>
      </c>
      <c r="T10" s="21" t="s">
        <v>42</v>
      </c>
      <c r="U10" s="21" t="s">
        <v>43</v>
      </c>
      <c r="V10" s="21" t="s">
        <v>44</v>
      </c>
      <c r="W10" s="23" t="s">
        <v>45</v>
      </c>
    </row>
    <row r="11" spans="1:23" s="17" customFormat="1" ht="15.6" x14ac:dyDescent="0.3">
      <c r="A11" s="26">
        <f>Dados!B7</f>
        <v>1</v>
      </c>
      <c r="B11" s="27" t="str">
        <f>Dados!C7</f>
        <v>Servente de Limpeza com insalubridade 40%</v>
      </c>
      <c r="C11" s="28">
        <f>Dados!D7</f>
        <v>200</v>
      </c>
      <c r="D11" s="29">
        <v>0</v>
      </c>
      <c r="E11" s="26" t="s">
        <v>46</v>
      </c>
      <c r="F11" s="28">
        <f>IF(E11="NÃO",0,D11*Dados!$G$34)</f>
        <v>0</v>
      </c>
      <c r="G11" s="30">
        <v>0</v>
      </c>
      <c r="H11" s="29">
        <v>0</v>
      </c>
      <c r="I11" s="31">
        <v>0</v>
      </c>
      <c r="J11" s="30">
        <v>0</v>
      </c>
      <c r="K11" s="32">
        <f>I11+J11</f>
        <v>0</v>
      </c>
      <c r="L11" s="33">
        <v>0</v>
      </c>
      <c r="M11" s="33">
        <v>0</v>
      </c>
      <c r="N11" s="34"/>
      <c r="O11" s="35">
        <f>Resumo!S12</f>
        <v>0</v>
      </c>
      <c r="P11" s="36">
        <f>Resumo!V12</f>
        <v>0</v>
      </c>
      <c r="Q11" s="37">
        <f>Resumo!W12</f>
        <v>6056.98</v>
      </c>
      <c r="R11" s="425">
        <f>Dados!O7+Dados!P7</f>
        <v>498.73</v>
      </c>
      <c r="S11" s="26">
        <f>Dados!S7</f>
        <v>2</v>
      </c>
      <c r="T11" s="38">
        <f>ROUND((Dados!M7*Encargos!$H$59*A11),2)</f>
        <v>693.41</v>
      </c>
      <c r="U11" s="38" t="s">
        <v>47</v>
      </c>
      <c r="V11" s="39">
        <f>SUMIF($S$11:$S$14,1,$Q$11:$Q$14)</f>
        <v>4900.8500000000004</v>
      </c>
      <c r="W11" s="40">
        <f>SUMIF($S$11:$S$14,1,$T$11:$T$14)</f>
        <v>617.01</v>
      </c>
    </row>
    <row r="12" spans="1:23" s="17" customFormat="1" ht="15.6" x14ac:dyDescent="0.3">
      <c r="A12" s="26">
        <f>Dados!B8</f>
        <v>1</v>
      </c>
      <c r="B12" s="27" t="str">
        <f>Dados!C8</f>
        <v>Servente de Limpeza acúmulo de função Copeira</v>
      </c>
      <c r="C12" s="28">
        <f>Dados!D8</f>
        <v>200</v>
      </c>
      <c r="D12" s="29">
        <v>0</v>
      </c>
      <c r="E12" s="26" t="s">
        <v>46</v>
      </c>
      <c r="F12" s="28">
        <f>IF(E12="NÃO",0,D12*Dados!$G$34)</f>
        <v>0</v>
      </c>
      <c r="G12" s="30">
        <v>0</v>
      </c>
      <c r="H12" s="29">
        <v>0</v>
      </c>
      <c r="I12" s="31">
        <v>0</v>
      </c>
      <c r="J12" s="30">
        <v>0</v>
      </c>
      <c r="K12" s="32">
        <f>I12+J12</f>
        <v>0</v>
      </c>
      <c r="L12" s="33">
        <v>0</v>
      </c>
      <c r="M12" s="33">
        <v>0</v>
      </c>
      <c r="N12" s="33">
        <v>0</v>
      </c>
      <c r="O12" s="35">
        <f>Resumo!S13</f>
        <v>0</v>
      </c>
      <c r="P12" s="38">
        <f>Resumo!V13</f>
        <v>0</v>
      </c>
      <c r="Q12" s="37">
        <f>Resumo!W13</f>
        <v>5025.8500000000004</v>
      </c>
      <c r="R12" s="425">
        <f>Dados!O8+Dados!P8</f>
        <v>658.32500000000005</v>
      </c>
      <c r="S12" s="26">
        <f>Dados!S8</f>
        <v>2</v>
      </c>
      <c r="T12" s="38">
        <f>ROUND((Dados!M8*Encargos!$H$59*A12),2)</f>
        <v>506.95</v>
      </c>
      <c r="U12" s="38" t="s">
        <v>47</v>
      </c>
      <c r="V12" s="39">
        <f>SUMIF($S$11:$S$14,2,$Q$11:$Q$14)</f>
        <v>20883.47</v>
      </c>
      <c r="W12" s="40">
        <f>SUMIF($S$11:$S$14,2,$T$11:$T$14)</f>
        <v>2588.62</v>
      </c>
    </row>
    <row r="13" spans="1:23" s="17" customFormat="1" ht="15.6" x14ac:dyDescent="0.3">
      <c r="A13" s="26">
        <f>Dados!B9</f>
        <v>3</v>
      </c>
      <c r="B13" s="27" t="str">
        <f>Dados!C9</f>
        <v>Auxiliar Administrativo</v>
      </c>
      <c r="C13" s="28">
        <f>Dados!D9</f>
        <v>150</v>
      </c>
      <c r="D13" s="29">
        <v>0</v>
      </c>
      <c r="E13" s="26" t="s">
        <v>46</v>
      </c>
      <c r="F13" s="28">
        <f>IF(E13="NÃO",0,D13*Dados!$G$34)</f>
        <v>0</v>
      </c>
      <c r="G13" s="30">
        <v>0</v>
      </c>
      <c r="H13" s="29">
        <v>0</v>
      </c>
      <c r="I13" s="31">
        <v>0</v>
      </c>
      <c r="J13" s="30">
        <v>0</v>
      </c>
      <c r="K13" s="32">
        <f>I13+J13</f>
        <v>0</v>
      </c>
      <c r="L13" s="33">
        <v>0</v>
      </c>
      <c r="M13" s="33">
        <v>0</v>
      </c>
      <c r="N13" s="34"/>
      <c r="O13" s="41">
        <f>Resumo!S14</f>
        <v>0</v>
      </c>
      <c r="P13" s="36">
        <f>Resumo!V14</f>
        <v>0</v>
      </c>
      <c r="Q13" s="38">
        <f>Resumo!W14</f>
        <v>9800.64</v>
      </c>
      <c r="R13" s="425">
        <f>Dados!O9+Dados!P9</f>
        <v>0</v>
      </c>
      <c r="S13" s="26">
        <f>Dados!S9</f>
        <v>2</v>
      </c>
      <c r="T13" s="38">
        <f>ROUND((Dados!M9*Encargos!$H$59*A13),2)</f>
        <v>1388.26</v>
      </c>
      <c r="U13" s="38" t="s">
        <v>47</v>
      </c>
      <c r="V13" s="39">
        <f>SUMIF($S$11:$S$14,4,$Q$11:$Q$14)</f>
        <v>0</v>
      </c>
      <c r="W13" s="40">
        <f>SUMIF($S$11:$S$14,4,$T$11:$T$14)</f>
        <v>0</v>
      </c>
    </row>
    <row r="14" spans="1:23" s="17" customFormat="1" ht="16.2" thickBot="1" x14ac:dyDescent="0.35">
      <c r="A14" s="26">
        <f>Dados!B10</f>
        <v>1</v>
      </c>
      <c r="B14" s="27" t="str">
        <f>Dados!C10</f>
        <v>Auxiliar Administrativo</v>
      </c>
      <c r="C14" s="28">
        <f>Dados!D10</f>
        <v>200</v>
      </c>
      <c r="D14" s="29">
        <v>0</v>
      </c>
      <c r="E14" s="42" t="s">
        <v>46</v>
      </c>
      <c r="F14" s="43">
        <f>IF(E14="NÃO",0,D14*Dados!$G$34)</f>
        <v>0</v>
      </c>
      <c r="G14" s="44">
        <v>0</v>
      </c>
      <c r="H14" s="45">
        <v>0</v>
      </c>
      <c r="I14" s="46">
        <v>0</v>
      </c>
      <c r="J14" s="44">
        <v>0</v>
      </c>
      <c r="K14" s="47">
        <f>I14+J14</f>
        <v>0</v>
      </c>
      <c r="L14" s="48">
        <v>0</v>
      </c>
      <c r="M14" s="48">
        <v>0</v>
      </c>
      <c r="N14" s="34"/>
      <c r="O14" s="41">
        <f>Resumo!S15</f>
        <v>0</v>
      </c>
      <c r="P14" s="36">
        <f>Resumo!V15</f>
        <v>0</v>
      </c>
      <c r="Q14" s="38">
        <f>Resumo!W15</f>
        <v>4900.8500000000004</v>
      </c>
      <c r="R14" s="425">
        <f>Dados!O10+Dados!P10</f>
        <v>0</v>
      </c>
      <c r="S14" s="26">
        <f>Dados!S10</f>
        <v>1</v>
      </c>
      <c r="T14" s="38">
        <f>ROUND((Dados!M10*Encargos!$H$59*A14),2)</f>
        <v>617.01</v>
      </c>
      <c r="U14" s="38" t="s">
        <v>48</v>
      </c>
      <c r="V14" s="39">
        <f>SUMIF($S$11:$S$14,5,$Q$11:$Q$14)</f>
        <v>0</v>
      </c>
      <c r="W14" s="40">
        <f>SUMIF($S$11:$S$14,5,$T$11:$T$14)</f>
        <v>0</v>
      </c>
    </row>
    <row r="15" spans="1:23" s="57" customFormat="1" ht="13.5" customHeight="1" thickBot="1" x14ac:dyDescent="0.35">
      <c r="A15" s="575" t="s">
        <v>49</v>
      </c>
      <c r="B15" s="575"/>
      <c r="C15" s="575"/>
      <c r="D15" s="575"/>
      <c r="E15" s="575"/>
      <c r="F15" s="575"/>
      <c r="G15" s="575"/>
      <c r="H15" s="49">
        <f>Resumo!I16</f>
        <v>0</v>
      </c>
      <c r="I15" s="576"/>
      <c r="J15" s="576"/>
      <c r="K15" s="50">
        <f>Resumo!L16</f>
        <v>0</v>
      </c>
      <c r="L15" s="51">
        <f>Resumo!O16</f>
        <v>0</v>
      </c>
      <c r="M15" s="51">
        <f>Resumo!R16</f>
        <v>0</v>
      </c>
      <c r="N15" s="52">
        <f>Resumo!V16</f>
        <v>0</v>
      </c>
      <c r="O15" s="53">
        <f>(H15+K15+L15+M15)</f>
        <v>0</v>
      </c>
      <c r="P15" s="54">
        <f>Resumo!V16</f>
        <v>0</v>
      </c>
      <c r="Q15" s="54">
        <f>SUM(Q11:Q14)</f>
        <v>25784.32</v>
      </c>
      <c r="R15" s="55">
        <f>SUM(R11:R14)</f>
        <v>1157.0550000000001</v>
      </c>
      <c r="S15" s="56"/>
      <c r="T15" s="54">
        <f>SUM(T11:T14)</f>
        <v>3205.63</v>
      </c>
      <c r="U15" s="54"/>
      <c r="V15" s="54">
        <f>SUM(V11:V14)</f>
        <v>25784.32</v>
      </c>
      <c r="W15" s="55">
        <f>SUM(W11:W14)</f>
        <v>3205.63</v>
      </c>
    </row>
    <row r="16" spans="1:23" x14ac:dyDescent="0.3">
      <c r="A16" s="58" t="s">
        <v>50</v>
      </c>
      <c r="B16" s="59"/>
      <c r="C16" s="59"/>
      <c r="D16" s="59"/>
      <c r="E16" s="59"/>
      <c r="F16" s="59"/>
      <c r="G16" s="59"/>
      <c r="H16" s="59"/>
      <c r="I16" s="59"/>
      <c r="J16" s="59"/>
    </row>
    <row r="17" spans="1:23" x14ac:dyDescent="0.3">
      <c r="A17" s="60" t="s">
        <v>51</v>
      </c>
      <c r="B17" s="61"/>
      <c r="C17" s="61"/>
      <c r="D17" s="61"/>
      <c r="E17" s="61"/>
      <c r="F17" s="61"/>
      <c r="G17" s="61"/>
      <c r="H17" s="61"/>
      <c r="I17" s="61"/>
      <c r="J17" s="61"/>
    </row>
    <row r="18" spans="1:23" s="57" customFormat="1" ht="25.5" customHeight="1" x14ac:dyDescent="0.3">
      <c r="A18" s="564" t="s">
        <v>52</v>
      </c>
      <c r="B18" s="564"/>
      <c r="C18" s="62" t="s">
        <v>53</v>
      </c>
      <c r="D18" s="62" t="s">
        <v>54</v>
      </c>
      <c r="E18" s="62" t="s">
        <v>55</v>
      </c>
      <c r="F18" s="62" t="s">
        <v>56</v>
      </c>
      <c r="H18" s="60"/>
      <c r="I18" s="63"/>
      <c r="J18" s="60"/>
      <c r="K18" s="63"/>
      <c r="L18" s="63"/>
      <c r="M18" s="63"/>
      <c r="R18" s="63"/>
      <c r="S18" s="63"/>
      <c r="T18" s="63"/>
      <c r="U18" s="63"/>
      <c r="V18" s="63"/>
      <c r="W18" s="63"/>
    </row>
    <row r="19" spans="1:23" s="57" customFormat="1" ht="13.8" x14ac:dyDescent="0.3">
      <c r="A19" s="564"/>
      <c r="B19" s="564"/>
      <c r="C19" s="64">
        <v>220</v>
      </c>
      <c r="D19" s="64">
        <v>10</v>
      </c>
      <c r="E19" s="64">
        <v>25</v>
      </c>
      <c r="F19" s="65">
        <f>ROUND((D19/VLOOKUP(C19,$B$93:$C$99,2,FALSE())+E19/60/VLOOKUP(C19,$B$93:$C$99,2,FALSE())),2)</f>
        <v>1.18</v>
      </c>
      <c r="H19" s="60"/>
      <c r="I19" s="63"/>
      <c r="J19" s="60"/>
      <c r="K19" s="63"/>
      <c r="L19" s="63"/>
      <c r="M19" s="63"/>
      <c r="R19" s="63"/>
      <c r="S19" s="63"/>
      <c r="T19" s="63"/>
      <c r="U19" s="63"/>
      <c r="V19" s="63"/>
      <c r="W19" s="63"/>
    </row>
    <row r="20" spans="1:23" s="57" customFormat="1" ht="15" customHeight="1" x14ac:dyDescent="0.3">
      <c r="A20" s="577" t="s">
        <v>57</v>
      </c>
      <c r="B20" s="577"/>
      <c r="C20" s="577"/>
      <c r="D20" s="577"/>
      <c r="E20" s="577"/>
      <c r="F20" s="577"/>
      <c r="G20" s="14"/>
      <c r="H20" s="14"/>
      <c r="I20" s="14"/>
      <c r="J20" s="60"/>
      <c r="K20" s="63"/>
      <c r="L20" s="63"/>
      <c r="M20" s="63"/>
      <c r="R20" s="63"/>
      <c r="S20" s="63"/>
      <c r="T20" s="63"/>
      <c r="U20" s="63"/>
      <c r="V20" s="63"/>
      <c r="W20" s="63"/>
    </row>
    <row r="21" spans="1:23" s="57" customFormat="1" x14ac:dyDescent="0.3">
      <c r="A21" s="577"/>
      <c r="B21" s="577"/>
      <c r="C21" s="577"/>
      <c r="D21" s="577"/>
      <c r="E21" s="577"/>
      <c r="F21" s="577"/>
      <c r="G21" s="14"/>
      <c r="H21" s="66"/>
      <c r="I21" s="14"/>
      <c r="J21" s="60"/>
      <c r="K21" s="63"/>
      <c r="L21" s="63"/>
      <c r="M21" s="63"/>
      <c r="R21" s="63"/>
      <c r="S21" s="63"/>
      <c r="T21" s="63"/>
      <c r="U21" s="63"/>
      <c r="V21" s="63"/>
      <c r="W21" s="63"/>
    </row>
    <row r="22" spans="1:23" x14ac:dyDescent="0.3">
      <c r="A22" s="60" t="s">
        <v>58</v>
      </c>
      <c r="B22" s="59"/>
      <c r="C22" s="59"/>
      <c r="D22" s="59"/>
      <c r="E22" s="59"/>
      <c r="F22" s="59"/>
      <c r="G22" s="59"/>
      <c r="H22" s="59"/>
      <c r="I22" s="59"/>
      <c r="J22" s="59"/>
    </row>
    <row r="23" spans="1:23" ht="15" thickBot="1" x14ac:dyDescent="0.35">
      <c r="A23" s="59"/>
      <c r="B23" s="59"/>
      <c r="C23" s="59"/>
      <c r="D23" s="59"/>
      <c r="E23" s="59"/>
      <c r="F23" s="59"/>
      <c r="G23" s="59"/>
      <c r="H23" s="59"/>
      <c r="I23" s="59"/>
      <c r="J23" s="59"/>
      <c r="N23" s="67"/>
      <c r="O23" s="68"/>
      <c r="P23" s="68"/>
    </row>
    <row r="24" spans="1:23" ht="30.75" customHeight="1" thickBot="1" x14ac:dyDescent="0.35">
      <c r="A24" s="556" t="s">
        <v>59</v>
      </c>
      <c r="B24" s="578" t="s">
        <v>60</v>
      </c>
      <c r="C24" s="578"/>
      <c r="D24" s="578"/>
      <c r="E24" s="578"/>
      <c r="F24" s="579" t="s">
        <v>61</v>
      </c>
      <c r="G24" s="579"/>
      <c r="H24" s="579"/>
      <c r="I24" s="580" t="s">
        <v>62</v>
      </c>
      <c r="J24" s="580"/>
      <c r="K24" s="580"/>
      <c r="L24" s="581" t="s">
        <v>63</v>
      </c>
      <c r="M24" s="581"/>
      <c r="N24" s="581"/>
      <c r="O24" s="581"/>
      <c r="V24" s="1"/>
      <c r="W24" s="1"/>
    </row>
    <row r="25" spans="1:23" ht="38.25" customHeight="1" x14ac:dyDescent="0.3">
      <c r="A25" s="556"/>
      <c r="B25" s="564" t="s">
        <v>64</v>
      </c>
      <c r="C25" s="564"/>
      <c r="D25" s="564"/>
      <c r="E25" s="62" t="s">
        <v>65</v>
      </c>
      <c r="F25" s="62" t="s">
        <v>66</v>
      </c>
      <c r="G25" s="62" t="s">
        <v>67</v>
      </c>
      <c r="H25" s="72" t="s">
        <v>68</v>
      </c>
      <c r="I25" s="580"/>
      <c r="J25" s="580"/>
      <c r="K25" s="580"/>
      <c r="L25" s="69" t="s">
        <v>69</v>
      </c>
      <c r="M25" s="70" t="s">
        <v>70</v>
      </c>
      <c r="N25" s="70" t="s">
        <v>71</v>
      </c>
      <c r="O25" s="71" t="s">
        <v>72</v>
      </c>
      <c r="V25" s="14"/>
      <c r="W25" s="1"/>
    </row>
    <row r="26" spans="1:23" ht="34.950000000000003" customHeight="1" x14ac:dyDescent="0.3">
      <c r="A26" s="73">
        <v>1</v>
      </c>
      <c r="B26" s="560" t="str">
        <f>Insumos!B9</f>
        <v>Água sanitária galão de 5 litros, composição do produto: hipoclorito de sódio 2,5%, hidróxido de sódio e veículo.,teor de cloro ativo entre 2,0 e 2,5% p/p.</v>
      </c>
      <c r="C26" s="561"/>
      <c r="D26" s="562"/>
      <c r="E26" s="81" t="str">
        <f>Insumos!C9</f>
        <v>Galão</v>
      </c>
      <c r="F26" s="81" t="str">
        <f>Insumos!D9</f>
        <v>Santa Clara</v>
      </c>
      <c r="G26" s="74">
        <f t="shared" ref="G26" si="0">IF($D$4="PLANILHA PARA LICITAÇÃO (PRECIFICAÇÃO)",L26,0)</f>
        <v>1</v>
      </c>
      <c r="H26" s="75">
        <f>G26*Insumos!G9</f>
        <v>15.23</v>
      </c>
      <c r="I26" s="557" t="str">
        <f t="shared" ref="I26:I60" si="1">IF(G26&lt;L26,"Fornecimento inferior ao estimado mensalmente",IF(G26=L26,"Fornecimento igual ao estimado mensalmente",IF(G26&gt;L26,"Fornecimento superior ao estimado mensalmente",)))</f>
        <v>Fornecimento igual ao estimado mensalmente</v>
      </c>
      <c r="J26" s="558"/>
      <c r="K26" s="559"/>
      <c r="L26" s="76">
        <f t="shared" ref="L26" si="2">M26/O26</f>
        <v>1</v>
      </c>
      <c r="M26" s="77">
        <f>Insumos!E9</f>
        <v>2</v>
      </c>
      <c r="N26" s="78" t="str">
        <f>Insumos!F9</f>
        <v>bimestral</v>
      </c>
      <c r="O26" s="79">
        <f t="shared" ref="O26" si="3">IF(N26="MENSAL",1,IF(N26="BIMESTRAL",2,IF(N26="TRIMESTRAL",3,IF(N26="QUADRIMESTRAL",4,IF(N26="SEMESTRAL",6,IF(N26="ANUAL",12,IF(N26="BIENAL",24,"")))))))</f>
        <v>2</v>
      </c>
      <c r="W26" s="1"/>
    </row>
    <row r="27" spans="1:23" ht="72" customHeight="1" x14ac:dyDescent="0.3">
      <c r="A27" s="80">
        <v>2</v>
      </c>
      <c r="B27" s="560" t="str">
        <f>Insumos!B10</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7" s="561"/>
      <c r="D27" s="562"/>
      <c r="E27" s="81" t="str">
        <f>Insumos!C10</f>
        <v>Galão</v>
      </c>
      <c r="F27" s="81" t="str">
        <f>Insumos!D10</f>
        <v>Asseptgel</v>
      </c>
      <c r="G27" s="74">
        <f t="shared" ref="G27:G60" si="4">IF($D$4="PLANILHA PARA LICITAÇÃO (PRECIFICAÇÃO)",L27,0)</f>
        <v>2</v>
      </c>
      <c r="H27" s="75">
        <f>G27*Insumos!G10</f>
        <v>114.78</v>
      </c>
      <c r="I27" s="557" t="str">
        <f t="shared" si="1"/>
        <v>Fornecimento igual ao estimado mensalmente</v>
      </c>
      <c r="J27" s="558"/>
      <c r="K27" s="559"/>
      <c r="L27" s="76">
        <f t="shared" ref="L27:L60" si="5">M27/O27</f>
        <v>2</v>
      </c>
      <c r="M27" s="77">
        <f>Insumos!E10</f>
        <v>2</v>
      </c>
      <c r="N27" s="78" t="str">
        <f>Insumos!F10</f>
        <v>mensal</v>
      </c>
      <c r="O27" s="79">
        <f t="shared" ref="O27:O60" si="6">IF(N27="MENSAL",1,IF(N27="BIMESTRAL",2,IF(N27="TRIMESTRAL",3,IF(N27="QUADRIMESTRAL",4,IF(N27="SEMESTRAL",6,IF(N27="ANUAL",12,IF(N27="BIENAL",24,"")))))))</f>
        <v>1</v>
      </c>
      <c r="W27" s="1"/>
    </row>
    <row r="28" spans="1:23" ht="26.4" customHeight="1" x14ac:dyDescent="0.3">
      <c r="A28" s="80">
        <v>3</v>
      </c>
      <c r="B28" s="560" t="str">
        <f>Insumos!B11</f>
        <v>Álcool Líquido 1 Litro: Etilico Hidratado, para limpeza em geral, teor alcoolico 70 inpm. Aprovação Anvisa; Produto devera estar de acordo com legislacão vigente</v>
      </c>
      <c r="C28" s="561"/>
      <c r="D28" s="562"/>
      <c r="E28" s="81" t="str">
        <f>Insumos!C11</f>
        <v>unid.</v>
      </c>
      <c r="F28" s="81" t="str">
        <f>Insumos!D11</f>
        <v>Facilita</v>
      </c>
      <c r="G28" s="74">
        <f t="shared" si="4"/>
        <v>4</v>
      </c>
      <c r="H28" s="75">
        <f>G28*Insumos!G11</f>
        <v>29.52</v>
      </c>
      <c r="I28" s="557" t="str">
        <f t="shared" si="1"/>
        <v>Fornecimento igual ao estimado mensalmente</v>
      </c>
      <c r="J28" s="558"/>
      <c r="K28" s="559"/>
      <c r="L28" s="76">
        <f t="shared" si="5"/>
        <v>4</v>
      </c>
      <c r="M28" s="77">
        <f>Insumos!E11</f>
        <v>4</v>
      </c>
      <c r="N28" s="78" t="str">
        <f>Insumos!F11</f>
        <v>mensal</v>
      </c>
      <c r="O28" s="79">
        <f t="shared" si="6"/>
        <v>1</v>
      </c>
      <c r="W28" s="1"/>
    </row>
    <row r="29" spans="1:23" ht="45" customHeight="1" x14ac:dyDescent="0.3">
      <c r="A29" s="73">
        <v>5</v>
      </c>
      <c r="B29" s="560" t="str">
        <f>Insumos!B12</f>
        <v>Balde plástico em polietileno de alta densidade, alta resistência a impacto, com paredes e fundo reforçados, com reforço no encaixe da alça de aço zincado constando no corpo a marcado fabricante, capacidade de 12 litros.</v>
      </c>
      <c r="C29" s="561"/>
      <c r="D29" s="562"/>
      <c r="E29" s="81" t="str">
        <f>Insumos!C12</f>
        <v>unid.</v>
      </c>
      <c r="F29" s="81" t="str">
        <f>Insumos!D12</f>
        <v>Arqplast</v>
      </c>
      <c r="G29" s="74">
        <f t="shared" si="4"/>
        <v>0.16666666666666666</v>
      </c>
      <c r="H29" s="75">
        <f>G29*Insumos!G12</f>
        <v>2.9333333333333336</v>
      </c>
      <c r="I29" s="557" t="str">
        <f t="shared" si="1"/>
        <v>Fornecimento igual ao estimado mensalmente</v>
      </c>
      <c r="J29" s="558"/>
      <c r="K29" s="559"/>
      <c r="L29" s="76">
        <f t="shared" si="5"/>
        <v>0.16666666666666666</v>
      </c>
      <c r="M29" s="77">
        <f>Insumos!E12</f>
        <v>2</v>
      </c>
      <c r="N29" s="78" t="str">
        <f>Insumos!F12</f>
        <v>anual</v>
      </c>
      <c r="O29" s="79">
        <f t="shared" si="6"/>
        <v>12</v>
      </c>
      <c r="W29" s="1"/>
    </row>
    <row r="30" spans="1:23" ht="45" customHeight="1" x14ac:dyDescent="0.3">
      <c r="A30" s="80">
        <v>6</v>
      </c>
      <c r="B30" s="560" t="str">
        <f>Insumos!B13</f>
        <v>Desentupidor Pia: Tipo: Sanfonado, Com Alto Poder De Sucção. Material: Borracha Flexível, Composto Por Polipropileno E Borracha Termoplástica. Plástico Resistente, Cabo Longo, mínimo 20 CM.</v>
      </c>
      <c r="C30" s="561"/>
      <c r="D30" s="562"/>
      <c r="E30" s="81" t="str">
        <f>Insumos!C13</f>
        <v>unid.</v>
      </c>
      <c r="F30" s="81" t="str">
        <f>Insumos!D13</f>
        <v>Oliveira e Azevedo</v>
      </c>
      <c r="G30" s="74">
        <f t="shared" si="4"/>
        <v>8.3333333333333329E-2</v>
      </c>
      <c r="H30" s="75">
        <f>G30*Insumos!G13</f>
        <v>0.86749999999999994</v>
      </c>
      <c r="I30" s="557" t="str">
        <f t="shared" si="1"/>
        <v>Fornecimento igual ao estimado mensalmente</v>
      </c>
      <c r="J30" s="558"/>
      <c r="K30" s="559"/>
      <c r="L30" s="76">
        <f t="shared" si="5"/>
        <v>8.3333333333333329E-2</v>
      </c>
      <c r="M30" s="77">
        <f>Insumos!E13</f>
        <v>1</v>
      </c>
      <c r="N30" s="78" t="str">
        <f>Insumos!F13</f>
        <v>anual</v>
      </c>
      <c r="O30" s="79">
        <f t="shared" si="6"/>
        <v>12</v>
      </c>
      <c r="W30" s="1"/>
    </row>
    <row r="31" spans="1:23" ht="28.95" customHeight="1" x14ac:dyDescent="0.3">
      <c r="A31" s="80">
        <v>7</v>
      </c>
      <c r="B31" s="560" t="str">
        <f>Insumos!B14</f>
        <v>Desentupidor Vaso Sanitário Material: Borracha Flexível, Comprimento Cabo: 50 CM, Altura: 10 CM, Cor: Preta , Diâmetro: 16 CM, MaterialCabo: Madeira</v>
      </c>
      <c r="C31" s="561"/>
      <c r="D31" s="562"/>
      <c r="E31" s="81" t="str">
        <f>Insumos!C14</f>
        <v>unid.</v>
      </c>
      <c r="F31" s="81" t="str">
        <f>Insumos!D14</f>
        <v>Canada</v>
      </c>
      <c r="G31" s="74">
        <f t="shared" si="4"/>
        <v>8.3333333333333329E-2</v>
      </c>
      <c r="H31" s="75">
        <f>G31*Insumos!G14</f>
        <v>0.92333333333333334</v>
      </c>
      <c r="I31" s="557" t="str">
        <f t="shared" si="1"/>
        <v>Fornecimento igual ao estimado mensalmente</v>
      </c>
      <c r="J31" s="558"/>
      <c r="K31" s="559"/>
      <c r="L31" s="76">
        <f t="shared" si="5"/>
        <v>8.3333333333333329E-2</v>
      </c>
      <c r="M31" s="77">
        <f>Insumos!E14</f>
        <v>1</v>
      </c>
      <c r="N31" s="78" t="str">
        <f>Insumos!F14</f>
        <v>anual</v>
      </c>
      <c r="O31" s="79">
        <f t="shared" si="6"/>
        <v>12</v>
      </c>
      <c r="W31" s="1"/>
    </row>
    <row r="32" spans="1:23" ht="27.6" x14ac:dyDescent="0.3">
      <c r="A32" s="80">
        <v>8</v>
      </c>
      <c r="B32" s="560" t="str">
        <f>Insumos!B15</f>
        <v>Desinfetante concentrado líquido. Aroma floral. Embalagem com 5 litros.</v>
      </c>
      <c r="C32" s="561"/>
      <c r="D32" s="562"/>
      <c r="E32" s="81" t="str">
        <f>Insumos!C15</f>
        <v>Galão</v>
      </c>
      <c r="F32" s="81" t="str">
        <f>Insumos!D15</f>
        <v>Mirax Floral Bouquet</v>
      </c>
      <c r="G32" s="74">
        <f t="shared" si="4"/>
        <v>1</v>
      </c>
      <c r="H32" s="75">
        <f>G32*Insumos!G15</f>
        <v>44.79</v>
      </c>
      <c r="I32" s="557" t="str">
        <f t="shared" si="1"/>
        <v>Fornecimento igual ao estimado mensalmente</v>
      </c>
      <c r="J32" s="558"/>
      <c r="K32" s="559"/>
      <c r="L32" s="76">
        <f t="shared" si="5"/>
        <v>1</v>
      </c>
      <c r="M32" s="77">
        <f>Insumos!E15</f>
        <v>1</v>
      </c>
      <c r="N32" s="78" t="str">
        <f>Insumos!F15</f>
        <v>mensal</v>
      </c>
      <c r="O32" s="79">
        <f t="shared" si="6"/>
        <v>1</v>
      </c>
      <c r="W32" s="1"/>
    </row>
    <row r="33" spans="1:23" ht="35.4" customHeight="1" x14ac:dyDescent="0.3">
      <c r="A33" s="73">
        <v>9</v>
      </c>
      <c r="B33" s="560" t="str">
        <f>Insumos!B16</f>
        <v>Escova para lavar multiuso, oval, base plástica e cerdas de escova para lavar multiuso, oval, base plástica e cerdas de nylon.</v>
      </c>
      <c r="C33" s="561"/>
      <c r="D33" s="562"/>
      <c r="E33" s="81" t="str">
        <f>Insumos!C16</f>
        <v>unid.</v>
      </c>
      <c r="F33" s="81" t="str">
        <f>Insumos!D16</f>
        <v>Condor</v>
      </c>
      <c r="G33" s="74">
        <f t="shared" si="4"/>
        <v>8.3333333333333329E-2</v>
      </c>
      <c r="H33" s="75">
        <f>G33*Insumos!G16</f>
        <v>0.46416666666666667</v>
      </c>
      <c r="I33" s="557" t="str">
        <f t="shared" si="1"/>
        <v>Fornecimento igual ao estimado mensalmente</v>
      </c>
      <c r="J33" s="558"/>
      <c r="K33" s="559"/>
      <c r="L33" s="76">
        <f t="shared" si="5"/>
        <v>8.3333333333333329E-2</v>
      </c>
      <c r="M33" s="77">
        <f>Insumos!E16</f>
        <v>1</v>
      </c>
      <c r="N33" s="78" t="str">
        <f>Insumos!F16</f>
        <v>anual</v>
      </c>
      <c r="O33" s="79">
        <f t="shared" si="6"/>
        <v>12</v>
      </c>
      <c r="W33" s="1"/>
    </row>
    <row r="34" spans="1:23" ht="33" customHeight="1" x14ac:dyDescent="0.3">
      <c r="A34" s="80">
        <v>10</v>
      </c>
      <c r="B34" s="560" t="str">
        <f>Insumos!B17</f>
        <v>Escova Sanitária Redonda em plástico Branco contendo 01 escova para vaso sanitário e 01 suporte redondo: Branco Tamanho: 14 x 42 cm</v>
      </c>
      <c r="C34" s="561"/>
      <c r="D34" s="562"/>
      <c r="E34" s="81" t="str">
        <f>Insumos!C17</f>
        <v>unid.</v>
      </c>
      <c r="F34" s="81" t="str">
        <f>Insumos!D17</f>
        <v>Limpamania</v>
      </c>
      <c r="G34" s="74">
        <f t="shared" si="4"/>
        <v>0.16666666666666666</v>
      </c>
      <c r="H34" s="75">
        <f>G34*Insumos!G17</f>
        <v>2.6849999999999996</v>
      </c>
      <c r="I34" s="557" t="str">
        <f t="shared" si="1"/>
        <v>Fornecimento igual ao estimado mensalmente</v>
      </c>
      <c r="J34" s="558"/>
      <c r="K34" s="559"/>
      <c r="L34" s="76">
        <f t="shared" si="5"/>
        <v>0.16666666666666666</v>
      </c>
      <c r="M34" s="77">
        <f>Insumos!E17</f>
        <v>2</v>
      </c>
      <c r="N34" s="78" t="str">
        <f>Insumos!F17</f>
        <v>anual</v>
      </c>
      <c r="O34" s="79">
        <f t="shared" si="6"/>
        <v>12</v>
      </c>
      <c r="W34" s="1"/>
    </row>
    <row r="35" spans="1:23" ht="54.6" customHeight="1" x14ac:dyDescent="0.3">
      <c r="A35" s="80">
        <v>11</v>
      </c>
      <c r="B35" s="560" t="str">
        <f>Insumos!B18</f>
        <v>Esponja Para Lavagem De Louças E Limpeza Em Geral, Dupla Face Sintética, Um Lado Em Espuma Poliuretano E Outro Em Fibra Sintética Abrasiva, Antibacteriana, Formato Retangular, Medindo Aproximadamente 110mm X 75mm X 20mm De Espessura. Pacote com 4 unidades.</v>
      </c>
      <c r="C35" s="561"/>
      <c r="D35" s="562"/>
      <c r="E35" s="81" t="str">
        <f>Insumos!C18</f>
        <v>pacote</v>
      </c>
      <c r="F35" s="81" t="str">
        <f>Insumos!D18</f>
        <v>Scotch-Brite</v>
      </c>
      <c r="G35" s="74">
        <f t="shared" si="4"/>
        <v>4</v>
      </c>
      <c r="H35" s="75">
        <f>G35*Insumos!G18</f>
        <v>25.6</v>
      </c>
      <c r="I35" s="557" t="str">
        <f t="shared" si="1"/>
        <v>Fornecimento igual ao estimado mensalmente</v>
      </c>
      <c r="J35" s="558"/>
      <c r="K35" s="559"/>
      <c r="L35" s="76">
        <f t="shared" si="5"/>
        <v>4</v>
      </c>
      <c r="M35" s="77">
        <f>Insumos!E18</f>
        <v>4</v>
      </c>
      <c r="N35" s="78" t="str">
        <f>Insumos!F18</f>
        <v>mensal</v>
      </c>
      <c r="O35" s="79">
        <f t="shared" si="6"/>
        <v>1</v>
      </c>
      <c r="W35" s="1"/>
    </row>
    <row r="36" spans="1:23" x14ac:dyDescent="0.3">
      <c r="A36" s="80">
        <v>12</v>
      </c>
      <c r="B36" s="560" t="str">
        <f>Insumos!B19</f>
        <v>Espanador de pó de penas nº 25. Medidas: 25 cm de penas e 40 cm de cabo</v>
      </c>
      <c r="C36" s="561"/>
      <c r="D36" s="562"/>
      <c r="E36" s="81" t="str">
        <f>Insumos!C19</f>
        <v>unid.</v>
      </c>
      <c r="F36" s="81" t="str">
        <f>Insumos!D19</f>
        <v>Duster</v>
      </c>
      <c r="G36" s="74">
        <f t="shared" si="4"/>
        <v>0.16666666666666666</v>
      </c>
      <c r="H36" s="75">
        <f>G36*Insumos!G19</f>
        <v>2.8316666666666661</v>
      </c>
      <c r="I36" s="557" t="str">
        <f t="shared" si="1"/>
        <v>Fornecimento igual ao estimado mensalmente</v>
      </c>
      <c r="J36" s="558"/>
      <c r="K36" s="559"/>
      <c r="L36" s="76">
        <f t="shared" si="5"/>
        <v>0.16666666666666666</v>
      </c>
      <c r="M36" s="77">
        <f>Insumos!E19</f>
        <v>2</v>
      </c>
      <c r="N36" s="78" t="str">
        <f>Insumos!F19</f>
        <v>anual</v>
      </c>
      <c r="O36" s="79">
        <f t="shared" si="6"/>
        <v>12</v>
      </c>
      <c r="W36" s="1"/>
    </row>
    <row r="37" spans="1:23" ht="48.6" customHeight="1" x14ac:dyDescent="0.3">
      <c r="A37" s="73">
        <v>13</v>
      </c>
      <c r="B37" s="560" t="str">
        <f>Insumos!B20</f>
        <v>Extensão elétrica 20 metros 3 tomada 20a cabo pp2x1,5mm reforçada, 2 cabos de som 10m para ligar as caixas xlr/p10, 2cabos xlr para microfones sem fio (especificações mínima)</v>
      </c>
      <c r="C37" s="561"/>
      <c r="D37" s="562"/>
      <c r="E37" s="81" t="str">
        <f>Insumos!C20</f>
        <v>unid.</v>
      </c>
      <c r="F37" s="81" t="str">
        <f>Insumos!D20</f>
        <v>Daneva</v>
      </c>
      <c r="G37" s="74">
        <f t="shared" si="4"/>
        <v>8.3333333333333329E-2</v>
      </c>
      <c r="H37" s="75">
        <f>G37*Insumos!G20</f>
        <v>7.1641666666666666</v>
      </c>
      <c r="I37" s="557" t="str">
        <f t="shared" si="1"/>
        <v>Fornecimento igual ao estimado mensalmente</v>
      </c>
      <c r="J37" s="558"/>
      <c r="K37" s="559"/>
      <c r="L37" s="76">
        <f t="shared" si="5"/>
        <v>8.3333333333333329E-2</v>
      </c>
      <c r="M37" s="77">
        <f>Insumos!E20</f>
        <v>1</v>
      </c>
      <c r="N37" s="78" t="str">
        <f>Insumos!F20</f>
        <v>anual</v>
      </c>
      <c r="O37" s="79">
        <f t="shared" si="6"/>
        <v>12</v>
      </c>
      <c r="W37" s="1"/>
    </row>
    <row r="38" spans="1:23" ht="54.6" customHeight="1" x14ac:dyDescent="0.3">
      <c r="A38" s="80">
        <v>14</v>
      </c>
      <c r="B38" s="560" t="str">
        <f>Insumos!B21</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38" s="561"/>
      <c r="D38" s="562"/>
      <c r="E38" s="81" t="str">
        <f>Insumos!C21</f>
        <v>unid.</v>
      </c>
      <c r="F38" s="81" t="str">
        <f>Insumos!D21</f>
        <v>Intextil</v>
      </c>
      <c r="G38" s="74">
        <f t="shared" si="4"/>
        <v>3</v>
      </c>
      <c r="H38" s="75">
        <f>G38*Insumos!G21</f>
        <v>12.84</v>
      </c>
      <c r="I38" s="557" t="str">
        <f t="shared" si="1"/>
        <v>Fornecimento igual ao estimado mensalmente</v>
      </c>
      <c r="J38" s="558"/>
      <c r="K38" s="559"/>
      <c r="L38" s="76">
        <f t="shared" si="5"/>
        <v>3</v>
      </c>
      <c r="M38" s="77">
        <f>Insumos!E21</f>
        <v>3</v>
      </c>
      <c r="N38" s="78" t="str">
        <f>Insumos!F21</f>
        <v>mensal</v>
      </c>
      <c r="O38" s="79">
        <f t="shared" si="6"/>
        <v>1</v>
      </c>
      <c r="W38" s="1"/>
    </row>
    <row r="39" spans="1:23" ht="33.6" customHeight="1" x14ac:dyDescent="0.3">
      <c r="A39" s="80">
        <v>15</v>
      </c>
      <c r="B39" s="560" t="str">
        <f>Insumos!B22</f>
        <v>Inseticida Aerossol, multiinseticida, frasco com mínimo 300 ml. Registro/ Autorização no ministério da saúde.</v>
      </c>
      <c r="C39" s="561"/>
      <c r="D39" s="562"/>
      <c r="E39" s="81" t="str">
        <f>Insumos!C22</f>
        <v>unid.</v>
      </c>
      <c r="F39" s="81" t="str">
        <f>Insumos!D22</f>
        <v>Raid</v>
      </c>
      <c r="G39" s="74">
        <f t="shared" si="4"/>
        <v>0.16666666666666666</v>
      </c>
      <c r="H39" s="75">
        <f>G39*Insumos!G22</f>
        <v>2.3033333333333332</v>
      </c>
      <c r="I39" s="557" t="str">
        <f t="shared" si="1"/>
        <v>Fornecimento igual ao estimado mensalmente</v>
      </c>
      <c r="J39" s="558"/>
      <c r="K39" s="559"/>
      <c r="L39" s="76">
        <f t="shared" si="5"/>
        <v>0.16666666666666666</v>
      </c>
      <c r="M39" s="77">
        <f>Insumos!E22</f>
        <v>1</v>
      </c>
      <c r="N39" s="78" t="str">
        <f>Insumos!F22</f>
        <v>semestral</v>
      </c>
      <c r="O39" s="79">
        <f t="shared" si="6"/>
        <v>6</v>
      </c>
      <c r="W39" s="1"/>
    </row>
    <row r="40" spans="1:23" ht="54.6" customHeight="1" x14ac:dyDescent="0.3">
      <c r="A40" s="80">
        <v>16</v>
      </c>
      <c r="B40" s="560" t="str">
        <f>Insumos!B23</f>
        <v>Kit limpador de vidro: Rodo limpa vidros com cabo telescópico extensor de 06 (seis) metros. Extremidade composta por lavador de acrílico e limpador com lâmina de borracha de aproximadamente 35 cm. Utilizado para limpeza de vidros e vidraças.</v>
      </c>
      <c r="C40" s="561"/>
      <c r="D40" s="562"/>
      <c r="E40" s="81" t="str">
        <f>Insumos!C23</f>
        <v>unid.</v>
      </c>
      <c r="F40" s="81" t="str">
        <f>Insumos!D23</f>
        <v>Bralimpia</v>
      </c>
      <c r="G40" s="74">
        <f t="shared" si="4"/>
        <v>8.3333333333333329E-2</v>
      </c>
      <c r="H40" s="75">
        <f>G40*Insumos!G23</f>
        <v>13.804166666666667</v>
      </c>
      <c r="I40" s="557" t="str">
        <f t="shared" si="1"/>
        <v>Fornecimento igual ao estimado mensalmente</v>
      </c>
      <c r="J40" s="558"/>
      <c r="K40" s="559"/>
      <c r="L40" s="76">
        <f t="shared" si="5"/>
        <v>8.3333333333333329E-2</v>
      </c>
      <c r="M40" s="77">
        <f>Insumos!E23</f>
        <v>1</v>
      </c>
      <c r="N40" s="78" t="str">
        <f>Insumos!F23</f>
        <v>anual</v>
      </c>
      <c r="O40" s="79">
        <f t="shared" si="6"/>
        <v>12</v>
      </c>
      <c r="W40" s="1"/>
    </row>
    <row r="41" spans="1:23" x14ac:dyDescent="0.3">
      <c r="A41" s="73">
        <v>17</v>
      </c>
      <c r="B41" s="560" t="str">
        <f>Insumos!B24</f>
        <v>Limpa vidro 500ml (Veja ou similar)</v>
      </c>
      <c r="C41" s="561"/>
      <c r="D41" s="562"/>
      <c r="E41" s="81" t="str">
        <f>Insumos!C24</f>
        <v>unid.</v>
      </c>
      <c r="F41" s="81" t="str">
        <f>Insumos!D24</f>
        <v>Veja</v>
      </c>
      <c r="G41" s="74">
        <f t="shared" si="4"/>
        <v>1</v>
      </c>
      <c r="H41" s="75">
        <f>G41*Insumos!G24</f>
        <v>9.9</v>
      </c>
      <c r="I41" s="557" t="str">
        <f t="shared" si="1"/>
        <v>Fornecimento igual ao estimado mensalmente</v>
      </c>
      <c r="J41" s="558"/>
      <c r="K41" s="559"/>
      <c r="L41" s="76">
        <f t="shared" si="5"/>
        <v>1</v>
      </c>
      <c r="M41" s="77">
        <f>Insumos!E24</f>
        <v>1</v>
      </c>
      <c r="N41" s="78" t="str">
        <f>Insumos!F24</f>
        <v>mensal</v>
      </c>
      <c r="O41" s="79">
        <f t="shared" si="6"/>
        <v>1</v>
      </c>
      <c r="W41" s="1"/>
    </row>
    <row r="42" spans="1:23" ht="54.6" customHeight="1" x14ac:dyDescent="0.3">
      <c r="A42" s="80">
        <v>18</v>
      </c>
      <c r="B42" s="560" t="str">
        <f>Insumos!B25</f>
        <v>Limpa Pedras Pisos, lajota removedor de encardido pedra e cerâmica - Ácido Sulfônico - 5 litros concentrado com baixo odor e pH ácido sinergicamente balanceado para uma ação rápida e eficaz. Limpeza pesada, sem danificar, de sujidades como terra, fuligem, ferrugem, incrustações e encardidos em geral.</v>
      </c>
      <c r="C42" s="561"/>
      <c r="D42" s="562"/>
      <c r="E42" s="81" t="str">
        <f>Insumos!C25</f>
        <v>Galão</v>
      </c>
      <c r="F42" s="81" t="str">
        <f>Insumos!D25</f>
        <v>Pedrex</v>
      </c>
      <c r="G42" s="74">
        <f t="shared" si="4"/>
        <v>0.33333333333333331</v>
      </c>
      <c r="H42" s="75">
        <f>G42*Insumos!G25</f>
        <v>19.45</v>
      </c>
      <c r="I42" s="557" t="str">
        <f t="shared" si="1"/>
        <v>Fornecimento igual ao estimado mensalmente</v>
      </c>
      <c r="J42" s="558"/>
      <c r="K42" s="559"/>
      <c r="L42" s="76">
        <f t="shared" si="5"/>
        <v>0.33333333333333331</v>
      </c>
      <c r="M42" s="77">
        <f>Insumos!E25</f>
        <v>1</v>
      </c>
      <c r="N42" s="78" t="str">
        <f>Insumos!F25</f>
        <v>trimestral</v>
      </c>
      <c r="O42" s="79">
        <f t="shared" si="6"/>
        <v>3</v>
      </c>
      <c r="W42" s="1"/>
    </row>
    <row r="43" spans="1:23" ht="42.6" customHeight="1" x14ac:dyDescent="0.3">
      <c r="A43" s="80">
        <v>19</v>
      </c>
      <c r="B43" s="560" t="str">
        <f>Insumos!B26</f>
        <v>Multiuso limpeza pesada 500ml - composição: alquil benzeno sulfonato de sódio, solvente, coadjuvantes, conservante, sequestrante, corante, fragrância e água. tensoativo biodegradável. frascos de 500 ml de produto (marca de referência: veja).</v>
      </c>
      <c r="C43" s="561"/>
      <c r="D43" s="562"/>
      <c r="E43" s="81" t="str">
        <f>Insumos!C26</f>
        <v>unid.</v>
      </c>
      <c r="F43" s="81" t="str">
        <f>Insumos!D26</f>
        <v>Veja</v>
      </c>
      <c r="G43" s="74">
        <f t="shared" si="4"/>
        <v>2</v>
      </c>
      <c r="H43" s="75">
        <f>G43*Insumos!G26</f>
        <v>15</v>
      </c>
      <c r="I43" s="557" t="str">
        <f t="shared" si="1"/>
        <v>Fornecimento igual ao estimado mensalmente</v>
      </c>
      <c r="J43" s="558"/>
      <c r="K43" s="559"/>
      <c r="L43" s="76">
        <f t="shared" si="5"/>
        <v>2</v>
      </c>
      <c r="M43" s="77">
        <f>Insumos!E26</f>
        <v>2</v>
      </c>
      <c r="N43" s="78" t="str">
        <f>Insumos!F26</f>
        <v>mensal</v>
      </c>
      <c r="O43" s="79">
        <f t="shared" si="6"/>
        <v>1</v>
      </c>
      <c r="W43" s="1"/>
    </row>
    <row r="44" spans="1:23" ht="54.6" customHeight="1" x14ac:dyDescent="0.3">
      <c r="A44" s="80">
        <v>20</v>
      </c>
      <c r="B44" s="560" t="str">
        <f>Insumos!B27</f>
        <v>Luva Segurança Com Forro. Material: 100% Látex Nitrílico , Tamanho: M ou G, Aplicação: Manuseio Reagente Químico E Radioativo , Características Adicionais: Com Forro, Sem Talco, Pulso Com Bainha , Modelo: Palma Antiderrapante, Cor: Verde, Tipo: Ambidestra</v>
      </c>
      <c r="C44" s="561"/>
      <c r="D44" s="562"/>
      <c r="E44" s="81" t="str">
        <f>Insumos!C27</f>
        <v>Par</v>
      </c>
      <c r="F44" s="81" t="str">
        <f>Insumos!D27</f>
        <v>Bettanin</v>
      </c>
      <c r="G44" s="74">
        <f t="shared" si="4"/>
        <v>2</v>
      </c>
      <c r="H44" s="75">
        <f>G44*Insumos!G27</f>
        <v>26.76</v>
      </c>
      <c r="I44" s="557" t="str">
        <f t="shared" si="1"/>
        <v>Fornecimento igual ao estimado mensalmente</v>
      </c>
      <c r="J44" s="558"/>
      <c r="K44" s="559"/>
      <c r="L44" s="76">
        <f t="shared" si="5"/>
        <v>2</v>
      </c>
      <c r="M44" s="77">
        <f>Insumos!E27</f>
        <v>2</v>
      </c>
      <c r="N44" s="78" t="str">
        <f>Insumos!F27</f>
        <v>mensal</v>
      </c>
      <c r="O44" s="79">
        <f t="shared" si="6"/>
        <v>1</v>
      </c>
      <c r="W44" s="1"/>
    </row>
    <row r="45" spans="1:23" ht="31.2" customHeight="1" x14ac:dyDescent="0.3">
      <c r="A45" s="73">
        <v>21</v>
      </c>
      <c r="B45" s="560" t="str">
        <f>Insumos!B28</f>
        <v>Mangueira para jardim, com 50 metros de extensão, antitorção, com engate de torneira e esguicho</v>
      </c>
      <c r="C45" s="561"/>
      <c r="D45" s="562"/>
      <c r="E45" s="81" t="str">
        <f>Insumos!C28</f>
        <v>unid.</v>
      </c>
      <c r="F45" s="81" t="str">
        <f>Insumos!D28</f>
        <v>Tramontina</v>
      </c>
      <c r="G45" s="74">
        <f t="shared" si="4"/>
        <v>8.3333333333333329E-2</v>
      </c>
      <c r="H45" s="75">
        <f>G45*Insumos!G28</f>
        <v>12.415833333333333</v>
      </c>
      <c r="I45" s="557" t="str">
        <f t="shared" si="1"/>
        <v>Fornecimento igual ao estimado mensalmente</v>
      </c>
      <c r="J45" s="558"/>
      <c r="K45" s="559"/>
      <c r="L45" s="76">
        <f t="shared" si="5"/>
        <v>8.3333333333333329E-2</v>
      </c>
      <c r="M45" s="77">
        <f>Insumos!E28</f>
        <v>1</v>
      </c>
      <c r="N45" s="78" t="str">
        <f>Insumos!F28</f>
        <v>anual</v>
      </c>
      <c r="O45" s="79">
        <f t="shared" si="6"/>
        <v>12</v>
      </c>
      <c r="W45" s="1"/>
    </row>
    <row r="46" spans="1:23" x14ac:dyDescent="0.3">
      <c r="A46" s="80">
        <v>22</v>
      </c>
      <c r="B46" s="560" t="str">
        <f>Insumos!B29</f>
        <v>Pá p/ lixo em plástico resistente c/ cabo de madeira de 60cm de altura na vertical.</v>
      </c>
      <c r="C46" s="561"/>
      <c r="D46" s="562"/>
      <c r="E46" s="81" t="str">
        <f>Insumos!C29</f>
        <v>unid.</v>
      </c>
      <c r="F46" s="81" t="str">
        <f>Insumos!D29</f>
        <v>Bettanin</v>
      </c>
      <c r="G46" s="74">
        <f t="shared" si="4"/>
        <v>8.3333333333333329E-2</v>
      </c>
      <c r="H46" s="75">
        <f>G46*Insumos!G29</f>
        <v>1.0908333333333333</v>
      </c>
      <c r="I46" s="557" t="str">
        <f t="shared" si="1"/>
        <v>Fornecimento igual ao estimado mensalmente</v>
      </c>
      <c r="J46" s="558"/>
      <c r="K46" s="559"/>
      <c r="L46" s="76">
        <f t="shared" si="5"/>
        <v>8.3333333333333329E-2</v>
      </c>
      <c r="M46" s="77">
        <f>Insumos!E29</f>
        <v>1</v>
      </c>
      <c r="N46" s="78" t="str">
        <f>Insumos!F29</f>
        <v>anual</v>
      </c>
      <c r="O46" s="79">
        <f t="shared" si="6"/>
        <v>12</v>
      </c>
      <c r="W46" s="1"/>
    </row>
    <row r="47" spans="1:23" ht="83.4" customHeight="1" x14ac:dyDescent="0.3">
      <c r="A47" s="80">
        <v>23</v>
      </c>
      <c r="B47" s="560" t="str">
        <f>Insumos!B30</f>
        <v>Papel Higiênico Rolão 8 x 300m Folha Dupla - Institucional Rolão De 300 Metros, Neutro, Macio, Branco, Folha Dupla, Absorvente E Homogêneo Medindo: 10Cm X 300M. Pacote Com 8 Rolos. Material Hidrossolúvel (Solúvel Na Água), 100% Fibra Virgem. Produto Deverá Estar De Acordo Com As Normas Da Abnt Nbr 15464-9/2010 E Nbr 15134/2007. Não Poderá Esfarelar Durante O Uso, Não Poderá Apresentar Odor desagradável (Não Característico)</v>
      </c>
      <c r="C47" s="561"/>
      <c r="D47" s="562"/>
      <c r="E47" s="81" t="str">
        <f>Insumos!C30</f>
        <v>Pacote 08 rolos</v>
      </c>
      <c r="F47" s="81" t="str">
        <f>Insumos!D30</f>
        <v>Santher ou similar</v>
      </c>
      <c r="G47" s="74">
        <f t="shared" si="4"/>
        <v>2</v>
      </c>
      <c r="H47" s="75">
        <f>G47*Insumos!G30</f>
        <v>137.91999999999999</v>
      </c>
      <c r="I47" s="557" t="str">
        <f t="shared" si="1"/>
        <v>Fornecimento igual ao estimado mensalmente</v>
      </c>
      <c r="J47" s="558"/>
      <c r="K47" s="559"/>
      <c r="L47" s="76">
        <f t="shared" si="5"/>
        <v>2</v>
      </c>
      <c r="M47" s="77">
        <f>Insumos!E30</f>
        <v>4</v>
      </c>
      <c r="N47" s="78" t="str">
        <f>Insumos!F30</f>
        <v>bimestral</v>
      </c>
      <c r="O47" s="79">
        <f t="shared" si="6"/>
        <v>2</v>
      </c>
      <c r="W47" s="1"/>
    </row>
    <row r="48" spans="1:23" ht="83.4" customHeight="1" x14ac:dyDescent="0.3">
      <c r="A48" s="80">
        <v>24</v>
      </c>
      <c r="B48" s="560" t="str">
        <f>Insumos!B31</f>
        <v>Papel Toalha Bobina 200m, Uso Institucional, Alta Absorção. Bobina De, No Mínimo, 200M Metros De Comprimento Por 20Cm De Largura, Auto Cortante (Picotado). Gofrado, Folha Simples; Em Bobina; Branco, Com Maciez E Absorção. Composto Com 100% Celulose Virgem, Máximo De 15Mm2/M2, Conforme Notam Tappi T437 Om-90; Alvura Acima De 82%, Conforme A Norma Iso; Absorção Máxima De 3. Embalado Em Caixa C/06 Rolos. As Informações Do Produto Deve Constar No Exterior Da Embalagem.</v>
      </c>
      <c r="C48" s="561"/>
      <c r="D48" s="562"/>
      <c r="E48" s="81" t="str">
        <f>Insumos!C31</f>
        <v>Caixa com 06 rolos</v>
      </c>
      <c r="F48" s="81" t="str">
        <f>Insumos!D31</f>
        <v>Santher ou similar</v>
      </c>
      <c r="G48" s="74">
        <f t="shared" si="4"/>
        <v>2</v>
      </c>
      <c r="H48" s="75">
        <f>G48*Insumos!G31</f>
        <v>241.5</v>
      </c>
      <c r="I48" s="557" t="str">
        <f t="shared" si="1"/>
        <v>Fornecimento igual ao estimado mensalmente</v>
      </c>
      <c r="J48" s="558"/>
      <c r="K48" s="559"/>
      <c r="L48" s="76">
        <f t="shared" si="5"/>
        <v>2</v>
      </c>
      <c r="M48" s="77">
        <f>Insumos!E31</f>
        <v>8</v>
      </c>
      <c r="N48" s="78" t="str">
        <f>Insumos!F31</f>
        <v>quadrimestral</v>
      </c>
      <c r="O48" s="79">
        <f t="shared" si="6"/>
        <v>4</v>
      </c>
      <c r="W48" s="1"/>
    </row>
    <row r="49" spans="1:23" ht="48" customHeight="1" x14ac:dyDescent="0.3">
      <c r="A49" s="73">
        <v>25</v>
      </c>
      <c r="B49" s="560" t="str">
        <f>Insumos!B32</f>
        <v>Rodo Plástico e borracha dupla expandida de 60cm, resistente e durável, que puxa e seca a água, feita em EVA e cepo em polipropileno com garras pontiagudas nas laterais para melhor fixar panos de chão.</v>
      </c>
      <c r="C49" s="561"/>
      <c r="D49" s="562"/>
      <c r="E49" s="81" t="str">
        <f>Insumos!C32</f>
        <v>unid.</v>
      </c>
      <c r="F49" s="81" t="str">
        <f>Insumos!D32</f>
        <v>Brubalar</v>
      </c>
      <c r="G49" s="74">
        <f t="shared" si="4"/>
        <v>0.16666666666666666</v>
      </c>
      <c r="H49" s="75">
        <f>G49*Insumos!G32</f>
        <v>4.2783333333333333</v>
      </c>
      <c r="I49" s="557" t="str">
        <f t="shared" si="1"/>
        <v>Fornecimento igual ao estimado mensalmente</v>
      </c>
      <c r="J49" s="558"/>
      <c r="K49" s="559"/>
      <c r="L49" s="76">
        <f t="shared" si="5"/>
        <v>0.16666666666666666</v>
      </c>
      <c r="M49" s="77">
        <f>Insumos!E32</f>
        <v>2</v>
      </c>
      <c r="N49" s="78" t="str">
        <f>Insumos!F32</f>
        <v>anual</v>
      </c>
      <c r="O49" s="79">
        <f t="shared" si="6"/>
        <v>12</v>
      </c>
      <c r="W49" s="1"/>
    </row>
    <row r="50" spans="1:23" x14ac:dyDescent="0.3">
      <c r="A50" s="80">
        <v>26</v>
      </c>
      <c r="B50" s="560" t="str">
        <f>Insumos!B33</f>
        <v>Sabão em barra glicerinado - cor neutra. Pacote com 5 de 200g cada unidade.</v>
      </c>
      <c r="C50" s="561"/>
      <c r="D50" s="562"/>
      <c r="E50" s="81" t="str">
        <f>Insumos!C33</f>
        <v>pacote</v>
      </c>
      <c r="F50" s="81" t="str">
        <f>Insumos!D33</f>
        <v>Minuano</v>
      </c>
      <c r="G50" s="74">
        <f t="shared" si="4"/>
        <v>0.66666666666666663</v>
      </c>
      <c r="H50" s="75">
        <f>G50*Insumos!G33</f>
        <v>8</v>
      </c>
      <c r="I50" s="557" t="str">
        <f t="shared" si="1"/>
        <v>Fornecimento igual ao estimado mensalmente</v>
      </c>
      <c r="J50" s="558"/>
      <c r="K50" s="559"/>
      <c r="L50" s="76">
        <f t="shared" si="5"/>
        <v>0.66666666666666663</v>
      </c>
      <c r="M50" s="77">
        <f>Insumos!E33</f>
        <v>4</v>
      </c>
      <c r="N50" s="78" t="str">
        <f>Insumos!F33</f>
        <v>semestral</v>
      </c>
      <c r="O50" s="79">
        <f t="shared" si="6"/>
        <v>6</v>
      </c>
      <c r="W50" s="1"/>
    </row>
    <row r="51" spans="1:23" ht="28.95" customHeight="1" x14ac:dyDescent="0.3">
      <c r="A51" s="80">
        <v>27</v>
      </c>
      <c r="B51" s="560" t="str">
        <f>Insumos!B34</f>
        <v>Sabão em Pó – Caixa de 0,8 a 1Kg. Sabão em pó, convencional, de primeira linha. Para lavar roupas e limpeza em geral.</v>
      </c>
      <c r="C51" s="561"/>
      <c r="D51" s="562"/>
      <c r="E51" s="81" t="str">
        <f>Insumos!C34</f>
        <v>cx.</v>
      </c>
      <c r="F51" s="81" t="str">
        <f>Insumos!D34</f>
        <v>Omo ou similar</v>
      </c>
      <c r="G51" s="74">
        <f t="shared" si="4"/>
        <v>8.3333333333333329E-2</v>
      </c>
      <c r="H51" s="75">
        <f>G51*Insumos!G34</f>
        <v>1.2999999999999998</v>
      </c>
      <c r="I51" s="557" t="str">
        <f t="shared" si="1"/>
        <v>Fornecimento igual ao estimado mensalmente</v>
      </c>
      <c r="J51" s="558"/>
      <c r="K51" s="559"/>
      <c r="L51" s="76">
        <f t="shared" si="5"/>
        <v>8.3333333333333329E-2</v>
      </c>
      <c r="M51" s="77">
        <f>Insumos!E34</f>
        <v>1</v>
      </c>
      <c r="N51" s="78" t="str">
        <f>Insumos!F34</f>
        <v>anual</v>
      </c>
      <c r="O51" s="79">
        <f t="shared" si="6"/>
        <v>12</v>
      </c>
      <c r="W51" s="1"/>
    </row>
    <row r="52" spans="1:23" x14ac:dyDescent="0.3">
      <c r="A52" s="73">
        <v>28</v>
      </c>
      <c r="B52" s="560" t="str">
        <f>Insumos!B35</f>
        <v>Sapólio em pó 300g</v>
      </c>
      <c r="C52" s="561"/>
      <c r="D52" s="562"/>
      <c r="E52" s="81" t="str">
        <f>Insumos!C35</f>
        <v>unid</v>
      </c>
      <c r="F52" s="81" t="str">
        <f>Insumos!D35</f>
        <v>Bombril</v>
      </c>
      <c r="G52" s="74">
        <f t="shared" si="4"/>
        <v>8.3333333333333329E-2</v>
      </c>
      <c r="H52" s="75">
        <f>G52*Insumos!G35</f>
        <v>0.52</v>
      </c>
      <c r="I52" s="557" t="str">
        <f t="shared" si="1"/>
        <v>Fornecimento igual ao estimado mensalmente</v>
      </c>
      <c r="J52" s="558"/>
      <c r="K52" s="559"/>
      <c r="L52" s="76">
        <f t="shared" si="5"/>
        <v>8.3333333333333329E-2</v>
      </c>
      <c r="M52" s="77">
        <f>Insumos!E35</f>
        <v>1</v>
      </c>
      <c r="N52" s="78" t="str">
        <f>Insumos!F35</f>
        <v>anual</v>
      </c>
      <c r="O52" s="79">
        <f t="shared" si="6"/>
        <v>12</v>
      </c>
      <c r="W52" s="1"/>
    </row>
    <row r="53" spans="1:23" ht="27.6" customHeight="1" x14ac:dyDescent="0.3">
      <c r="A53" s="80">
        <v>29</v>
      </c>
      <c r="B53" s="560" t="str">
        <f>Insumos!B36</f>
        <v>Sabonete líquido Concentrado, cremoso perolizado, pronto pra uso, aroma erva-doce, lavanda ou similar, galão de 05 litros.</v>
      </c>
      <c r="C53" s="561"/>
      <c r="D53" s="562"/>
      <c r="E53" s="81" t="str">
        <f>Insumos!C36</f>
        <v>Galão</v>
      </c>
      <c r="F53" s="81" t="str">
        <f>Insumos!D36</f>
        <v>Nobre, Start, Ikebana</v>
      </c>
      <c r="G53" s="74">
        <f t="shared" si="4"/>
        <v>0.5</v>
      </c>
      <c r="H53" s="75">
        <f>G53*Insumos!G36</f>
        <v>11.88</v>
      </c>
      <c r="I53" s="557" t="str">
        <f t="shared" si="1"/>
        <v>Fornecimento igual ao estimado mensalmente</v>
      </c>
      <c r="J53" s="558"/>
      <c r="K53" s="559"/>
      <c r="L53" s="76">
        <f t="shared" si="5"/>
        <v>0.5</v>
      </c>
      <c r="M53" s="77">
        <f>Insumos!E36</f>
        <v>1</v>
      </c>
      <c r="N53" s="78" t="str">
        <f>Insumos!F36</f>
        <v>bimestral</v>
      </c>
      <c r="O53" s="79">
        <f t="shared" si="6"/>
        <v>2</v>
      </c>
      <c r="W53" s="1"/>
    </row>
    <row r="54" spans="1:23" ht="27.6" customHeight="1" x14ac:dyDescent="0.3">
      <c r="A54" s="80">
        <v>30</v>
      </c>
      <c r="B54" s="560" t="str">
        <f>Insumos!B37</f>
        <v>Saco de Algodão Tipo: Alvejado, Tamanho: 60 X 80 CM, Cor: Branco, Características Adicionais: Dupla Face</v>
      </c>
      <c r="C54" s="561"/>
      <c r="D54" s="562"/>
      <c r="E54" s="81" t="str">
        <f>Insumos!C37</f>
        <v>unid.</v>
      </c>
      <c r="F54" s="81" t="str">
        <f>Insumos!D37</f>
        <v>Santa Margarida</v>
      </c>
      <c r="G54" s="74">
        <f t="shared" si="4"/>
        <v>1.6666666666666667</v>
      </c>
      <c r="H54" s="75">
        <f>G54*Insumos!G37</f>
        <v>13.716666666666669</v>
      </c>
      <c r="I54" s="557" t="str">
        <f t="shared" si="1"/>
        <v>Fornecimento igual ao estimado mensalmente</v>
      </c>
      <c r="J54" s="558"/>
      <c r="K54" s="559"/>
      <c r="L54" s="76">
        <f t="shared" si="5"/>
        <v>1.6666666666666667</v>
      </c>
      <c r="M54" s="77">
        <f>Insumos!E37</f>
        <v>10</v>
      </c>
      <c r="N54" s="78" t="str">
        <f>Insumos!F37</f>
        <v>semestral</v>
      </c>
      <c r="O54" s="79">
        <f t="shared" si="6"/>
        <v>6</v>
      </c>
      <c r="W54" s="1"/>
    </row>
    <row r="55" spans="1:23" ht="39" customHeight="1" x14ac:dyDescent="0.3">
      <c r="A55" s="80">
        <v>31</v>
      </c>
      <c r="B55" s="560" t="str">
        <f>Insumos!B38</f>
        <v>Saco plástico reforçado para lixo em polietileno, com capacidade de 100 litros, com estanqueidade suficiente para que não haja vazamento de lixo líquido. com espessura mínima de 10 micra, na cor preta. Pacote com 100 unidades.</v>
      </c>
      <c r="C55" s="561"/>
      <c r="D55" s="562"/>
      <c r="E55" s="81" t="str">
        <f>Insumos!C38</f>
        <v>Pacote</v>
      </c>
      <c r="F55" s="81" t="str">
        <f>Insumos!D38</f>
        <v>Polisac</v>
      </c>
      <c r="G55" s="74">
        <f t="shared" si="4"/>
        <v>1</v>
      </c>
      <c r="H55" s="75">
        <f>G55*Insumos!G38</f>
        <v>60.16</v>
      </c>
      <c r="I55" s="557" t="str">
        <f t="shared" si="1"/>
        <v>Fornecimento igual ao estimado mensalmente</v>
      </c>
      <c r="J55" s="558"/>
      <c r="K55" s="559"/>
      <c r="L55" s="76">
        <f t="shared" si="5"/>
        <v>1</v>
      </c>
      <c r="M55" s="77">
        <f>Insumos!E38</f>
        <v>1</v>
      </c>
      <c r="N55" s="78" t="str">
        <f>Insumos!F38</f>
        <v>mensal</v>
      </c>
      <c r="O55" s="79">
        <f t="shared" si="6"/>
        <v>1</v>
      </c>
      <c r="W55" s="1"/>
    </row>
    <row r="56" spans="1:23" ht="43.2" customHeight="1" x14ac:dyDescent="0.3">
      <c r="A56" s="73">
        <v>32</v>
      </c>
      <c r="B56" s="560" t="str">
        <f>Insumos!B39</f>
        <v>Saco plástico reforçado para lixo em polietileno, com capacidade de 20 litros, com estanqueidade suficiente para que não haja vazamento de lixo líquido. com espessura mínima de 09 micra, na cor preta. Pacote com 100 unidades.</v>
      </c>
      <c r="C56" s="561"/>
      <c r="D56" s="562"/>
      <c r="E56" s="81" t="str">
        <f>Insumos!C39</f>
        <v>Pacote</v>
      </c>
      <c r="F56" s="81" t="str">
        <f>Insumos!D39</f>
        <v>Altaplast</v>
      </c>
      <c r="G56" s="74">
        <f t="shared" si="4"/>
        <v>2</v>
      </c>
      <c r="H56" s="75">
        <f>G56*Insumos!G39</f>
        <v>32.979999999999997</v>
      </c>
      <c r="I56" s="557" t="str">
        <f t="shared" si="1"/>
        <v>Fornecimento igual ao estimado mensalmente</v>
      </c>
      <c r="J56" s="558"/>
      <c r="K56" s="559"/>
      <c r="L56" s="76">
        <f t="shared" si="5"/>
        <v>2</v>
      </c>
      <c r="M56" s="77">
        <f>Insumos!E39</f>
        <v>2</v>
      </c>
      <c r="N56" s="78" t="str">
        <f>Insumos!F39</f>
        <v>mensal</v>
      </c>
      <c r="O56" s="79">
        <f t="shared" si="6"/>
        <v>1</v>
      </c>
      <c r="W56" s="1"/>
    </row>
    <row r="57" spans="1:23" ht="30.6" customHeight="1" x14ac:dyDescent="0.3">
      <c r="A57" s="80">
        <v>33</v>
      </c>
      <c r="B57" s="560" t="str">
        <f>Insumos!B40</f>
        <v>Vassoura limpa teto, com cerdas macias de sisal e cabo de madeira de 2,70 metros. Ideal para uso na limpeza de locais de difícil acesso.</v>
      </c>
      <c r="C57" s="561"/>
      <c r="D57" s="562"/>
      <c r="E57" s="81" t="str">
        <f>Insumos!C40</f>
        <v>unid.</v>
      </c>
      <c r="F57" s="81" t="str">
        <f>Insumos!D40</f>
        <v>Oliveira e Azevedo</v>
      </c>
      <c r="G57" s="74">
        <f t="shared" si="4"/>
        <v>8.3333333333333329E-2</v>
      </c>
      <c r="H57" s="75">
        <f>G57*Insumos!G40</f>
        <v>2.1774999999999998</v>
      </c>
      <c r="I57" s="557" t="str">
        <f t="shared" si="1"/>
        <v>Fornecimento igual ao estimado mensalmente</v>
      </c>
      <c r="J57" s="558"/>
      <c r="K57" s="559"/>
      <c r="L57" s="76">
        <f t="shared" si="5"/>
        <v>8.3333333333333329E-2</v>
      </c>
      <c r="M57" s="77">
        <f>Insumos!E40</f>
        <v>1</v>
      </c>
      <c r="N57" s="78" t="str">
        <f>Insumos!F40</f>
        <v>anual</v>
      </c>
      <c r="O57" s="79">
        <f t="shared" si="6"/>
        <v>12</v>
      </c>
      <c r="W57" s="1"/>
    </row>
    <row r="58" spans="1:23" ht="30.6" customHeight="1" x14ac:dyDescent="0.3">
      <c r="A58" s="80">
        <v>34</v>
      </c>
      <c r="B58" s="560" t="str">
        <f>Insumos!B41</f>
        <v>Vassoura Material Cerdas: Pêlo Sintético, Comprimento Cepa: 60 CM, Tipo Cabo: Reforçado, Material Cabo: Madeira</v>
      </c>
      <c r="C58" s="561"/>
      <c r="D58" s="562"/>
      <c r="E58" s="81" t="str">
        <f>Insumos!C41</f>
        <v>unid.</v>
      </c>
      <c r="F58" s="81" t="str">
        <f>Insumos!D41</f>
        <v>Brubalar</v>
      </c>
      <c r="G58" s="74">
        <f t="shared" si="4"/>
        <v>8.3333333333333329E-2</v>
      </c>
      <c r="H58" s="75">
        <f>G58*Insumos!G41</f>
        <v>1.5183333333333331</v>
      </c>
      <c r="I58" s="557" t="str">
        <f t="shared" si="1"/>
        <v>Fornecimento igual ao estimado mensalmente</v>
      </c>
      <c r="J58" s="558"/>
      <c r="K58" s="559"/>
      <c r="L58" s="76">
        <f t="shared" si="5"/>
        <v>8.3333333333333329E-2</v>
      </c>
      <c r="M58" s="77">
        <f>Insumos!E41</f>
        <v>1</v>
      </c>
      <c r="N58" s="78" t="str">
        <f>Insumos!F41</f>
        <v>anual</v>
      </c>
      <c r="O58" s="79">
        <f t="shared" si="6"/>
        <v>12</v>
      </c>
      <c r="W58" s="1"/>
    </row>
    <row r="59" spans="1:23" ht="30.6" customHeight="1" x14ac:dyDescent="0.3">
      <c r="A59" s="80">
        <v>35</v>
      </c>
      <c r="B59" s="560" t="str">
        <f>Insumos!B42</f>
        <v>Vassoura de nylon, cerdas c/ ponta desfiada, corpo de madeira medindo aproximadamente 25 x 05cm, c/ cabo de no mínimo 1,50m de comprimento</v>
      </c>
      <c r="C59" s="561"/>
      <c r="D59" s="562"/>
      <c r="E59" s="81" t="str">
        <f>Insumos!C42</f>
        <v>unid.</v>
      </c>
      <c r="F59" s="81" t="str">
        <f>Insumos!D42</f>
        <v>Oliveira e Azevedo</v>
      </c>
      <c r="G59" s="74">
        <f t="shared" si="4"/>
        <v>8.3333333333333329E-2</v>
      </c>
      <c r="H59" s="75">
        <f>G59*Insumos!G42</f>
        <v>1.3716666666666666</v>
      </c>
      <c r="I59" s="557" t="str">
        <f t="shared" si="1"/>
        <v>Fornecimento igual ao estimado mensalmente</v>
      </c>
      <c r="J59" s="558"/>
      <c r="K59" s="559"/>
      <c r="L59" s="76">
        <f t="shared" si="5"/>
        <v>8.3333333333333329E-2</v>
      </c>
      <c r="M59" s="77">
        <f>Insumos!E42</f>
        <v>1</v>
      </c>
      <c r="N59" s="78" t="str">
        <f>Insumos!F42</f>
        <v>anual</v>
      </c>
      <c r="O59" s="79">
        <f t="shared" si="6"/>
        <v>12</v>
      </c>
      <c r="W59" s="1"/>
    </row>
    <row r="60" spans="1:23" ht="79.2" customHeight="1" x14ac:dyDescent="0.3">
      <c r="A60" s="73">
        <v>36</v>
      </c>
      <c r="B60" s="560" t="str">
        <f>Insumos!B43</f>
        <v>Carro Multifuncional Para Limpeza Kit completo - Para Transporte c/ Bolsa Para Coleta De No Mínimo 90 Litros, Com Tampa. Conjunto Balde Duplo De 25 Litros (Aproximadamente) Cada (Removível) 4 Organizadores/Prateleiras Para Acessórios; Rodízios Fixos E Giratórios. Balde espremedor, com rodas giratórias para mobilidade fácil, alça e cabo metálico resistente. Kit de limpeza contendo carrinho pequeno, placa, mop esfregão e espremedor</v>
      </c>
      <c r="C60" s="561"/>
      <c r="D60" s="562"/>
      <c r="E60" s="81" t="str">
        <f>Insumos!C43</f>
        <v>unid.</v>
      </c>
      <c r="F60" s="81" t="str">
        <f>Insumos!D43</f>
        <v>Bralimpia</v>
      </c>
      <c r="G60" s="74">
        <f t="shared" si="4"/>
        <v>0.16666666666666666</v>
      </c>
      <c r="H60" s="75">
        <f>G60*Insumos!G43</f>
        <v>118.78333333333333</v>
      </c>
      <c r="I60" s="557" t="str">
        <f t="shared" si="1"/>
        <v>Fornecimento igual ao estimado mensalmente</v>
      </c>
      <c r="J60" s="558"/>
      <c r="K60" s="559"/>
      <c r="L60" s="76">
        <f t="shared" si="5"/>
        <v>0.16666666666666666</v>
      </c>
      <c r="M60" s="77">
        <f>Insumos!E43</f>
        <v>2</v>
      </c>
      <c r="N60" s="78" t="str">
        <f>Insumos!F43</f>
        <v>anual</v>
      </c>
      <c r="O60" s="79">
        <f t="shared" si="6"/>
        <v>12</v>
      </c>
      <c r="W60" s="1"/>
    </row>
    <row r="61" spans="1:23" ht="15" customHeight="1" x14ac:dyDescent="0.3">
      <c r="A61" s="565" t="s">
        <v>74</v>
      </c>
      <c r="B61" s="565"/>
      <c r="C61" s="565"/>
      <c r="D61" s="565"/>
      <c r="E61" s="565"/>
      <c r="F61" s="565"/>
      <c r="G61" s="565"/>
      <c r="H61" s="82">
        <f>ROUND(SUM(H26:H60),2)</f>
        <v>997.46</v>
      </c>
      <c r="I61" s="57"/>
      <c r="J61" s="57"/>
      <c r="K61" s="1"/>
      <c r="L61" s="1"/>
      <c r="M61" s="1"/>
      <c r="N61" s="68"/>
      <c r="O61" s="68"/>
    </row>
    <row r="62" spans="1:23" ht="15" customHeight="1" x14ac:dyDescent="0.3">
      <c r="A62" s="554" t="s">
        <v>75</v>
      </c>
      <c r="B62" s="554"/>
      <c r="C62" s="554"/>
      <c r="D62" s="554"/>
      <c r="E62" s="554"/>
      <c r="F62" s="554"/>
      <c r="G62" s="83">
        <f>Dados!G43</f>
        <v>0.03</v>
      </c>
      <c r="H62" s="84">
        <f>ROUND((H61*G62),2)</f>
        <v>29.92</v>
      </c>
      <c r="I62" s="57"/>
      <c r="J62" s="57"/>
      <c r="K62" s="1"/>
      <c r="L62" s="1"/>
      <c r="M62" s="1"/>
      <c r="N62" s="68"/>
      <c r="O62" s="68"/>
    </row>
    <row r="63" spans="1:23" ht="15" customHeight="1" x14ac:dyDescent="0.3">
      <c r="A63" s="554" t="s">
        <v>76</v>
      </c>
      <c r="B63" s="554"/>
      <c r="C63" s="554"/>
      <c r="D63" s="554"/>
      <c r="E63" s="554"/>
      <c r="F63" s="554"/>
      <c r="G63" s="83">
        <f>Dados!G44</f>
        <v>6.7900000000000002E-2</v>
      </c>
      <c r="H63" s="84">
        <f>ROUND((SUM(H61:H62)*G63),2)</f>
        <v>69.760000000000005</v>
      </c>
      <c r="I63" s="57"/>
      <c r="J63" s="57"/>
      <c r="K63" s="1"/>
      <c r="L63" s="1"/>
      <c r="M63" s="1"/>
      <c r="N63" s="68"/>
      <c r="O63" s="68"/>
    </row>
    <row r="64" spans="1:23" ht="15" customHeight="1" x14ac:dyDescent="0.3">
      <c r="A64" s="554" t="s">
        <v>77</v>
      </c>
      <c r="B64" s="554"/>
      <c r="C64" s="554"/>
      <c r="D64" s="554"/>
      <c r="E64" s="554"/>
      <c r="F64" s="554"/>
      <c r="G64" s="83">
        <f>Dados!G55</f>
        <v>0.1225</v>
      </c>
      <c r="H64" s="84">
        <f>ROUND((H65*G64),2)</f>
        <v>153.16</v>
      </c>
      <c r="I64" s="57"/>
      <c r="J64" s="57"/>
      <c r="K64" s="1"/>
      <c r="L64" s="1"/>
      <c r="M64" s="1"/>
      <c r="N64" s="68"/>
      <c r="O64" s="68"/>
    </row>
    <row r="65" spans="1:23" ht="15.75" customHeight="1" thickBot="1" x14ac:dyDescent="0.35">
      <c r="A65" s="555" t="s">
        <v>78</v>
      </c>
      <c r="B65" s="555"/>
      <c r="C65" s="555"/>
      <c r="D65" s="555"/>
      <c r="E65" s="555"/>
      <c r="F65" s="555"/>
      <c r="G65" s="555"/>
      <c r="H65" s="85">
        <f>ROUND((SUM(H61:H63)/(1-G64)),2)</f>
        <v>1250.3</v>
      </c>
      <c r="I65" s="57"/>
      <c r="J65" s="57"/>
      <c r="K65" s="1"/>
      <c r="L65" s="1"/>
      <c r="M65" s="1"/>
      <c r="N65" s="68"/>
      <c r="O65" s="68"/>
    </row>
    <row r="66" spans="1:23" ht="15" thickBot="1" x14ac:dyDescent="0.35">
      <c r="A66" s="63"/>
      <c r="B66" s="68"/>
      <c r="C66" s="68"/>
      <c r="D66" s="68"/>
      <c r="E66" s="68"/>
      <c r="F66" s="68"/>
      <c r="G66" s="63"/>
      <c r="H66" s="68"/>
      <c r="I66" s="68"/>
      <c r="J66" s="68"/>
      <c r="K66" s="1"/>
      <c r="L66" s="1"/>
      <c r="M66" s="1"/>
      <c r="N66" s="68"/>
      <c r="O66" s="68"/>
    </row>
    <row r="67" spans="1:23" ht="15.75" customHeight="1" thickBot="1" x14ac:dyDescent="0.35">
      <c r="A67" s="556" t="s">
        <v>59</v>
      </c>
      <c r="B67" s="566" t="s">
        <v>79</v>
      </c>
      <c r="C67" s="566"/>
      <c r="D67" s="566"/>
      <c r="E67" s="566"/>
      <c r="F67" s="567" t="s">
        <v>61</v>
      </c>
      <c r="G67" s="567"/>
      <c r="H67" s="567"/>
      <c r="I67" s="568" t="s">
        <v>62</v>
      </c>
      <c r="J67" s="569"/>
      <c r="K67" s="570"/>
      <c r="L67" s="563" t="s">
        <v>63</v>
      </c>
      <c r="M67" s="563"/>
      <c r="N67" s="563"/>
      <c r="O67" s="563"/>
      <c r="V67" s="1"/>
      <c r="W67" s="1"/>
    </row>
    <row r="68" spans="1:23" ht="38.25" customHeight="1" x14ac:dyDescent="0.3">
      <c r="A68" s="556"/>
      <c r="B68" s="564" t="s">
        <v>64</v>
      </c>
      <c r="C68" s="564"/>
      <c r="D68" s="564"/>
      <c r="E68" s="62" t="s">
        <v>65</v>
      </c>
      <c r="F68" s="62" t="s">
        <v>66</v>
      </c>
      <c r="G68" s="62" t="s">
        <v>67</v>
      </c>
      <c r="H68" s="72" t="s">
        <v>68</v>
      </c>
      <c r="I68" s="571"/>
      <c r="J68" s="572"/>
      <c r="K68" s="573"/>
      <c r="L68" s="69" t="s">
        <v>69</v>
      </c>
      <c r="M68" s="70" t="s">
        <v>70</v>
      </c>
      <c r="N68" s="70" t="s">
        <v>71</v>
      </c>
      <c r="O68" s="71" t="s">
        <v>72</v>
      </c>
      <c r="V68" s="1"/>
      <c r="W68" s="1"/>
    </row>
    <row r="69" spans="1:23" ht="54" customHeight="1" x14ac:dyDescent="0.3">
      <c r="A69" s="86">
        <v>1</v>
      </c>
      <c r="B69" s="560" t="str">
        <f>Insumos!B50</f>
        <v>Coador de Café. Especificação: Em pano 100% algodão, cor branca, dimensões de 20cm (diâmetro) x 30cm (profundidade), cabo 16 cm de comprimento feito de arame de aço galvanizado revestido com PVC. O rótulo do produto deve estampar o nome do fabricante.</v>
      </c>
      <c r="C69" s="561"/>
      <c r="D69" s="562"/>
      <c r="E69" s="81" t="str">
        <f>Insumos!C50</f>
        <v>unid.</v>
      </c>
      <c r="F69" s="81" t="str">
        <f>Insumos!D50</f>
        <v>Stolf</v>
      </c>
      <c r="G69" s="74">
        <f t="shared" ref="G69" si="7">IF($D$4="PLANILHA PARA LICITAÇÃO (PRECIFICAÇÃO)",L69,0)</f>
        <v>0.5</v>
      </c>
      <c r="H69" s="75">
        <f>G69*Insumos!G50</f>
        <v>4.9950000000000001</v>
      </c>
      <c r="I69" s="557" t="str">
        <f t="shared" ref="I69" si="8">IF(G69&lt;L69,"Fornecimento inferior ao estimado mensalmente",IF(G69=L69,"Fornecimento igual ao estimado mensalmente",IF(G69&gt;L69,"Fornecimento superior ao estimado mensalmente",)))</f>
        <v>Fornecimento igual ao estimado mensalmente</v>
      </c>
      <c r="J69" s="558"/>
      <c r="K69" s="559"/>
      <c r="L69" s="76">
        <f t="shared" ref="L69" si="9">M69/O69</f>
        <v>0.5</v>
      </c>
      <c r="M69" s="87">
        <f>Insumos!E50</f>
        <v>1</v>
      </c>
      <c r="N69" s="87" t="str">
        <f>Insumos!F50</f>
        <v>bimestral</v>
      </c>
      <c r="O69" s="79">
        <f t="shared" ref="O69" si="10">IF(N69="MENSAL",1,IF(N69="BIMESTRAL",2,IF(N69="TRIMESTRAL",3,IF(N69="QUADRIMESTRAL",4,IF(N69="SEMESTRAL",6,IF(N69="ANUAL",12,IF(N69="BIENAL",24,"")))))))</f>
        <v>2</v>
      </c>
      <c r="W69" s="1"/>
    </row>
    <row r="70" spans="1:23" ht="54" customHeight="1" x14ac:dyDescent="0.3">
      <c r="A70" s="86">
        <v>2</v>
      </c>
      <c r="B70" s="560" t="str">
        <f>Insumos!B51</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70" s="561"/>
      <c r="D70" s="562"/>
      <c r="E70" s="81" t="str">
        <f>Insumos!C51</f>
        <v>unid.</v>
      </c>
      <c r="F70" s="81" t="str">
        <f>Insumos!D51</f>
        <v>Limpol ou similar</v>
      </c>
      <c r="G70" s="74">
        <f t="shared" ref="G70:G74" si="11">IF($D$4="PLANILHA PARA LICITAÇÃO (PRECIFICAÇÃO)",L70,0)</f>
        <v>5</v>
      </c>
      <c r="H70" s="75">
        <f>G70*Insumos!G51</f>
        <v>14.950000000000001</v>
      </c>
      <c r="I70" s="557" t="str">
        <f t="shared" ref="I70:I74" si="12">IF(G70&lt;L70,"Fornecimento inferior ao estimado mensalmente",IF(G70=L70,"Fornecimento igual ao estimado mensalmente",IF(G70&gt;L70,"Fornecimento superior ao estimado mensalmente",)))</f>
        <v>Fornecimento igual ao estimado mensalmente</v>
      </c>
      <c r="J70" s="558"/>
      <c r="K70" s="559"/>
      <c r="L70" s="76">
        <f t="shared" ref="L70:L74" si="13">M70/O70</f>
        <v>5</v>
      </c>
      <c r="M70" s="87">
        <f>Insumos!E51</f>
        <v>5</v>
      </c>
      <c r="N70" s="87" t="str">
        <f>Insumos!F51</f>
        <v>mensal</v>
      </c>
      <c r="O70" s="79">
        <f t="shared" ref="O70:O74" si="14">IF(N70="MENSAL",1,IF(N70="BIMESTRAL",2,IF(N70="TRIMESTRAL",3,IF(N70="QUADRIMESTRAL",4,IF(N70="SEMESTRAL",6,IF(N70="ANUAL",12,IF(N70="BIENAL",24,"")))))))</f>
        <v>1</v>
      </c>
      <c r="W70" s="1"/>
    </row>
    <row r="71" spans="1:23" ht="54" customHeight="1" x14ac:dyDescent="0.3">
      <c r="A71" s="86">
        <v>3</v>
      </c>
      <c r="B71" s="560" t="str">
        <f>Insumos!B52</f>
        <v>Esponja Para Lavagem De Louças E Limpeza Em Geral, Dupla Face Sintética, Um Lado Em Espuma Poliuretano E Outro Em Fibra Sintética Abrasiva, Antibacteriana, Formato Retangular, Medindo Aproximadamente 110mm X 75mm X 20mm De Espessura. Pacote com 4 unidades.</v>
      </c>
      <c r="C71" s="561"/>
      <c r="D71" s="562"/>
      <c r="E71" s="81" t="str">
        <f>Insumos!C52</f>
        <v>Pacote</v>
      </c>
      <c r="F71" s="81" t="str">
        <f>Insumos!D52</f>
        <v>Scotch-Brite</v>
      </c>
      <c r="G71" s="74">
        <f t="shared" si="11"/>
        <v>1</v>
      </c>
      <c r="H71" s="75">
        <f>G71*Insumos!G52</f>
        <v>6.4</v>
      </c>
      <c r="I71" s="557" t="str">
        <f t="shared" si="12"/>
        <v>Fornecimento igual ao estimado mensalmente</v>
      </c>
      <c r="J71" s="558"/>
      <c r="K71" s="559"/>
      <c r="L71" s="76">
        <f t="shared" si="13"/>
        <v>1</v>
      </c>
      <c r="M71" s="87">
        <f>Insumos!E52</f>
        <v>1</v>
      </c>
      <c r="N71" s="87" t="str">
        <f>Insumos!F52</f>
        <v>mensal</v>
      </c>
      <c r="O71" s="79">
        <f t="shared" si="14"/>
        <v>1</v>
      </c>
      <c r="W71" s="1"/>
    </row>
    <row r="72" spans="1:23" ht="43.95" customHeight="1" x14ac:dyDescent="0.3">
      <c r="A72" s="86">
        <v>4</v>
      </c>
      <c r="B72" s="560" t="str">
        <f>Insumos!B53</f>
        <v>Esponja de LÃ DE AÇO, composição básica: aço carbono abrasivo, p/ limpeza em geral, acondicionada em embalagem plástica original do fabricante, peso líquido aproximado de 60g, pacote c/ 08 unidades</v>
      </c>
      <c r="C72" s="561"/>
      <c r="D72" s="562"/>
      <c r="E72" s="81" t="str">
        <f>Insumos!C53</f>
        <v>Pacote</v>
      </c>
      <c r="F72" s="81" t="str">
        <f>Insumos!D53</f>
        <v>Bombril</v>
      </c>
      <c r="G72" s="74">
        <f t="shared" si="11"/>
        <v>0.33333333333333331</v>
      </c>
      <c r="H72" s="75">
        <f>G72*Insumos!G53</f>
        <v>0.98</v>
      </c>
      <c r="I72" s="557" t="str">
        <f t="shared" si="12"/>
        <v>Fornecimento igual ao estimado mensalmente</v>
      </c>
      <c r="J72" s="558"/>
      <c r="K72" s="559"/>
      <c r="L72" s="76">
        <f t="shared" si="13"/>
        <v>0.33333333333333331</v>
      </c>
      <c r="M72" s="87">
        <f>Insumos!E53</f>
        <v>1</v>
      </c>
      <c r="N72" s="87" t="str">
        <f>Insumos!F53</f>
        <v>trimestral</v>
      </c>
      <c r="O72" s="79">
        <f t="shared" si="14"/>
        <v>3</v>
      </c>
      <c r="W72" s="1"/>
    </row>
    <row r="73" spans="1:23" ht="54" customHeight="1" x14ac:dyDescent="0.3">
      <c r="A73" s="86">
        <v>5</v>
      </c>
      <c r="B73" s="560" t="str">
        <f>Insumos!B54</f>
        <v>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 </v>
      </c>
      <c r="C73" s="561"/>
      <c r="D73" s="562"/>
      <c r="E73" s="81" t="str">
        <f>Insumos!C54</f>
        <v>Pacote</v>
      </c>
      <c r="F73" s="81" t="str">
        <f>Insumos!D54</f>
        <v>Santepel</v>
      </c>
      <c r="G73" s="74">
        <f t="shared" si="11"/>
        <v>8</v>
      </c>
      <c r="H73" s="75">
        <f>G73*Insumos!G54</f>
        <v>51.84</v>
      </c>
      <c r="I73" s="557" t="str">
        <f t="shared" si="12"/>
        <v>Fornecimento igual ao estimado mensalmente</v>
      </c>
      <c r="J73" s="558"/>
      <c r="K73" s="559"/>
      <c r="L73" s="76">
        <f t="shared" si="13"/>
        <v>8</v>
      </c>
      <c r="M73" s="87">
        <f>Insumos!E54</f>
        <v>8</v>
      </c>
      <c r="N73" s="87" t="str">
        <f>Insumos!F54</f>
        <v>mensal</v>
      </c>
      <c r="O73" s="79">
        <f t="shared" si="14"/>
        <v>1</v>
      </c>
      <c r="W73" s="1"/>
    </row>
    <row r="74" spans="1:23" x14ac:dyDescent="0.3">
      <c r="A74" s="86">
        <v>6</v>
      </c>
      <c r="B74" s="560" t="str">
        <f>Insumos!B55</f>
        <v>Pano de copa aberto 100%  dimensões mínimas 40x60cm</v>
      </c>
      <c r="C74" s="561"/>
      <c r="D74" s="562"/>
      <c r="E74" s="81" t="str">
        <f>Insumos!C55</f>
        <v>unid.</v>
      </c>
      <c r="F74" s="81" t="str">
        <f>Insumos!D55</f>
        <v>Karsten</v>
      </c>
      <c r="G74" s="74">
        <f t="shared" si="11"/>
        <v>0.5</v>
      </c>
      <c r="H74" s="75">
        <f>G74*Insumos!G55</f>
        <v>5</v>
      </c>
      <c r="I74" s="557" t="str">
        <f t="shared" si="12"/>
        <v>Fornecimento igual ao estimado mensalmente</v>
      </c>
      <c r="J74" s="558"/>
      <c r="K74" s="559"/>
      <c r="L74" s="76">
        <f t="shared" si="13"/>
        <v>0.5</v>
      </c>
      <c r="M74" s="87">
        <f>Insumos!E55</f>
        <v>1</v>
      </c>
      <c r="N74" s="87" t="str">
        <f>Insumos!F55</f>
        <v>bimestral</v>
      </c>
      <c r="O74" s="79">
        <f t="shared" si="14"/>
        <v>2</v>
      </c>
      <c r="W74" s="1"/>
    </row>
    <row r="75" spans="1:23" x14ac:dyDescent="0.3">
      <c r="A75" s="86">
        <v>7</v>
      </c>
      <c r="B75" s="560" t="str">
        <f>Insumos!B56</f>
        <v>Sabão em barra glicerinado - cor neutra. Pacote com 5 de 200g cada unidade.</v>
      </c>
      <c r="C75" s="561"/>
      <c r="D75" s="562"/>
      <c r="E75" s="81" t="str">
        <f>Insumos!C56</f>
        <v>Pacote</v>
      </c>
      <c r="F75" s="81" t="str">
        <f>Insumos!D56</f>
        <v>Minuano</v>
      </c>
      <c r="G75" s="74">
        <f t="shared" ref="G75:G78" si="15">IF($D$4="PLANILHA PARA LICITAÇÃO (PRECIFICAÇÃO)",L75,0)</f>
        <v>0.66666666666666663</v>
      </c>
      <c r="H75" s="75">
        <f>G75*Insumos!G56</f>
        <v>8</v>
      </c>
      <c r="I75" s="557" t="str">
        <f t="shared" ref="I75:I78" si="16">IF(G75&lt;L75,"Fornecimento inferior ao estimado mensalmente",IF(G75=L75,"Fornecimento igual ao estimado mensalmente",IF(G75&gt;L75,"Fornecimento superior ao estimado mensalmente",)))</f>
        <v>Fornecimento igual ao estimado mensalmente</v>
      </c>
      <c r="J75" s="558"/>
      <c r="K75" s="559"/>
      <c r="L75" s="76">
        <f t="shared" ref="L75:L78" si="17">M75/O75</f>
        <v>0.66666666666666663</v>
      </c>
      <c r="M75" s="87">
        <f>Insumos!E56</f>
        <v>4</v>
      </c>
      <c r="N75" s="87" t="str">
        <f>Insumos!F56</f>
        <v>semestral</v>
      </c>
      <c r="O75" s="79">
        <f t="shared" ref="O75:O78" si="18">IF(N75="MENSAL",1,IF(N75="BIMESTRAL",2,IF(N75="TRIMESTRAL",3,IF(N75="QUADRIMESTRAL",4,IF(N75="SEMESTRAL",6,IF(N75="ANUAL",12,IF(N75="BIENAL",24,"")))))))</f>
        <v>6</v>
      </c>
      <c r="W75" s="1"/>
    </row>
    <row r="76" spans="1:23" ht="96" customHeight="1" x14ac:dyDescent="0.3">
      <c r="A76" s="86">
        <v>8</v>
      </c>
      <c r="B76" s="560" t="str">
        <f>Insumos!B57</f>
        <v>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v>
      </c>
      <c r="C76" s="561"/>
      <c r="D76" s="562"/>
      <c r="E76" s="81" t="str">
        <f>Insumos!C57</f>
        <v>unid</v>
      </c>
      <c r="F76" s="81" t="str">
        <f>Insumos!D57</f>
        <v>União</v>
      </c>
      <c r="G76" s="74">
        <f t="shared" si="15"/>
        <v>2</v>
      </c>
      <c r="H76" s="75">
        <f>G76*Insumos!G57</f>
        <v>59.06</v>
      </c>
      <c r="I76" s="557" t="str">
        <f t="shared" si="16"/>
        <v>Fornecimento igual ao estimado mensalmente</v>
      </c>
      <c r="J76" s="558"/>
      <c r="K76" s="559"/>
      <c r="L76" s="76">
        <f t="shared" si="17"/>
        <v>2</v>
      </c>
      <c r="M76" s="87">
        <f>Insumos!E57</f>
        <v>2</v>
      </c>
      <c r="N76" s="87" t="str">
        <f>Insumos!F57</f>
        <v>Mensal</v>
      </c>
      <c r="O76" s="79">
        <f t="shared" si="18"/>
        <v>1</v>
      </c>
      <c r="W76" s="1"/>
    </row>
    <row r="77" spans="1:23" ht="66.599999999999994" customHeight="1" x14ac:dyDescent="0.3">
      <c r="A77" s="86">
        <v>9</v>
      </c>
      <c r="B77" s="560" t="str">
        <f>Insumos!B58</f>
        <v>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v>
      </c>
      <c r="C77" s="561"/>
      <c r="D77" s="562"/>
      <c r="E77" s="81" t="str">
        <f>Insumos!C58</f>
        <v>unid</v>
      </c>
      <c r="F77" s="81" t="str">
        <f>Insumos!D58</f>
        <v>3 Corações Gormet, Orfeu</v>
      </c>
      <c r="G77" s="74">
        <f t="shared" si="15"/>
        <v>0.33333333333333331</v>
      </c>
      <c r="H77" s="75">
        <f>G77*Insumos!G58</f>
        <v>6.3900000000000006</v>
      </c>
      <c r="I77" s="557" t="str">
        <f t="shared" si="16"/>
        <v>Fornecimento igual ao estimado mensalmente</v>
      </c>
      <c r="J77" s="558"/>
      <c r="K77" s="559"/>
      <c r="L77" s="76">
        <f t="shared" si="17"/>
        <v>0.33333333333333331</v>
      </c>
      <c r="M77" s="87">
        <f>Insumos!E58</f>
        <v>4</v>
      </c>
      <c r="N77" s="87" t="str">
        <f>Insumos!F58</f>
        <v>Anual</v>
      </c>
      <c r="O77" s="79">
        <f t="shared" si="18"/>
        <v>12</v>
      </c>
      <c r="W77" s="1"/>
    </row>
    <row r="78" spans="1:23" ht="96" customHeight="1" thickBot="1" x14ac:dyDescent="0.35">
      <c r="A78" s="86">
        <v>10</v>
      </c>
      <c r="B78" s="560" t="str">
        <f>Insumos!B59</f>
        <v>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v>
      </c>
      <c r="C78" s="561"/>
      <c r="D78" s="562"/>
      <c r="E78" s="81" t="str">
        <f>Insumos!C59</f>
        <v>unid</v>
      </c>
      <c r="F78" s="81" t="str">
        <f>Insumos!D59</f>
        <v>Linea</v>
      </c>
      <c r="G78" s="74">
        <f t="shared" si="15"/>
        <v>0.25</v>
      </c>
      <c r="H78" s="75">
        <f>G78*Insumos!G59</f>
        <v>1.98</v>
      </c>
      <c r="I78" s="557" t="str">
        <f t="shared" si="16"/>
        <v>Fornecimento igual ao estimado mensalmente</v>
      </c>
      <c r="J78" s="558"/>
      <c r="K78" s="559"/>
      <c r="L78" s="76">
        <f t="shared" si="17"/>
        <v>0.25</v>
      </c>
      <c r="M78" s="87">
        <f>Insumos!E59</f>
        <v>3</v>
      </c>
      <c r="N78" s="87" t="str">
        <f>Insumos!F59</f>
        <v>Anual</v>
      </c>
      <c r="O78" s="79">
        <f t="shared" si="18"/>
        <v>12</v>
      </c>
      <c r="W78" s="1"/>
    </row>
    <row r="79" spans="1:23" ht="15" customHeight="1" x14ac:dyDescent="0.3">
      <c r="A79" s="556" t="s">
        <v>74</v>
      </c>
      <c r="B79" s="556"/>
      <c r="C79" s="556"/>
      <c r="D79" s="556"/>
      <c r="E79" s="556"/>
      <c r="F79" s="556"/>
      <c r="G79" s="556"/>
      <c r="H79" s="88">
        <f>SUM(H69:H78)</f>
        <v>159.595</v>
      </c>
      <c r="I79" s="57"/>
      <c r="J79" s="57"/>
      <c r="K79" s="1"/>
      <c r="L79" s="68"/>
      <c r="M79" s="68"/>
      <c r="N79" s="68"/>
      <c r="V79" s="1"/>
      <c r="W79" s="1"/>
    </row>
    <row r="80" spans="1:23" ht="15" customHeight="1" x14ac:dyDescent="0.3">
      <c r="A80" s="554" t="s">
        <v>75</v>
      </c>
      <c r="B80" s="554"/>
      <c r="C80" s="554"/>
      <c r="D80" s="554"/>
      <c r="E80" s="554"/>
      <c r="F80" s="554"/>
      <c r="G80" s="83">
        <f>Dados!$G$43</f>
        <v>0.03</v>
      </c>
      <c r="H80" s="84">
        <f>ROUND((H79*G80),2)</f>
        <v>4.79</v>
      </c>
      <c r="I80" s="68"/>
      <c r="J80" s="68"/>
      <c r="K80" s="1"/>
      <c r="L80" s="68"/>
      <c r="M80" s="68"/>
      <c r="N80" s="68"/>
      <c r="V80" s="1"/>
      <c r="W80" s="1"/>
    </row>
    <row r="81" spans="1:23" ht="15" customHeight="1" x14ac:dyDescent="0.3">
      <c r="A81" s="554" t="s">
        <v>76</v>
      </c>
      <c r="B81" s="554"/>
      <c r="C81" s="554"/>
      <c r="D81" s="554"/>
      <c r="E81" s="554"/>
      <c r="F81" s="554"/>
      <c r="G81" s="83">
        <f>Dados!$G$44</f>
        <v>6.7900000000000002E-2</v>
      </c>
      <c r="H81" s="84">
        <f>ROUND((SUM(H79:H80)*G81),2)</f>
        <v>11.16</v>
      </c>
      <c r="I81" s="68"/>
      <c r="J81" s="68"/>
      <c r="K81" s="1"/>
      <c r="L81" s="68"/>
      <c r="M81" s="68"/>
      <c r="N81" s="68"/>
      <c r="V81" s="1"/>
      <c r="W81" s="1"/>
    </row>
    <row r="82" spans="1:23" ht="15" customHeight="1" x14ac:dyDescent="0.3">
      <c r="A82" s="554" t="s">
        <v>77</v>
      </c>
      <c r="B82" s="554"/>
      <c r="C82" s="554"/>
      <c r="D82" s="554"/>
      <c r="E82" s="554"/>
      <c r="F82" s="554"/>
      <c r="G82" s="83">
        <f>Dados!$G$55</f>
        <v>0.1225</v>
      </c>
      <c r="H82" s="84">
        <f>ROUND((H83*G82),2)</f>
        <v>24.51</v>
      </c>
      <c r="I82" s="68"/>
      <c r="J82" s="68"/>
      <c r="K82" s="1"/>
      <c r="L82" s="68"/>
      <c r="M82" s="68"/>
      <c r="N82" s="68"/>
      <c r="V82" s="1"/>
      <c r="W82" s="1"/>
    </row>
    <row r="83" spans="1:23" ht="15.75" customHeight="1" thickBot="1" x14ac:dyDescent="0.35">
      <c r="A83" s="555" t="s">
        <v>82</v>
      </c>
      <c r="B83" s="555"/>
      <c r="C83" s="555"/>
      <c r="D83" s="555"/>
      <c r="E83" s="555"/>
      <c r="F83" s="555"/>
      <c r="G83" s="555"/>
      <c r="H83" s="85">
        <f>ROUND((SUM(H79:H81)/(1-G82)),2)</f>
        <v>200.05</v>
      </c>
      <c r="I83" s="68"/>
      <c r="J83" s="68"/>
      <c r="K83" s="1"/>
      <c r="L83" s="68"/>
      <c r="M83" s="68"/>
      <c r="N83" s="68"/>
      <c r="V83" s="1"/>
      <c r="W83" s="1"/>
    </row>
    <row r="84" spans="1:23" x14ac:dyDescent="0.3">
      <c r="A84" s="63"/>
      <c r="B84" s="68"/>
      <c r="C84" s="68"/>
      <c r="D84" s="68"/>
      <c r="E84" s="68"/>
      <c r="F84" s="68"/>
      <c r="G84" s="63"/>
      <c r="H84" s="68"/>
      <c r="I84" s="68"/>
      <c r="J84" s="68"/>
      <c r="K84" s="1"/>
      <c r="L84" s="68"/>
      <c r="M84" s="68"/>
      <c r="N84" s="68"/>
      <c r="V84" s="1"/>
      <c r="W84" s="1"/>
    </row>
    <row r="85" spans="1:23" x14ac:dyDescent="0.3">
      <c r="L85" s="1"/>
      <c r="M85" s="1"/>
      <c r="P85" s="3"/>
      <c r="Q85" s="3"/>
      <c r="V85" s="1"/>
      <c r="W85" s="1"/>
    </row>
    <row r="87" spans="1:23" x14ac:dyDescent="0.3">
      <c r="B87" s="553" t="s">
        <v>83</v>
      </c>
      <c r="C87" s="553"/>
    </row>
    <row r="88" spans="1:23" x14ac:dyDescent="0.3">
      <c r="B88" s="89" t="s">
        <v>84</v>
      </c>
      <c r="C88" s="90">
        <v>22</v>
      </c>
      <c r="D88" s="1" t="s">
        <v>85</v>
      </c>
    </row>
    <row r="89" spans="1:23" x14ac:dyDescent="0.3">
      <c r="B89" s="89" t="s">
        <v>5</v>
      </c>
      <c r="C89" s="91">
        <v>30</v>
      </c>
      <c r="D89" s="1" t="s">
        <v>86</v>
      </c>
    </row>
    <row r="90" spans="1:23" x14ac:dyDescent="0.3">
      <c r="B90" s="89" t="s">
        <v>87</v>
      </c>
      <c r="C90" s="91" t="s">
        <v>88</v>
      </c>
      <c r="D90" s="1" t="s">
        <v>89</v>
      </c>
    </row>
    <row r="92" spans="1:23" x14ac:dyDescent="0.3">
      <c r="B92" s="89" t="s">
        <v>90</v>
      </c>
      <c r="C92" s="89" t="s">
        <v>91</v>
      </c>
    </row>
    <row r="93" spans="1:23" x14ac:dyDescent="0.3">
      <c r="B93" s="89">
        <v>220</v>
      </c>
      <c r="C93" s="89">
        <v>8.8000000000000007</v>
      </c>
    </row>
    <row r="94" spans="1:23" x14ac:dyDescent="0.3">
      <c r="B94" s="89">
        <v>200</v>
      </c>
      <c r="C94" s="89">
        <v>8</v>
      </c>
    </row>
    <row r="95" spans="1:23" x14ac:dyDescent="0.3">
      <c r="B95" s="89">
        <v>180</v>
      </c>
      <c r="C95" s="89">
        <v>7.2</v>
      </c>
    </row>
    <row r="96" spans="1:23" x14ac:dyDescent="0.3">
      <c r="B96" s="89">
        <v>150</v>
      </c>
      <c r="C96" s="89">
        <v>6</v>
      </c>
    </row>
    <row r="97" spans="2:3" x14ac:dyDescent="0.3">
      <c r="B97" s="89">
        <v>120</v>
      </c>
      <c r="C97" s="89">
        <v>4.8</v>
      </c>
    </row>
    <row r="98" spans="2:3" x14ac:dyDescent="0.3">
      <c r="B98" s="89">
        <v>100</v>
      </c>
      <c r="C98" s="89">
        <v>4</v>
      </c>
    </row>
    <row r="99" spans="2:3" x14ac:dyDescent="0.3">
      <c r="B99" s="89">
        <v>75</v>
      </c>
      <c r="C99" s="89">
        <v>3</v>
      </c>
    </row>
    <row r="101" spans="2:3" x14ac:dyDescent="0.3">
      <c r="B101" s="89" t="s">
        <v>92</v>
      </c>
    </row>
    <row r="102" spans="2:3" x14ac:dyDescent="0.3">
      <c r="B102" s="92">
        <v>0</v>
      </c>
    </row>
    <row r="103" spans="2:3" x14ac:dyDescent="0.3">
      <c r="B103" s="92">
        <v>1</v>
      </c>
    </row>
    <row r="104" spans="2:3" x14ac:dyDescent="0.3">
      <c r="B104" s="92">
        <v>2</v>
      </c>
    </row>
  </sheetData>
  <sheetProtection algorithmName="SHA-512" hashValue="KFsynAyss+3nsCsQV2r+66sbsogIhWBBB+MCgUMMPadEorhSmJVgo4/UmZ6UV6tbFOWtreYFWmZRdxN5Y6iQ9A==" saltValue="7yq2bwIcBJQavgIiu1oiPg==" spinCount="100000" sheet="1" objects="1" scenarios="1"/>
  <mergeCells count="140">
    <mergeCell ref="B59:D59"/>
    <mergeCell ref="I59:K59"/>
    <mergeCell ref="C2:S2"/>
    <mergeCell ref="C3:S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B26:D26"/>
    <mergeCell ref="I26:K26"/>
    <mergeCell ref="B27:D27"/>
    <mergeCell ref="I27:K27"/>
    <mergeCell ref="B28:D28"/>
    <mergeCell ref="I28:K28"/>
    <mergeCell ref="B29:D29"/>
    <mergeCell ref="I29:K29"/>
    <mergeCell ref="T7:W9"/>
    <mergeCell ref="A15:G15"/>
    <mergeCell ref="I15:J15"/>
    <mergeCell ref="A18:B19"/>
    <mergeCell ref="A20:F21"/>
    <mergeCell ref="A24:A25"/>
    <mergeCell ref="B24:E24"/>
    <mergeCell ref="F24:H24"/>
    <mergeCell ref="I24:K25"/>
    <mergeCell ref="L24:O24"/>
    <mergeCell ref="B25:D25"/>
    <mergeCell ref="B30:D30"/>
    <mergeCell ref="I30:K30"/>
    <mergeCell ref="B31:D31"/>
    <mergeCell ref="I31:K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49:D49"/>
    <mergeCell ref="I49:K49"/>
    <mergeCell ref="B50:D50"/>
    <mergeCell ref="I50:K50"/>
    <mergeCell ref="B51:D51"/>
    <mergeCell ref="I51:K51"/>
    <mergeCell ref="B56:D56"/>
    <mergeCell ref="I56:K56"/>
    <mergeCell ref="B57:D57"/>
    <mergeCell ref="I57:K57"/>
    <mergeCell ref="B58:D58"/>
    <mergeCell ref="I58:K58"/>
    <mergeCell ref="I52:K52"/>
    <mergeCell ref="I53:K53"/>
    <mergeCell ref="I54:K54"/>
    <mergeCell ref="I55:K55"/>
    <mergeCell ref="B52:D52"/>
    <mergeCell ref="B53:D53"/>
    <mergeCell ref="B54:D54"/>
    <mergeCell ref="B55:D55"/>
    <mergeCell ref="L67:O67"/>
    <mergeCell ref="B68:D68"/>
    <mergeCell ref="I69:K69"/>
    <mergeCell ref="I70:K70"/>
    <mergeCell ref="I71:K71"/>
    <mergeCell ref="I72:K72"/>
    <mergeCell ref="A61:G61"/>
    <mergeCell ref="B60:D60"/>
    <mergeCell ref="I60:K60"/>
    <mergeCell ref="A62:F62"/>
    <mergeCell ref="A63:F63"/>
    <mergeCell ref="A64:F64"/>
    <mergeCell ref="A65:G65"/>
    <mergeCell ref="A67:A68"/>
    <mergeCell ref="B67:E67"/>
    <mergeCell ref="F67:H67"/>
    <mergeCell ref="I67:K68"/>
    <mergeCell ref="B69:D69"/>
    <mergeCell ref="B70:D70"/>
    <mergeCell ref="B71:D71"/>
    <mergeCell ref="B72:D72"/>
    <mergeCell ref="B87:C87"/>
    <mergeCell ref="A82:F82"/>
    <mergeCell ref="A83:G83"/>
    <mergeCell ref="A79:G79"/>
    <mergeCell ref="A80:F80"/>
    <mergeCell ref="A81:F81"/>
    <mergeCell ref="I73:K73"/>
    <mergeCell ref="I74:K74"/>
    <mergeCell ref="I75:K75"/>
    <mergeCell ref="I76:K76"/>
    <mergeCell ref="I77:K77"/>
    <mergeCell ref="I78:K78"/>
    <mergeCell ref="B73:D73"/>
    <mergeCell ref="B74:D74"/>
    <mergeCell ref="B75:D75"/>
    <mergeCell ref="B76:D76"/>
    <mergeCell ref="B77:D77"/>
    <mergeCell ref="B78:D78"/>
  </mergeCells>
  <conditionalFormatting sqref="I26:I60 I69:I78">
    <cfRule type="containsText" dxfId="1" priority="2" operator="containsText" text="inferior">
      <formula>NOT(ISERROR(SEARCH("inferior",I26)))</formula>
    </cfRule>
    <cfRule type="containsText" dxfId="0" priority="3" operator="containsText" text="superior">
      <formula>NOT(ISERROR(SEARCH("superior",I26)))</formula>
    </cfRule>
  </conditionalFormatting>
  <dataValidations disablePrompts="1" count="7">
    <dataValidation type="list" allowBlank="1" showInputMessage="1" showErrorMessage="1" sqref="C19" xr:uid="{00000000-0002-0000-0000-000000000000}">
      <formula1>$B$93:$B$99</formula1>
      <formula2>0</formula2>
    </dataValidation>
    <dataValidation type="list" allowBlank="1" showInputMessage="1" showErrorMessage="1" sqref="D14" xr:uid="{00000000-0002-0000-0000-000001000000}">
      <formula1>$B$102:$B$104</formula1>
      <formula2>0</formula2>
    </dataValidation>
    <dataValidation type="list" allowBlank="1" showInputMessage="1" showErrorMessage="1" sqref="D4:E4" xr:uid="{00000000-0002-0000-0000-000002000000}">
      <formula1>"PLANILHA PARA LICITAÇÃO (PRECIFICAÇÃO),PLANILHA PARA FATURAMENTO"</formula1>
      <formula2>0</formula2>
    </dataValidation>
    <dataValidation type="list" allowBlank="1" showInputMessage="1" showErrorMessage="1" sqref="D5" xr:uid="{00000000-0002-0000-0000-000003000000}">
      <formula1>$B$88:$B$90</formula1>
      <formula2>0</formula2>
    </dataValidation>
    <dataValidation type="list" allowBlank="1" showInputMessage="1" showErrorMessage="1" sqref="E11:E14" xr:uid="{00000000-0002-0000-0000-000004000000}">
      <formula1>"SIM,NÃO"</formula1>
      <formula2>0</formula2>
    </dataValidation>
    <dataValidation type="list" allowBlank="1" showInputMessage="1" showErrorMessage="1" sqref="D11:D13" xr:uid="{00000000-0002-0000-0000-000005000000}">
      <formula1>$B$102:$B$103</formula1>
      <formula2>0</formula2>
    </dataValidation>
    <dataValidation type="list" allowBlank="1" showInputMessage="1" showErrorMessage="1" sqref="N26:N60" xr:uid="{00000000-0002-0000-0000-000006000000}">
      <formula1>"Mensal,Bimestral,Trimestral,Quadrimestral,Semestral,Anual,Bienal"</formula1>
      <formula2>0</formula2>
    </dataValidation>
  </dataValidations>
  <pageMargins left="0.7" right="0.7" top="0.75" bottom="0.75" header="0.511811023622047" footer="0.511811023622047"/>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47"/>
  <sheetViews>
    <sheetView showGridLines="0" view="pageBreakPreview" zoomScale="50" zoomScaleNormal="100" zoomScaleSheetLayoutView="50" zoomScalePageLayoutView="140" workbookViewId="0"/>
  </sheetViews>
  <sheetFormatPr defaultColWidth="8.6640625" defaultRowHeight="14.4" x14ac:dyDescent="0.3"/>
  <cols>
    <col min="1" max="1" width="10.5546875" style="68" customWidth="1"/>
    <col min="2" max="2" width="27.6640625" style="68" customWidth="1"/>
    <col min="3" max="3" width="14.44140625" style="68" customWidth="1"/>
    <col min="4" max="5" width="15" style="68" customWidth="1"/>
    <col min="6" max="6" width="16.6640625" style="280" customWidth="1"/>
    <col min="7" max="8" width="13.109375" style="280" customWidth="1"/>
    <col min="9" max="10" width="12.5546875" style="280" customWidth="1"/>
    <col min="11" max="257" width="9.109375" style="68" customWidth="1"/>
    <col min="258" max="258" width="10.5546875" style="68" customWidth="1"/>
    <col min="259" max="259" width="27.6640625" style="68" customWidth="1"/>
    <col min="260" max="260" width="14.44140625" style="68" customWidth="1"/>
    <col min="261" max="262" width="15" style="68" customWidth="1"/>
    <col min="263" max="263" width="16.6640625" style="68" customWidth="1"/>
    <col min="264" max="264" width="13.109375" style="68" customWidth="1"/>
    <col min="265" max="266" width="12.5546875" style="68" customWidth="1"/>
    <col min="267" max="513" width="9.109375" style="68" customWidth="1"/>
    <col min="514" max="514" width="10.5546875" style="68" customWidth="1"/>
    <col min="515" max="515" width="27.6640625" style="68" customWidth="1"/>
    <col min="516" max="516" width="14.44140625" style="68" customWidth="1"/>
    <col min="517" max="518" width="15" style="68" customWidth="1"/>
    <col min="519" max="519" width="16.6640625" style="68" customWidth="1"/>
    <col min="520" max="520" width="13.109375" style="68" customWidth="1"/>
    <col min="521" max="522" width="12.5546875" style="68" customWidth="1"/>
    <col min="523" max="769" width="9.109375" style="68" customWidth="1"/>
    <col min="770" max="770" width="10.5546875" style="68" customWidth="1"/>
    <col min="771" max="771" width="27.6640625" style="68" customWidth="1"/>
    <col min="772" max="772" width="14.44140625" style="68" customWidth="1"/>
    <col min="773" max="774" width="15" style="68" customWidth="1"/>
    <col min="775" max="775" width="16.6640625" style="68" customWidth="1"/>
    <col min="776" max="776" width="13.109375" style="68" customWidth="1"/>
    <col min="777" max="778" width="12.5546875" style="68" customWidth="1"/>
    <col min="779" max="1025" width="9.109375" style="68" customWidth="1"/>
  </cols>
  <sheetData>
    <row r="1" spans="1:10" x14ac:dyDescent="0.3">
      <c r="A1" s="281"/>
      <c r="B1" s="95" t="str">
        <f>INSTRUÇÕES!B1</f>
        <v>Tribunal Regional Federal da 6ª Região</v>
      </c>
      <c r="C1" s="282"/>
      <c r="D1" s="282"/>
      <c r="E1" s="282"/>
      <c r="F1" s="283"/>
      <c r="G1" s="284"/>
      <c r="H1" s="284"/>
      <c r="I1" s="283"/>
      <c r="J1" s="285"/>
    </row>
    <row r="2" spans="1:10" x14ac:dyDescent="0.3">
      <c r="A2" s="286"/>
      <c r="B2" s="97" t="str">
        <f>INSTRUÇÕES!B2</f>
        <v>Seção Judiciária de Minas Gerais</v>
      </c>
      <c r="C2" s="57"/>
      <c r="D2" s="57"/>
      <c r="E2" s="57"/>
      <c r="F2" s="287"/>
      <c r="I2" s="287"/>
      <c r="J2" s="288"/>
    </row>
    <row r="3" spans="1:10" x14ac:dyDescent="0.3">
      <c r="A3" s="159"/>
      <c r="B3" s="289" t="str">
        <f>INSTRUÇÕES!B3</f>
        <v>Subseção Judiciária de Passos</v>
      </c>
      <c r="C3" s="57"/>
      <c r="D3" s="57"/>
      <c r="E3" s="57"/>
      <c r="F3" s="287"/>
      <c r="I3" s="287"/>
      <c r="J3" s="288"/>
    </row>
    <row r="4" spans="1:10" ht="19.5" customHeight="1" x14ac:dyDescent="0.3">
      <c r="A4" s="669" t="s">
        <v>362</v>
      </c>
      <c r="B4" s="669"/>
      <c r="C4" s="669"/>
      <c r="D4" s="669"/>
      <c r="E4" s="669"/>
      <c r="F4" s="669"/>
      <c r="G4" s="669"/>
      <c r="H4" s="669"/>
      <c r="I4" s="669"/>
      <c r="J4" s="669"/>
    </row>
    <row r="5" spans="1:10" ht="19.5" customHeight="1" x14ac:dyDescent="0.3">
      <c r="A5" s="719" t="s">
        <v>507</v>
      </c>
      <c r="B5" s="719"/>
      <c r="C5" s="719"/>
      <c r="D5" s="719"/>
      <c r="E5" s="719"/>
      <c r="F5" s="719"/>
      <c r="G5" s="719"/>
      <c r="H5" s="719"/>
      <c r="I5" s="719"/>
      <c r="J5" s="719"/>
    </row>
    <row r="6" spans="1:10" ht="36" customHeight="1" x14ac:dyDescent="0.3">
      <c r="A6" s="720" t="str">
        <f>Dados!A4</f>
        <v>Sindicato utilizado - SINSERTH x SINTAPPI. Vigência: 2025/2026. Sendo a data base da categoria 01° de Abril. Com número de registro no MTE MG001973/2025.</v>
      </c>
      <c r="B6" s="720"/>
      <c r="C6" s="720"/>
      <c r="D6" s="720"/>
      <c r="E6" s="720"/>
      <c r="F6" s="720"/>
      <c r="G6" s="720"/>
      <c r="H6" s="720"/>
      <c r="I6" s="720"/>
      <c r="J6" s="720"/>
    </row>
    <row r="7" spans="1:10" ht="19.5" customHeight="1" x14ac:dyDescent="0.3">
      <c r="A7" s="721" t="str">
        <f>Dados!C7</f>
        <v>Servente de Limpeza com insalubridade 40%</v>
      </c>
      <c r="B7" s="721"/>
      <c r="C7" s="721"/>
      <c r="D7" s="721"/>
      <c r="E7" s="721"/>
      <c r="F7" s="722" t="s">
        <v>363</v>
      </c>
      <c r="G7" s="722" t="s">
        <v>364</v>
      </c>
      <c r="H7" s="722" t="s">
        <v>365</v>
      </c>
      <c r="I7" s="722" t="s">
        <v>366</v>
      </c>
      <c r="J7" s="722" t="s">
        <v>367</v>
      </c>
    </row>
    <row r="8" spans="1:10" ht="19.5" customHeight="1" x14ac:dyDescent="0.3">
      <c r="A8" s="723" t="s">
        <v>368</v>
      </c>
      <c r="B8" s="723"/>
      <c r="C8" s="723"/>
      <c r="D8" s="723"/>
      <c r="E8" s="432" t="s">
        <v>339</v>
      </c>
      <c r="F8" s="722"/>
      <c r="G8" s="722"/>
      <c r="H8" s="722"/>
      <c r="I8" s="722"/>
      <c r="J8" s="722"/>
    </row>
    <row r="9" spans="1:10" ht="19.5" customHeight="1" x14ac:dyDescent="0.3">
      <c r="A9" s="703" t="s">
        <v>369</v>
      </c>
      <c r="B9" s="703"/>
      <c r="C9" s="703"/>
      <c r="D9" s="703"/>
      <c r="E9" s="703"/>
      <c r="F9" s="703"/>
      <c r="G9" s="703"/>
      <c r="H9" s="703"/>
      <c r="I9" s="703"/>
      <c r="J9" s="703"/>
    </row>
    <row r="10" spans="1:10" ht="24" customHeight="1" x14ac:dyDescent="0.3">
      <c r="A10" s="164" t="s">
        <v>340</v>
      </c>
      <c r="B10" s="713" t="s">
        <v>370</v>
      </c>
      <c r="C10" s="713"/>
      <c r="D10" s="433" t="s">
        <v>371</v>
      </c>
      <c r="E10" s="434" t="s">
        <v>372</v>
      </c>
      <c r="F10" s="714" t="s">
        <v>343</v>
      </c>
      <c r="G10" s="714"/>
      <c r="H10" s="714"/>
      <c r="I10" s="714"/>
      <c r="J10" s="714"/>
    </row>
    <row r="11" spans="1:10" ht="19.5" customHeight="1" x14ac:dyDescent="0.3">
      <c r="A11" s="715">
        <v>1</v>
      </c>
      <c r="B11" s="716" t="str">
        <f>A7</f>
        <v>Servente de Limpeza com insalubridade 40%</v>
      </c>
      <c r="C11" s="716"/>
      <c r="D11" s="28">
        <f>Dados!D7</f>
        <v>200</v>
      </c>
      <c r="E11" s="290">
        <f>Dados!E7</f>
        <v>1633.68</v>
      </c>
      <c r="F11" s="212">
        <f>ROUND(E11/220*D11,2)</f>
        <v>1485.16</v>
      </c>
      <c r="G11" s="212">
        <f>F11</f>
        <v>1485.16</v>
      </c>
      <c r="H11" s="212"/>
      <c r="I11" s="212"/>
      <c r="J11" s="291"/>
    </row>
    <row r="12" spans="1:10" ht="19.5" customHeight="1" x14ac:dyDescent="0.3">
      <c r="A12" s="715"/>
      <c r="B12" s="716" t="s">
        <v>373</v>
      </c>
      <c r="C12" s="716"/>
      <c r="D12" s="435">
        <f>Dados!G7</f>
        <v>0.4</v>
      </c>
      <c r="E12" s="290">
        <f>Dados!G27</f>
        <v>1518</v>
      </c>
      <c r="F12" s="212">
        <f>D12*E12</f>
        <v>607.20000000000005</v>
      </c>
      <c r="G12" s="212">
        <f>F12</f>
        <v>607.20000000000005</v>
      </c>
      <c r="H12" s="212"/>
      <c r="I12" s="212"/>
      <c r="J12" s="291">
        <f>F12</f>
        <v>607.20000000000005</v>
      </c>
    </row>
    <row r="13" spans="1:10" ht="20.25" customHeight="1" x14ac:dyDescent="0.3">
      <c r="A13" s="715"/>
      <c r="B13" s="436" t="s">
        <v>374</v>
      </c>
      <c r="C13" s="437">
        <f>Dados!I7</f>
        <v>0</v>
      </c>
      <c r="D13" s="437">
        <f>Dados!J7</f>
        <v>0</v>
      </c>
      <c r="E13" s="292">
        <f>Dados!K9</f>
        <v>0</v>
      </c>
      <c r="F13" s="293">
        <f>ROUND((E13*D13*C13),2)</f>
        <v>0</v>
      </c>
      <c r="G13" s="293">
        <f>F13</f>
        <v>0</v>
      </c>
      <c r="H13" s="293"/>
      <c r="I13" s="293"/>
      <c r="J13" s="294"/>
    </row>
    <row r="14" spans="1:10" ht="19.5" customHeight="1" x14ac:dyDescent="0.3">
      <c r="A14" s="715"/>
      <c r="B14" s="717" t="s">
        <v>375</v>
      </c>
      <c r="C14" s="717"/>
      <c r="D14" s="717"/>
      <c r="E14" s="717"/>
      <c r="F14" s="295">
        <f>SUM(F11:F13)</f>
        <v>2092.36</v>
      </c>
      <c r="G14" s="295">
        <f>SUM(G11:G13)</f>
        <v>2092.36</v>
      </c>
      <c r="H14" s="295">
        <f>SUM(H11:H13)</f>
        <v>0</v>
      </c>
      <c r="I14" s="295">
        <f>SUM(I11:I13)</f>
        <v>0</v>
      </c>
      <c r="J14" s="296">
        <f>SUM(J11:J13)</f>
        <v>607.20000000000005</v>
      </c>
    </row>
    <row r="15" spans="1:10" ht="19.5" customHeight="1" x14ac:dyDescent="0.3">
      <c r="A15" s="715"/>
      <c r="B15" s="718" t="s">
        <v>376</v>
      </c>
      <c r="C15" s="718"/>
      <c r="D15" s="718"/>
      <c r="E15" s="438">
        <f>Encargos!$C$57</f>
        <v>0.76400000000000001</v>
      </c>
      <c r="F15" s="212">
        <f>ROUND((E15*F14),2)</f>
        <v>1598.56</v>
      </c>
      <c r="G15" s="212">
        <f>F15</f>
        <v>1598.56</v>
      </c>
      <c r="H15" s="212"/>
      <c r="I15" s="212"/>
      <c r="J15" s="291">
        <f>ROUND((E15*J14),2)</f>
        <v>463.9</v>
      </c>
    </row>
    <row r="16" spans="1:10" ht="19.5" customHeight="1" x14ac:dyDescent="0.3">
      <c r="A16" s="709" t="s">
        <v>377</v>
      </c>
      <c r="B16" s="709"/>
      <c r="C16" s="709"/>
      <c r="D16" s="709"/>
      <c r="E16" s="709"/>
      <c r="F16" s="297">
        <f>SUM(F14:F15)</f>
        <v>3690.92</v>
      </c>
      <c r="G16" s="297">
        <f>SUM(G14:G15)</f>
        <v>3690.92</v>
      </c>
      <c r="H16" s="297">
        <f>SUM(H14:H15)</f>
        <v>0</v>
      </c>
      <c r="I16" s="297">
        <f>SUM(I14:I15)</f>
        <v>0</v>
      </c>
      <c r="J16" s="298">
        <f>SUM(J14:J15)</f>
        <v>1071.0999999999999</v>
      </c>
    </row>
    <row r="17" spans="1:12" ht="19.5" customHeight="1" x14ac:dyDescent="0.3">
      <c r="A17" s="710" t="s">
        <v>378</v>
      </c>
      <c r="B17" s="710"/>
      <c r="C17" s="710"/>
      <c r="D17" s="710"/>
      <c r="E17" s="710"/>
      <c r="F17" s="710"/>
      <c r="G17" s="710"/>
      <c r="H17" s="710"/>
      <c r="I17" s="710"/>
      <c r="J17" s="710"/>
    </row>
    <row r="18" spans="1:12" ht="19.5" customHeight="1" x14ac:dyDescent="0.3">
      <c r="A18" s="704" t="s">
        <v>379</v>
      </c>
      <c r="B18" s="704"/>
      <c r="C18" s="38" t="s">
        <v>342</v>
      </c>
      <c r="D18" s="711" t="s">
        <v>380</v>
      </c>
      <c r="E18" s="711"/>
      <c r="F18" s="712" t="s">
        <v>343</v>
      </c>
      <c r="G18" s="712"/>
      <c r="H18" s="712"/>
      <c r="I18" s="712"/>
      <c r="J18" s="712"/>
    </row>
    <row r="19" spans="1:12" ht="19.5" customHeight="1" x14ac:dyDescent="0.3">
      <c r="A19" s="695" t="s">
        <v>381</v>
      </c>
      <c r="B19" s="695"/>
      <c r="C19" s="300"/>
      <c r="D19" s="300"/>
      <c r="E19" s="300"/>
      <c r="F19" s="212">
        <f>Dados!$N$7</f>
        <v>32.619999999999997</v>
      </c>
      <c r="G19" s="212">
        <f t="shared" ref="G19:G24" si="0">F19</f>
        <v>32.619999999999997</v>
      </c>
      <c r="H19" s="212"/>
      <c r="I19" s="212"/>
      <c r="J19" s="291"/>
    </row>
    <row r="20" spans="1:12" ht="19.5" customHeight="1" x14ac:dyDescent="0.3">
      <c r="A20" s="695" t="s">
        <v>382</v>
      </c>
      <c r="B20" s="695"/>
      <c r="C20" s="300"/>
      <c r="D20" s="300"/>
      <c r="E20" s="300"/>
      <c r="F20" s="212">
        <f>Dados!$G$30</f>
        <v>5.27</v>
      </c>
      <c r="G20" s="212">
        <f t="shared" si="0"/>
        <v>5.27</v>
      </c>
      <c r="H20" s="212"/>
      <c r="I20" s="212"/>
      <c r="J20" s="291"/>
    </row>
    <row r="21" spans="1:12" ht="23.25" customHeight="1" x14ac:dyDescent="0.3">
      <c r="A21" s="708" t="s">
        <v>183</v>
      </c>
      <c r="B21" s="708"/>
      <c r="C21" s="300"/>
      <c r="D21" s="300"/>
      <c r="E21" s="300"/>
      <c r="F21" s="212">
        <f>Dados!G31</f>
        <v>0</v>
      </c>
      <c r="G21" s="212">
        <f t="shared" si="0"/>
        <v>0</v>
      </c>
      <c r="H21" s="212"/>
      <c r="I21" s="212"/>
      <c r="J21" s="291"/>
    </row>
    <row r="22" spans="1:12" ht="19.5" customHeight="1" x14ac:dyDescent="0.3">
      <c r="A22" s="695" t="s">
        <v>184</v>
      </c>
      <c r="B22" s="695"/>
      <c r="C22" s="299">
        <f>Dados!$G$34</f>
        <v>22</v>
      </c>
      <c r="D22" s="299">
        <f>Dados!$G$33</f>
        <v>2</v>
      </c>
      <c r="E22" s="300">
        <f>Dados!$G$32</f>
        <v>3.9</v>
      </c>
      <c r="F22" s="212">
        <f>IF(ROUND((E22*D22*C22)-(F11*Dados!$G$35),2)&lt;0,0,ROUND((E22*D22*C22)-(F11*Dados!$G$35),2))</f>
        <v>82.49</v>
      </c>
      <c r="G22" s="212">
        <f t="shared" si="0"/>
        <v>82.49</v>
      </c>
      <c r="H22" s="212"/>
      <c r="I22" s="212">
        <f>F22</f>
        <v>82.49</v>
      </c>
      <c r="J22" s="291"/>
    </row>
    <row r="23" spans="1:12" ht="19.5" customHeight="1" x14ac:dyDescent="0.3">
      <c r="A23" s="695" t="s">
        <v>193</v>
      </c>
      <c r="B23" s="695"/>
      <c r="C23" s="299">
        <f>Dados!$G$37</f>
        <v>22</v>
      </c>
      <c r="D23" s="301">
        <f>Dados!$G$38</f>
        <v>0.2</v>
      </c>
      <c r="E23" s="300">
        <f>Dados!$G$36</f>
        <v>29</v>
      </c>
      <c r="F23" s="238">
        <f>ROUND((IF(D11&gt;150,((C23*E23)-(C23*(D23*E23))),0)),2)</f>
        <v>510.4</v>
      </c>
      <c r="G23" s="212">
        <f t="shared" si="0"/>
        <v>510.4</v>
      </c>
      <c r="H23" s="212">
        <f>$F$23</f>
        <v>510.4</v>
      </c>
      <c r="I23" s="238"/>
      <c r="J23" s="291"/>
    </row>
    <row r="24" spans="1:12" ht="19.5" customHeight="1" x14ac:dyDescent="0.3">
      <c r="A24" s="695" t="s">
        <v>500</v>
      </c>
      <c r="B24" s="695"/>
      <c r="C24" s="299"/>
      <c r="D24" s="299"/>
      <c r="E24" s="300"/>
      <c r="F24" s="238">
        <f>Dados!Q7</f>
        <v>4.9400000000000004</v>
      </c>
      <c r="G24" s="212">
        <f t="shared" si="0"/>
        <v>4.9400000000000004</v>
      </c>
      <c r="H24" s="212"/>
      <c r="I24" s="238"/>
      <c r="J24" s="291"/>
    </row>
    <row r="25" spans="1:12" ht="19.5" customHeight="1" x14ac:dyDescent="0.3">
      <c r="A25" s="695" t="s">
        <v>196</v>
      </c>
      <c r="B25" s="695"/>
      <c r="C25" s="299"/>
      <c r="D25" s="299"/>
      <c r="E25" s="300"/>
      <c r="F25" s="238">
        <f>Dados!$G$40</f>
        <v>0</v>
      </c>
      <c r="G25" s="212"/>
      <c r="H25" s="212"/>
      <c r="I25" s="238"/>
      <c r="J25" s="291"/>
    </row>
    <row r="26" spans="1:12" ht="19.5" customHeight="1" x14ac:dyDescent="0.3">
      <c r="A26" s="695" t="s">
        <v>383</v>
      </c>
      <c r="B26" s="695"/>
      <c r="C26" s="299"/>
      <c r="D26" s="300"/>
      <c r="E26" s="300"/>
      <c r="F26" s="212">
        <f>Dados!$O$7</f>
        <v>498.73</v>
      </c>
      <c r="G26" s="212"/>
      <c r="H26" s="212"/>
      <c r="I26" s="212"/>
      <c r="J26" s="291"/>
      <c r="L26" s="57"/>
    </row>
    <row r="27" spans="1:12" ht="19.5" customHeight="1" x14ac:dyDescent="0.3">
      <c r="A27" s="439" t="s">
        <v>384</v>
      </c>
      <c r="B27" s="440"/>
      <c r="C27" s="299"/>
      <c r="D27" s="300"/>
      <c r="E27" s="300"/>
      <c r="F27" s="212"/>
      <c r="G27" s="212"/>
      <c r="H27" s="212"/>
      <c r="I27" s="212"/>
      <c r="J27" s="291"/>
    </row>
    <row r="28" spans="1:12" ht="19.5" customHeight="1" x14ac:dyDescent="0.3">
      <c r="A28" s="707" t="s">
        <v>385</v>
      </c>
      <c r="B28" s="707"/>
      <c r="C28" s="302"/>
      <c r="D28" s="303"/>
      <c r="E28" s="303"/>
      <c r="F28" s="293">
        <f>Dados!$R$7</f>
        <v>6.73</v>
      </c>
      <c r="G28" s="293">
        <f>F28</f>
        <v>6.73</v>
      </c>
      <c r="H28" s="293"/>
      <c r="I28" s="293"/>
      <c r="J28" s="294"/>
    </row>
    <row r="29" spans="1:12" ht="19.5" customHeight="1" x14ac:dyDescent="0.3">
      <c r="A29" s="702" t="s">
        <v>386</v>
      </c>
      <c r="B29" s="702"/>
      <c r="C29" s="702"/>
      <c r="D29" s="702"/>
      <c r="E29" s="702"/>
      <c r="F29" s="297">
        <f>SUM(F19:F28)</f>
        <v>1141.18</v>
      </c>
      <c r="G29" s="297">
        <f>SUM(G19:G28)</f>
        <v>642.45000000000005</v>
      </c>
      <c r="H29" s="297">
        <f>SUM(H19:H28)</f>
        <v>510.4</v>
      </c>
      <c r="I29" s="297">
        <f>SUM(I19:I28)</f>
        <v>82.49</v>
      </c>
      <c r="J29" s="298">
        <f>SUM(J19:J28)</f>
        <v>0</v>
      </c>
    </row>
    <row r="30" spans="1:12" ht="19.5" customHeight="1" x14ac:dyDescent="0.3">
      <c r="A30" s="702" t="s">
        <v>387</v>
      </c>
      <c r="B30" s="702"/>
      <c r="C30" s="702"/>
      <c r="D30" s="702"/>
      <c r="E30" s="702"/>
      <c r="F30" s="297">
        <f>F16+F29</f>
        <v>4832.1000000000004</v>
      </c>
      <c r="G30" s="297">
        <f>G16+G29</f>
        <v>4333.37</v>
      </c>
      <c r="H30" s="297">
        <f>H16+H29</f>
        <v>510.4</v>
      </c>
      <c r="I30" s="297">
        <f>I16+I29</f>
        <v>82.49</v>
      </c>
      <c r="J30" s="298">
        <f>J16+J29</f>
        <v>1071.0999999999999</v>
      </c>
    </row>
    <row r="31" spans="1:12" ht="19.5" customHeight="1" x14ac:dyDescent="0.3">
      <c r="A31" s="703" t="s">
        <v>388</v>
      </c>
      <c r="B31" s="703"/>
      <c r="C31" s="703"/>
      <c r="D31" s="703"/>
      <c r="E31" s="703"/>
      <c r="F31" s="703"/>
      <c r="G31" s="703"/>
      <c r="H31" s="703"/>
      <c r="I31" s="703"/>
      <c r="J31" s="703"/>
    </row>
    <row r="32" spans="1:12" ht="19.5" customHeight="1" x14ac:dyDescent="0.3">
      <c r="A32" s="704" t="s">
        <v>389</v>
      </c>
      <c r="B32" s="704"/>
      <c r="C32" s="704"/>
      <c r="D32" s="78" t="s">
        <v>390</v>
      </c>
      <c r="E32" s="705" t="s">
        <v>343</v>
      </c>
      <c r="F32" s="705"/>
      <c r="G32" s="705"/>
      <c r="H32" s="705"/>
      <c r="I32" s="705"/>
      <c r="J32" s="705"/>
    </row>
    <row r="33" spans="1:12" ht="19.5" customHeight="1" x14ac:dyDescent="0.3">
      <c r="A33" s="441" t="s">
        <v>391</v>
      </c>
      <c r="B33" s="442"/>
      <c r="C33" s="442"/>
      <c r="D33" s="435">
        <f>Dados!$G$43</f>
        <v>0.03</v>
      </c>
      <c r="E33" s="443"/>
      <c r="F33" s="212">
        <f>ROUND((F30*$D$33),2)</f>
        <v>144.96</v>
      </c>
      <c r="G33" s="212">
        <f>ROUND((G30*$D$33),2)</f>
        <v>130</v>
      </c>
      <c r="H33" s="212">
        <f>ROUND((H30*$D$33),2)</f>
        <v>15.31</v>
      </c>
      <c r="I33" s="212">
        <f>ROUND((I30*$D$33),2)</f>
        <v>2.4700000000000002</v>
      </c>
      <c r="J33" s="291">
        <f>ROUND((J30*$D$33),2)</f>
        <v>32.130000000000003</v>
      </c>
    </row>
    <row r="34" spans="1:12" ht="19.5" customHeight="1" x14ac:dyDescent="0.3">
      <c r="A34" s="706" t="s">
        <v>392</v>
      </c>
      <c r="B34" s="706"/>
      <c r="C34" s="706"/>
      <c r="D34" s="435"/>
      <c r="E34" s="443"/>
      <c r="F34" s="212">
        <f>F30+F33</f>
        <v>4977.0600000000004</v>
      </c>
      <c r="G34" s="212">
        <f>G30+G33</f>
        <v>4463.37</v>
      </c>
      <c r="H34" s="212">
        <f>H30+H33</f>
        <v>525.70999999999992</v>
      </c>
      <c r="I34" s="212">
        <f>I30+I33</f>
        <v>84.96</v>
      </c>
      <c r="J34" s="291">
        <f>J30+J33</f>
        <v>1103.23</v>
      </c>
    </row>
    <row r="35" spans="1:12" ht="19.5" customHeight="1" x14ac:dyDescent="0.3">
      <c r="A35" s="444" t="s">
        <v>201</v>
      </c>
      <c r="B35" s="445"/>
      <c r="C35" s="445"/>
      <c r="D35" s="446">
        <f>Dados!$G$44</f>
        <v>6.7900000000000002E-2</v>
      </c>
      <c r="E35" s="447"/>
      <c r="F35" s="293">
        <f>ROUND((F34*$D$35),2)</f>
        <v>337.94</v>
      </c>
      <c r="G35" s="293">
        <f>ROUND((G34*$D$35),2)</f>
        <v>303.06</v>
      </c>
      <c r="H35" s="293">
        <f>ROUND((H34*$D$35),2)</f>
        <v>35.700000000000003</v>
      </c>
      <c r="I35" s="293">
        <f>ROUND((I34*$D$35),2)</f>
        <v>5.77</v>
      </c>
      <c r="J35" s="294">
        <f>ROUND((J34*$D$35),2)</f>
        <v>74.91</v>
      </c>
    </row>
    <row r="36" spans="1:12" ht="19.5" customHeight="1" x14ac:dyDescent="0.3">
      <c r="A36" s="448" t="s">
        <v>393</v>
      </c>
      <c r="B36" s="449"/>
      <c r="C36" s="449"/>
      <c r="D36" s="450">
        <f>SUM(D33:D35)</f>
        <v>9.7900000000000001E-2</v>
      </c>
      <c r="E36" s="451"/>
      <c r="F36" s="297">
        <f>F33+F35</f>
        <v>482.9</v>
      </c>
      <c r="G36" s="297">
        <f>G33+G35</f>
        <v>433.06</v>
      </c>
      <c r="H36" s="297">
        <f>H33+H35</f>
        <v>51.010000000000005</v>
      </c>
      <c r="I36" s="297">
        <f>I33+I35</f>
        <v>8.24</v>
      </c>
      <c r="J36" s="298">
        <f>J33+J35</f>
        <v>107.03999999999999</v>
      </c>
    </row>
    <row r="37" spans="1:12" ht="19.5" customHeight="1" x14ac:dyDescent="0.3">
      <c r="A37" s="700" t="s">
        <v>394</v>
      </c>
      <c r="B37" s="700"/>
      <c r="C37" s="700"/>
      <c r="D37" s="700"/>
      <c r="E37" s="700"/>
      <c r="F37" s="304">
        <f>F30+F36</f>
        <v>5315</v>
      </c>
      <c r="G37" s="304">
        <f>G30+G36</f>
        <v>4766.43</v>
      </c>
      <c r="H37" s="304">
        <f>H30+H36</f>
        <v>561.41</v>
      </c>
      <c r="I37" s="304">
        <f>I30+I36</f>
        <v>90.72999999999999</v>
      </c>
      <c r="J37" s="305">
        <f>J30+J36</f>
        <v>1178.1399999999999</v>
      </c>
    </row>
    <row r="38" spans="1:12" ht="19.5" customHeight="1" x14ac:dyDescent="0.3">
      <c r="A38" s="701" t="s">
        <v>395</v>
      </c>
      <c r="B38" s="701"/>
      <c r="C38" s="701"/>
      <c r="D38" s="701"/>
      <c r="E38" s="701"/>
      <c r="F38" s="701"/>
      <c r="G38" s="701"/>
      <c r="H38" s="701"/>
      <c r="I38" s="701"/>
      <c r="J38" s="701"/>
    </row>
    <row r="39" spans="1:12" ht="19.5" customHeight="1" x14ac:dyDescent="0.3">
      <c r="A39" s="695" t="s">
        <v>207</v>
      </c>
      <c r="B39" s="695"/>
      <c r="C39" s="695"/>
      <c r="D39" s="435">
        <f>Dados!G51</f>
        <v>7.5999999999999998E-2</v>
      </c>
      <c r="E39" s="212"/>
      <c r="F39" s="212">
        <f>ROUND(($F$45*D39),2)</f>
        <v>460.33</v>
      </c>
      <c r="G39" s="212">
        <f>ROUND((G45*$D$39),2)</f>
        <v>412.82</v>
      </c>
      <c r="H39" s="212">
        <f>ROUND((H45*$D$39),2)</f>
        <v>48.62</v>
      </c>
      <c r="I39" s="212">
        <f>ROUND((I45*$D$39),2)</f>
        <v>7.86</v>
      </c>
      <c r="J39" s="291">
        <f>ROUND((J45*$D$39),2)</f>
        <v>102.04</v>
      </c>
    </row>
    <row r="40" spans="1:12" ht="19.5" customHeight="1" x14ac:dyDescent="0.3">
      <c r="A40" s="695" t="s">
        <v>209</v>
      </c>
      <c r="B40" s="695"/>
      <c r="C40" s="695"/>
      <c r="D40" s="435">
        <f>Dados!G52</f>
        <v>1.6500000000000001E-2</v>
      </c>
      <c r="E40" s="212"/>
      <c r="F40" s="212">
        <f>ROUND((F45*$D$40),2)</f>
        <v>99.94</v>
      </c>
      <c r="G40" s="212">
        <f>ROUND((G45*$D$40),2)</f>
        <v>89.63</v>
      </c>
      <c r="H40" s="212">
        <f>ROUND((H45*$D$40),2)</f>
        <v>10.56</v>
      </c>
      <c r="I40" s="212">
        <f>ROUND((I45*$D$40),2)</f>
        <v>1.71</v>
      </c>
      <c r="J40" s="291">
        <f>ROUND((J45*$D$40),2)</f>
        <v>22.15</v>
      </c>
    </row>
    <row r="41" spans="1:12" ht="19.5" customHeight="1" x14ac:dyDescent="0.3">
      <c r="A41" s="695" t="s">
        <v>210</v>
      </c>
      <c r="B41" s="695"/>
      <c r="C41" s="695"/>
      <c r="D41" s="435">
        <f>Dados!G53</f>
        <v>0.03</v>
      </c>
      <c r="E41" s="212"/>
      <c r="F41" s="212">
        <f>ROUND((F45*$D$41),2)</f>
        <v>181.71</v>
      </c>
      <c r="G41" s="212">
        <f>ROUND((G45*$D$41),2)</f>
        <v>162.94999999999999</v>
      </c>
      <c r="H41" s="212">
        <f>ROUND((H45*$D$41),2)</f>
        <v>19.190000000000001</v>
      </c>
      <c r="I41" s="212">
        <f>ROUND((I45*$D$41),2)</f>
        <v>3.1</v>
      </c>
      <c r="J41" s="291">
        <f>ROUND((J45*$D$41),2)</f>
        <v>40.28</v>
      </c>
    </row>
    <row r="42" spans="1:12" ht="19.5" customHeight="1" x14ac:dyDescent="0.3">
      <c r="A42" s="695" t="s">
        <v>196</v>
      </c>
      <c r="B42" s="695"/>
      <c r="C42" s="695"/>
      <c r="D42" s="435">
        <f>Dados!G54</f>
        <v>0</v>
      </c>
      <c r="E42" s="212"/>
      <c r="F42" s="212">
        <f>ROUND((F45*$D$42),2)</f>
        <v>0</v>
      </c>
      <c r="G42" s="212">
        <f>ROUND((G45*$D$42),2)</f>
        <v>0</v>
      </c>
      <c r="H42" s="212">
        <f>ROUND((H45*$D$42),2)</f>
        <v>0</v>
      </c>
      <c r="I42" s="212">
        <f>ROUND((I45*$D$42),2)</f>
        <v>0</v>
      </c>
      <c r="J42" s="291">
        <f>ROUND((J45*$D$42),2)</f>
        <v>0</v>
      </c>
    </row>
    <row r="43" spans="1:12" ht="19.5" customHeight="1" x14ac:dyDescent="0.3">
      <c r="A43" s="696" t="s">
        <v>396</v>
      </c>
      <c r="B43" s="696"/>
      <c r="C43" s="696"/>
      <c r="D43" s="452">
        <f>SUM(D39:D42)</f>
        <v>0.1225</v>
      </c>
      <c r="E43" s="453"/>
      <c r="F43" s="306">
        <f>SUM(F39:F42)</f>
        <v>741.98</v>
      </c>
      <c r="G43" s="306">
        <f>SUM(G39:G42)</f>
        <v>665.4</v>
      </c>
      <c r="H43" s="306">
        <f>SUM(H39:H42)</f>
        <v>78.37</v>
      </c>
      <c r="I43" s="306">
        <f>SUM(I39:I42)</f>
        <v>12.67</v>
      </c>
      <c r="J43" s="307">
        <f>SUM(J39:J41)</f>
        <v>164.47</v>
      </c>
    </row>
    <row r="44" spans="1:12" ht="19.5" customHeight="1" x14ac:dyDescent="0.3">
      <c r="A44" s="697" t="str">
        <f>CONCATENATE("Custo Mensal - ",A7)</f>
        <v>Custo Mensal - Servente de Limpeza com insalubridade 40%</v>
      </c>
      <c r="B44" s="697"/>
      <c r="C44" s="697"/>
      <c r="D44" s="697"/>
      <c r="E44" s="697"/>
      <c r="F44" s="308">
        <f>ROUND(F37/(1-D43),2)</f>
        <v>6056.98</v>
      </c>
      <c r="G44" s="308">
        <f>ROUND(G37/(1-D43),2)</f>
        <v>5431.83</v>
      </c>
      <c r="H44" s="308">
        <f>ROUND(H37/(1-D43),2)</f>
        <v>639.78</v>
      </c>
      <c r="I44" s="308">
        <f>ROUND(I37/(1-D43),2)</f>
        <v>103.4</v>
      </c>
      <c r="J44" s="309">
        <f>ROUND(J37/(1-D43),2)</f>
        <v>1342.61</v>
      </c>
    </row>
    <row r="45" spans="1:12" ht="19.5" customHeight="1" x14ac:dyDescent="0.3">
      <c r="A45" s="698" t="str">
        <f>CONCATENATE("Valor do Custo Mensal - ",A7)</f>
        <v>Valor do Custo Mensal - Servente de Limpeza com insalubridade 40%</v>
      </c>
      <c r="B45" s="698"/>
      <c r="C45" s="698"/>
      <c r="D45" s="698"/>
      <c r="E45" s="698"/>
      <c r="F45" s="308">
        <f>F44</f>
        <v>6056.98</v>
      </c>
      <c r="G45" s="308">
        <f>G44</f>
        <v>5431.83</v>
      </c>
      <c r="H45" s="308">
        <f>H44</f>
        <v>639.78</v>
      </c>
      <c r="I45" s="308">
        <f>I44</f>
        <v>103.4</v>
      </c>
      <c r="J45" s="309">
        <f>J44</f>
        <v>1342.61</v>
      </c>
      <c r="K45" s="310"/>
      <c r="L45" s="310"/>
    </row>
    <row r="46" spans="1:12" ht="27.75" customHeight="1" x14ac:dyDescent="0.3">
      <c r="A46" s="699" t="s">
        <v>397</v>
      </c>
      <c r="B46" s="699"/>
      <c r="C46" s="699"/>
      <c r="D46" s="699"/>
      <c r="E46" s="699"/>
      <c r="F46" s="311">
        <f>(F45/F14)</f>
        <v>2.8948077768644014</v>
      </c>
      <c r="G46" s="311">
        <f>(G45/G14)</f>
        <v>2.5960303198302395</v>
      </c>
      <c r="H46" s="694" t="s">
        <v>398</v>
      </c>
      <c r="I46" s="694"/>
      <c r="J46" s="312">
        <f>ROUND((J45/30),2)</f>
        <v>44.75</v>
      </c>
    </row>
    <row r="47" spans="1:12" ht="19.5" customHeight="1" x14ac:dyDescent="0.3"/>
  </sheetData>
  <sheetProtection algorithmName="SHA-512" hashValue="Md7A5WyHp/j1XauWpEHQKAqogwewK5XWdSlpGm9UruOW9oMGEw5KLgsFVWv/MLJXFEjyxTYti/181u4F0KD0rQ==" saltValue="EOfKyLztpNUFquqvgeVCPQ=="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1"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K47"/>
  <sheetViews>
    <sheetView showGridLines="0" view="pageBreakPreview" zoomScale="50" zoomScaleNormal="100" zoomScaleSheetLayoutView="50" zoomScalePageLayoutView="140" workbookViewId="0">
      <selection activeCell="J21" sqref="J21"/>
    </sheetView>
  </sheetViews>
  <sheetFormatPr defaultColWidth="8.6640625" defaultRowHeight="14.4" x14ac:dyDescent="0.3"/>
  <cols>
    <col min="1" max="1" width="10.5546875" style="68" customWidth="1"/>
    <col min="2" max="2" width="27.6640625" style="68" customWidth="1"/>
    <col min="3" max="3" width="14.44140625" style="68" customWidth="1"/>
    <col min="4" max="5" width="15" style="68" customWidth="1"/>
    <col min="6" max="6" width="16.6640625" style="280" customWidth="1"/>
    <col min="7" max="8" width="13.109375" style="280" customWidth="1"/>
    <col min="9" max="10" width="12.5546875" style="280" customWidth="1"/>
    <col min="11" max="257" width="9.109375" style="68" customWidth="1"/>
    <col min="258" max="258" width="10.5546875" style="68" customWidth="1"/>
    <col min="259" max="259" width="27.6640625" style="68" customWidth="1"/>
    <col min="260" max="260" width="14.44140625" style="68" customWidth="1"/>
    <col min="261" max="262" width="15" style="68" customWidth="1"/>
    <col min="263" max="263" width="16.6640625" style="68" customWidth="1"/>
    <col min="264" max="264" width="13.109375" style="68" customWidth="1"/>
    <col min="265" max="266" width="12.5546875" style="68" customWidth="1"/>
    <col min="267" max="513" width="9.109375" style="68" customWidth="1"/>
    <col min="514" max="514" width="10.5546875" style="68" customWidth="1"/>
    <col min="515" max="515" width="27.6640625" style="68" customWidth="1"/>
    <col min="516" max="516" width="14.44140625" style="68" customWidth="1"/>
    <col min="517" max="518" width="15" style="68" customWidth="1"/>
    <col min="519" max="519" width="16.6640625" style="68" customWidth="1"/>
    <col min="520" max="520" width="13.109375" style="68" customWidth="1"/>
    <col min="521" max="522" width="12.5546875" style="68" customWidth="1"/>
    <col min="523" max="769" width="9.109375" style="68" customWidth="1"/>
    <col min="770" max="770" width="10.5546875" style="68" customWidth="1"/>
    <col min="771" max="771" width="27.6640625" style="68" customWidth="1"/>
    <col min="772" max="772" width="14.44140625" style="68" customWidth="1"/>
    <col min="773" max="774" width="15" style="68" customWidth="1"/>
    <col min="775" max="775" width="16.6640625" style="68" customWidth="1"/>
    <col min="776" max="776" width="13.109375" style="68" customWidth="1"/>
    <col min="777" max="778" width="12.5546875" style="68" customWidth="1"/>
    <col min="779" max="1025" width="9.109375" style="68" customWidth="1"/>
  </cols>
  <sheetData>
    <row r="1" spans="1:10" x14ac:dyDescent="0.3">
      <c r="A1" s="281"/>
      <c r="B1" s="95" t="str">
        <f>INSTRUÇÕES!B1</f>
        <v>Tribunal Regional Federal da 6ª Região</v>
      </c>
      <c r="C1" s="282"/>
      <c r="D1" s="282"/>
      <c r="E1" s="282"/>
      <c r="F1" s="283"/>
      <c r="G1" s="284"/>
      <c r="H1" s="284"/>
      <c r="I1" s="283"/>
      <c r="J1" s="285"/>
    </row>
    <row r="2" spans="1:10" x14ac:dyDescent="0.3">
      <c r="A2" s="286"/>
      <c r="B2" s="97" t="str">
        <f>INSTRUÇÕES!B2</f>
        <v>Seção Judiciária de Minas Gerais</v>
      </c>
      <c r="C2" s="57"/>
      <c r="D2" s="57"/>
      <c r="E2" s="57"/>
      <c r="F2" s="287"/>
      <c r="I2" s="287"/>
      <c r="J2" s="288"/>
    </row>
    <row r="3" spans="1:10" x14ac:dyDescent="0.3">
      <c r="A3" s="159"/>
      <c r="B3" s="289" t="str">
        <f>INSTRUÇÕES!B3</f>
        <v>Subseção Judiciária de Passos</v>
      </c>
      <c r="C3" s="57"/>
      <c r="D3" s="57"/>
      <c r="E3" s="57"/>
      <c r="F3" s="287"/>
      <c r="I3" s="287"/>
      <c r="J3" s="288"/>
    </row>
    <row r="4" spans="1:10" ht="19.5" customHeight="1" x14ac:dyDescent="0.3">
      <c r="A4" s="669" t="s">
        <v>362</v>
      </c>
      <c r="B4" s="669"/>
      <c r="C4" s="669"/>
      <c r="D4" s="669"/>
      <c r="E4" s="669"/>
      <c r="F4" s="669"/>
      <c r="G4" s="669"/>
      <c r="H4" s="669"/>
      <c r="I4" s="669"/>
      <c r="J4" s="669"/>
    </row>
    <row r="5" spans="1:10" ht="19.5" customHeight="1" x14ac:dyDescent="0.3">
      <c r="A5" s="719" t="s">
        <v>507</v>
      </c>
      <c r="B5" s="719"/>
      <c r="C5" s="719"/>
      <c r="D5" s="719"/>
      <c r="E5" s="719"/>
      <c r="F5" s="719"/>
      <c r="G5" s="719"/>
      <c r="H5" s="719"/>
      <c r="I5" s="719"/>
      <c r="J5" s="719"/>
    </row>
    <row r="6" spans="1:10" ht="36" customHeight="1" x14ac:dyDescent="0.3">
      <c r="A6" s="720" t="str">
        <f>Dados!A4</f>
        <v>Sindicato utilizado - SINSERTH x SINTAPPI. Vigência: 2025/2026. Sendo a data base da categoria 01° de Abril. Com número de registro no MTE MG001973/2025.</v>
      </c>
      <c r="B6" s="720"/>
      <c r="C6" s="720"/>
      <c r="D6" s="720"/>
      <c r="E6" s="720"/>
      <c r="F6" s="720"/>
      <c r="G6" s="720"/>
      <c r="H6" s="720"/>
      <c r="I6" s="720"/>
      <c r="J6" s="720"/>
    </row>
    <row r="7" spans="1:10" ht="19.5" customHeight="1" x14ac:dyDescent="0.3">
      <c r="A7" s="721" t="str">
        <f>Dados!C8</f>
        <v>Servente de Limpeza acúmulo de função Copeira</v>
      </c>
      <c r="B7" s="721"/>
      <c r="C7" s="721"/>
      <c r="D7" s="721"/>
      <c r="E7" s="721"/>
      <c r="F7" s="722" t="s">
        <v>363</v>
      </c>
      <c r="G7" s="722" t="s">
        <v>364</v>
      </c>
      <c r="H7" s="722" t="s">
        <v>365</v>
      </c>
      <c r="I7" s="722" t="s">
        <v>366</v>
      </c>
      <c r="J7" s="722" t="s">
        <v>367</v>
      </c>
    </row>
    <row r="8" spans="1:10" ht="19.5" customHeight="1" x14ac:dyDescent="0.3">
      <c r="A8" s="723" t="s">
        <v>368</v>
      </c>
      <c r="B8" s="723"/>
      <c r="C8" s="723"/>
      <c r="D8" s="723"/>
      <c r="E8" s="432" t="s">
        <v>339</v>
      </c>
      <c r="F8" s="722"/>
      <c r="G8" s="722"/>
      <c r="H8" s="722"/>
      <c r="I8" s="722"/>
      <c r="J8" s="722"/>
    </row>
    <row r="9" spans="1:10" ht="19.5" customHeight="1" x14ac:dyDescent="0.3">
      <c r="A9" s="703" t="s">
        <v>369</v>
      </c>
      <c r="B9" s="703"/>
      <c r="C9" s="703"/>
      <c r="D9" s="703"/>
      <c r="E9" s="703"/>
      <c r="F9" s="703"/>
      <c r="G9" s="703"/>
      <c r="H9" s="703"/>
      <c r="I9" s="703"/>
      <c r="J9" s="703"/>
    </row>
    <row r="10" spans="1:10" ht="24" customHeight="1" x14ac:dyDescent="0.3">
      <c r="A10" s="164" t="s">
        <v>340</v>
      </c>
      <c r="B10" s="713" t="s">
        <v>370</v>
      </c>
      <c r="C10" s="713"/>
      <c r="D10" s="433" t="s">
        <v>371</v>
      </c>
      <c r="E10" s="434" t="s">
        <v>372</v>
      </c>
      <c r="F10" s="714" t="s">
        <v>343</v>
      </c>
      <c r="G10" s="714"/>
      <c r="H10" s="714"/>
      <c r="I10" s="714"/>
      <c r="J10" s="714"/>
    </row>
    <row r="11" spans="1:10" ht="19.5" customHeight="1" x14ac:dyDescent="0.3">
      <c r="A11" s="715">
        <v>1</v>
      </c>
      <c r="B11" s="716" t="str">
        <f>A7</f>
        <v>Servente de Limpeza acúmulo de função Copeira</v>
      </c>
      <c r="C11" s="716"/>
      <c r="D11" s="28">
        <f>Dados!D8</f>
        <v>200</v>
      </c>
      <c r="E11" s="290">
        <f>Dados!E8</f>
        <v>1633.68</v>
      </c>
      <c r="F11" s="212">
        <f>ROUND(E11/220*D11,2)</f>
        <v>1485.16</v>
      </c>
      <c r="G11" s="212">
        <f>F11</f>
        <v>1485.16</v>
      </c>
      <c r="H11" s="212"/>
      <c r="I11" s="212"/>
      <c r="J11" s="291"/>
    </row>
    <row r="12" spans="1:10" ht="19.5" customHeight="1" x14ac:dyDescent="0.3">
      <c r="A12" s="715"/>
      <c r="B12" s="716" t="s">
        <v>373</v>
      </c>
      <c r="C12" s="716"/>
      <c r="D12" s="454">
        <f>Dados!G8</f>
        <v>0</v>
      </c>
      <c r="E12" s="290">
        <f>Dados!G27</f>
        <v>1518</v>
      </c>
      <c r="F12" s="212">
        <f>D12*E12</f>
        <v>0</v>
      </c>
      <c r="G12" s="212">
        <f>F12</f>
        <v>0</v>
      </c>
      <c r="H12" s="212"/>
      <c r="I12" s="212"/>
      <c r="J12" s="291">
        <f>F12</f>
        <v>0</v>
      </c>
    </row>
    <row r="13" spans="1:10" ht="21" customHeight="1" x14ac:dyDescent="0.3">
      <c r="A13" s="715"/>
      <c r="B13" s="436" t="s">
        <v>374</v>
      </c>
      <c r="C13" s="437">
        <f>Dados!I8</f>
        <v>0.12</v>
      </c>
      <c r="D13" s="437">
        <f>Dados!J8</f>
        <v>0.25</v>
      </c>
      <c r="E13" s="292">
        <f>Dados!K8</f>
        <v>1485.16</v>
      </c>
      <c r="F13" s="293">
        <f>ROUND((E13*D13*C13),2)</f>
        <v>44.55</v>
      </c>
      <c r="G13" s="293">
        <f>F13</f>
        <v>44.55</v>
      </c>
      <c r="H13" s="293"/>
      <c r="I13" s="293"/>
      <c r="J13" s="294"/>
    </row>
    <row r="14" spans="1:10" ht="19.5" customHeight="1" x14ac:dyDescent="0.3">
      <c r="A14" s="715"/>
      <c r="B14" s="717" t="s">
        <v>375</v>
      </c>
      <c r="C14" s="717"/>
      <c r="D14" s="717"/>
      <c r="E14" s="717"/>
      <c r="F14" s="295">
        <f>SUM(F11:F13)</f>
        <v>1529.71</v>
      </c>
      <c r="G14" s="295">
        <f>SUM(G11:G13)</f>
        <v>1529.71</v>
      </c>
      <c r="H14" s="295">
        <f>SUM(H11:H13)</f>
        <v>0</v>
      </c>
      <c r="I14" s="295">
        <f>SUM(I11:I13)</f>
        <v>0</v>
      </c>
      <c r="J14" s="296">
        <f>SUM(J11:J13)</f>
        <v>0</v>
      </c>
    </row>
    <row r="15" spans="1:10" ht="19.5" customHeight="1" x14ac:dyDescent="0.3">
      <c r="A15" s="715"/>
      <c r="B15" s="718" t="s">
        <v>376</v>
      </c>
      <c r="C15" s="718"/>
      <c r="D15" s="718"/>
      <c r="E15" s="438">
        <f>Encargos!$C$57</f>
        <v>0.76400000000000001</v>
      </c>
      <c r="F15" s="212">
        <f>ROUND((E15*F14),2)</f>
        <v>1168.7</v>
      </c>
      <c r="G15" s="212">
        <f>F15</f>
        <v>1168.7</v>
      </c>
      <c r="H15" s="212"/>
      <c r="I15" s="212"/>
      <c r="J15" s="291">
        <f>ROUND((E15*J14),2)</f>
        <v>0</v>
      </c>
    </row>
    <row r="16" spans="1:10" ht="19.5" customHeight="1" x14ac:dyDescent="0.3">
      <c r="A16" s="709" t="s">
        <v>377</v>
      </c>
      <c r="B16" s="709"/>
      <c r="C16" s="709"/>
      <c r="D16" s="709"/>
      <c r="E16" s="709"/>
      <c r="F16" s="297">
        <f>SUM(F14:F15)</f>
        <v>2698.41</v>
      </c>
      <c r="G16" s="297">
        <f>SUM(G14:G15)</f>
        <v>2698.41</v>
      </c>
      <c r="H16" s="297">
        <f>SUM(H14:H15)</f>
        <v>0</v>
      </c>
      <c r="I16" s="297">
        <f>SUM(I14:I15)</f>
        <v>0</v>
      </c>
      <c r="J16" s="298">
        <f>SUM(J14:J15)</f>
        <v>0</v>
      </c>
    </row>
    <row r="17" spans="1:12" ht="19.5" customHeight="1" x14ac:dyDescent="0.3">
      <c r="A17" s="710" t="s">
        <v>378</v>
      </c>
      <c r="B17" s="710"/>
      <c r="C17" s="710"/>
      <c r="D17" s="710"/>
      <c r="E17" s="710"/>
      <c r="F17" s="710"/>
      <c r="G17" s="710"/>
      <c r="H17" s="710"/>
      <c r="I17" s="710"/>
      <c r="J17" s="710"/>
    </row>
    <row r="18" spans="1:12" ht="19.5" customHeight="1" x14ac:dyDescent="0.3">
      <c r="A18" s="704" t="s">
        <v>379</v>
      </c>
      <c r="B18" s="704"/>
      <c r="C18" s="38" t="s">
        <v>342</v>
      </c>
      <c r="D18" s="711" t="s">
        <v>399</v>
      </c>
      <c r="E18" s="711"/>
      <c r="F18" s="712" t="s">
        <v>343</v>
      </c>
      <c r="G18" s="712"/>
      <c r="H18" s="712"/>
      <c r="I18" s="712"/>
      <c r="J18" s="712"/>
    </row>
    <row r="19" spans="1:12" ht="19.5" customHeight="1" x14ac:dyDescent="0.3">
      <c r="A19" s="695" t="s">
        <v>381</v>
      </c>
      <c r="B19" s="695"/>
      <c r="C19" s="300"/>
      <c r="D19" s="300"/>
      <c r="E19" s="300"/>
      <c r="F19" s="212">
        <f>Dados!$N$8</f>
        <v>41.94</v>
      </c>
      <c r="G19" s="212">
        <f t="shared" ref="G19:G24" si="0">F19</f>
        <v>41.94</v>
      </c>
      <c r="H19" s="212"/>
      <c r="I19" s="212"/>
      <c r="J19" s="291"/>
    </row>
    <row r="20" spans="1:12" ht="19.5" customHeight="1" x14ac:dyDescent="0.3">
      <c r="A20" s="695" t="s">
        <v>382</v>
      </c>
      <c r="B20" s="695"/>
      <c r="C20" s="300"/>
      <c r="D20" s="300"/>
      <c r="E20" s="300"/>
      <c r="F20" s="212">
        <f>Dados!$G$30</f>
        <v>5.27</v>
      </c>
      <c r="G20" s="212">
        <f t="shared" si="0"/>
        <v>5.27</v>
      </c>
      <c r="H20" s="212"/>
      <c r="I20" s="212"/>
      <c r="J20" s="291"/>
    </row>
    <row r="21" spans="1:12" ht="23.25" customHeight="1" x14ac:dyDescent="0.3">
      <c r="A21" s="708" t="s">
        <v>183</v>
      </c>
      <c r="B21" s="708"/>
      <c r="C21" s="300"/>
      <c r="D21" s="300"/>
      <c r="E21" s="300"/>
      <c r="F21" s="212">
        <f>Dados!G31</f>
        <v>0</v>
      </c>
      <c r="G21" s="212">
        <f t="shared" si="0"/>
        <v>0</v>
      </c>
      <c r="H21" s="212"/>
      <c r="I21" s="212"/>
      <c r="J21" s="291"/>
    </row>
    <row r="22" spans="1:12" ht="19.5" customHeight="1" x14ac:dyDescent="0.3">
      <c r="A22" s="695" t="s">
        <v>184</v>
      </c>
      <c r="B22" s="695"/>
      <c r="C22" s="299">
        <f>Dados!$G$34</f>
        <v>22</v>
      </c>
      <c r="D22" s="299">
        <f>Dados!$G$33</f>
        <v>2</v>
      </c>
      <c r="E22" s="300">
        <f>Dados!$G$32</f>
        <v>3.9</v>
      </c>
      <c r="F22" s="212">
        <f>IF(ROUND((E22*D22*C22)-(F11*Dados!$G$35),2)&lt;0,0,ROUND((E22*D22*C22)-(F11*Dados!$G$35),2))</f>
        <v>82.49</v>
      </c>
      <c r="G22" s="212">
        <f t="shared" si="0"/>
        <v>82.49</v>
      </c>
      <c r="H22" s="212"/>
      <c r="I22" s="212">
        <f>F22</f>
        <v>82.49</v>
      </c>
      <c r="J22" s="291"/>
    </row>
    <row r="23" spans="1:12" ht="19.5" customHeight="1" x14ac:dyDescent="0.3">
      <c r="A23" s="695" t="s">
        <v>193</v>
      </c>
      <c r="B23" s="695"/>
      <c r="C23" s="299">
        <f>Dados!G37</f>
        <v>22</v>
      </c>
      <c r="D23" s="301">
        <f>Dados!G38</f>
        <v>0.2</v>
      </c>
      <c r="E23" s="300">
        <f>Dados!$G$36</f>
        <v>29</v>
      </c>
      <c r="F23" s="238">
        <f>ROUND((IF(D11&gt;150,((C23*E23)-(C23*(D23*E23))),0)),2)</f>
        <v>510.4</v>
      </c>
      <c r="G23" s="212">
        <f t="shared" si="0"/>
        <v>510.4</v>
      </c>
      <c r="H23" s="212">
        <f>$F$23</f>
        <v>510.4</v>
      </c>
      <c r="I23" s="238"/>
      <c r="J23" s="291"/>
    </row>
    <row r="24" spans="1:12" ht="19.5" customHeight="1" x14ac:dyDescent="0.3">
      <c r="A24" s="695" t="s">
        <v>500</v>
      </c>
      <c r="B24" s="695"/>
      <c r="C24" s="299"/>
      <c r="D24" s="299"/>
      <c r="E24" s="300"/>
      <c r="F24" s="238">
        <f>Dados!Q8</f>
        <v>4.9400000000000004</v>
      </c>
      <c r="G24" s="212">
        <f t="shared" si="0"/>
        <v>4.9400000000000004</v>
      </c>
      <c r="H24" s="212"/>
      <c r="I24" s="238"/>
      <c r="J24" s="291"/>
    </row>
    <row r="25" spans="1:12" ht="19.5" customHeight="1" x14ac:dyDescent="0.3">
      <c r="A25" s="695" t="s">
        <v>196</v>
      </c>
      <c r="B25" s="695"/>
      <c r="C25" s="299"/>
      <c r="D25" s="299"/>
      <c r="E25" s="300"/>
      <c r="F25" s="238">
        <f>Dados!$G$40</f>
        <v>0</v>
      </c>
      <c r="G25" s="212"/>
      <c r="H25" s="212"/>
      <c r="I25" s="238"/>
      <c r="J25" s="291"/>
    </row>
    <row r="26" spans="1:12" ht="19.5" customHeight="1" x14ac:dyDescent="0.3">
      <c r="A26" s="695" t="s">
        <v>383</v>
      </c>
      <c r="B26" s="695"/>
      <c r="C26" s="299"/>
      <c r="D26" s="300"/>
      <c r="E26" s="300"/>
      <c r="F26" s="212">
        <f>Dados!$O$8</f>
        <v>498.73</v>
      </c>
      <c r="G26" s="212"/>
      <c r="H26" s="212"/>
      <c r="I26" s="212"/>
      <c r="J26" s="291"/>
      <c r="L26" s="57"/>
    </row>
    <row r="27" spans="1:12" ht="19.5" customHeight="1" x14ac:dyDescent="0.3">
      <c r="A27" s="439" t="s">
        <v>384</v>
      </c>
      <c r="B27" s="440"/>
      <c r="C27" s="299"/>
      <c r="D27" s="300"/>
      <c r="E27" s="300"/>
      <c r="F27" s="212">
        <f>Dados!P8</f>
        <v>159.595</v>
      </c>
      <c r="G27" s="212"/>
      <c r="H27" s="212"/>
      <c r="I27" s="212"/>
      <c r="J27" s="291"/>
    </row>
    <row r="28" spans="1:12" ht="19.5" customHeight="1" x14ac:dyDescent="0.3">
      <c r="A28" s="707" t="s">
        <v>385</v>
      </c>
      <c r="B28" s="707"/>
      <c r="C28" s="302"/>
      <c r="D28" s="303"/>
      <c r="E28" s="303"/>
      <c r="F28" s="293">
        <f>Dados!$R$8</f>
        <v>7.7200000000000006</v>
      </c>
      <c r="G28" s="293">
        <f>F28</f>
        <v>7.7200000000000006</v>
      </c>
      <c r="H28" s="293"/>
      <c r="I28" s="293"/>
      <c r="J28" s="294"/>
    </row>
    <row r="29" spans="1:12" ht="19.5" customHeight="1" x14ac:dyDescent="0.3">
      <c r="A29" s="702" t="s">
        <v>386</v>
      </c>
      <c r="B29" s="702"/>
      <c r="C29" s="702"/>
      <c r="D29" s="702"/>
      <c r="E29" s="702"/>
      <c r="F29" s="297">
        <f>SUM(F19:F28)</f>
        <v>1311.085</v>
      </c>
      <c r="G29" s="297">
        <f>SUM(G19:G28)</f>
        <v>652.76</v>
      </c>
      <c r="H29" s="297">
        <f>SUM(H19:H28)</f>
        <v>510.4</v>
      </c>
      <c r="I29" s="297">
        <f>SUM(I19:I28)</f>
        <v>82.49</v>
      </c>
      <c r="J29" s="298">
        <f>SUM(J19:J28)</f>
        <v>0</v>
      </c>
    </row>
    <row r="30" spans="1:12" ht="19.5" customHeight="1" x14ac:dyDescent="0.3">
      <c r="A30" s="702" t="s">
        <v>387</v>
      </c>
      <c r="B30" s="702"/>
      <c r="C30" s="702"/>
      <c r="D30" s="702"/>
      <c r="E30" s="702"/>
      <c r="F30" s="297">
        <f>F16+F29</f>
        <v>4009.4949999999999</v>
      </c>
      <c r="G30" s="297">
        <f>G16+G29</f>
        <v>3351.17</v>
      </c>
      <c r="H30" s="297">
        <f>H16+H29</f>
        <v>510.4</v>
      </c>
      <c r="I30" s="297">
        <f>I16+I29</f>
        <v>82.49</v>
      </c>
      <c r="J30" s="298">
        <f>J16+J29</f>
        <v>0</v>
      </c>
    </row>
    <row r="31" spans="1:12" ht="19.5" customHeight="1" x14ac:dyDescent="0.3">
      <c r="A31" s="703" t="s">
        <v>388</v>
      </c>
      <c r="B31" s="703"/>
      <c r="C31" s="703"/>
      <c r="D31" s="703"/>
      <c r="E31" s="703"/>
      <c r="F31" s="703"/>
      <c r="G31" s="703"/>
      <c r="H31" s="703"/>
      <c r="I31" s="703"/>
      <c r="J31" s="703"/>
    </row>
    <row r="32" spans="1:12" ht="19.5" customHeight="1" x14ac:dyDescent="0.3">
      <c r="A32" s="704" t="s">
        <v>389</v>
      </c>
      <c r="B32" s="704"/>
      <c r="C32" s="704"/>
      <c r="D32" s="78" t="s">
        <v>390</v>
      </c>
      <c r="E32" s="705" t="s">
        <v>343</v>
      </c>
      <c r="F32" s="705"/>
      <c r="G32" s="705"/>
      <c r="H32" s="705"/>
      <c r="I32" s="705"/>
      <c r="J32" s="705"/>
    </row>
    <row r="33" spans="1:12" ht="19.5" customHeight="1" x14ac:dyDescent="0.3">
      <c r="A33" s="441" t="s">
        <v>391</v>
      </c>
      <c r="B33" s="442"/>
      <c r="C33" s="442"/>
      <c r="D33" s="435">
        <f>Dados!$G$43</f>
        <v>0.03</v>
      </c>
      <c r="E33" s="443"/>
      <c r="F33" s="212">
        <f>ROUND((F30*$D$33),2)</f>
        <v>120.28</v>
      </c>
      <c r="G33" s="212">
        <f>ROUND((G30*$D$33),2)</f>
        <v>100.54</v>
      </c>
      <c r="H33" s="212">
        <f>ROUND((H30*$D$33),2)</f>
        <v>15.31</v>
      </c>
      <c r="I33" s="212">
        <f>ROUND((I30*$D$33),2)</f>
        <v>2.4700000000000002</v>
      </c>
      <c r="J33" s="291">
        <f>ROUND((J30*$D$33),2)</f>
        <v>0</v>
      </c>
    </row>
    <row r="34" spans="1:12" ht="19.5" customHeight="1" x14ac:dyDescent="0.3">
      <c r="A34" s="706" t="s">
        <v>392</v>
      </c>
      <c r="B34" s="706"/>
      <c r="C34" s="706"/>
      <c r="D34" s="435"/>
      <c r="E34" s="443"/>
      <c r="F34" s="212">
        <f>F30+F33</f>
        <v>4129.7749999999996</v>
      </c>
      <c r="G34" s="212">
        <f>G30+G33</f>
        <v>3451.71</v>
      </c>
      <c r="H34" s="212">
        <f>H30+H33</f>
        <v>525.70999999999992</v>
      </c>
      <c r="I34" s="212">
        <f>I30+I33</f>
        <v>84.96</v>
      </c>
      <c r="J34" s="291">
        <f>J30+J33</f>
        <v>0</v>
      </c>
    </row>
    <row r="35" spans="1:12" ht="19.5" customHeight="1" x14ac:dyDescent="0.3">
      <c r="A35" s="444" t="s">
        <v>201</v>
      </c>
      <c r="B35" s="445"/>
      <c r="C35" s="445"/>
      <c r="D35" s="446">
        <f>Dados!$G$44</f>
        <v>6.7900000000000002E-2</v>
      </c>
      <c r="E35" s="447"/>
      <c r="F35" s="293">
        <f>ROUND((F34*$D$35),2)</f>
        <v>280.41000000000003</v>
      </c>
      <c r="G35" s="293">
        <f>ROUND((G34*$D$35),2)</f>
        <v>234.37</v>
      </c>
      <c r="H35" s="293">
        <f>ROUND((H34*$D$35),2)</f>
        <v>35.700000000000003</v>
      </c>
      <c r="I35" s="293">
        <f>ROUND((I34*$D$35),2)</f>
        <v>5.77</v>
      </c>
      <c r="J35" s="294">
        <f>ROUND((J34*$D$35),2)</f>
        <v>0</v>
      </c>
    </row>
    <row r="36" spans="1:12" ht="19.5" customHeight="1" x14ac:dyDescent="0.3">
      <c r="A36" s="448" t="s">
        <v>393</v>
      </c>
      <c r="B36" s="449"/>
      <c r="C36" s="449"/>
      <c r="D36" s="450">
        <f>SUM(D33:D35)</f>
        <v>9.7900000000000001E-2</v>
      </c>
      <c r="E36" s="451"/>
      <c r="F36" s="297">
        <f>F33+F35</f>
        <v>400.69000000000005</v>
      </c>
      <c r="G36" s="297">
        <f>G33+G35</f>
        <v>334.91</v>
      </c>
      <c r="H36" s="297">
        <f>H33+H35</f>
        <v>51.010000000000005</v>
      </c>
      <c r="I36" s="297">
        <f>I33+I35</f>
        <v>8.24</v>
      </c>
      <c r="J36" s="298">
        <f>J33+J35</f>
        <v>0</v>
      </c>
    </row>
    <row r="37" spans="1:12" ht="19.5" customHeight="1" x14ac:dyDescent="0.3">
      <c r="A37" s="700" t="s">
        <v>394</v>
      </c>
      <c r="B37" s="700"/>
      <c r="C37" s="700"/>
      <c r="D37" s="700"/>
      <c r="E37" s="700"/>
      <c r="F37" s="304">
        <f>F30+F36</f>
        <v>4410.1849999999995</v>
      </c>
      <c r="G37" s="304">
        <f>G30+G36</f>
        <v>3686.08</v>
      </c>
      <c r="H37" s="304">
        <f>H30+H36</f>
        <v>561.41</v>
      </c>
      <c r="I37" s="304">
        <f>I30+I36</f>
        <v>90.72999999999999</v>
      </c>
      <c r="J37" s="305">
        <f>J30+J36</f>
        <v>0</v>
      </c>
    </row>
    <row r="38" spans="1:12" ht="19.5" customHeight="1" x14ac:dyDescent="0.3">
      <c r="A38" s="701" t="s">
        <v>395</v>
      </c>
      <c r="B38" s="701"/>
      <c r="C38" s="701"/>
      <c r="D38" s="701"/>
      <c r="E38" s="701"/>
      <c r="F38" s="701"/>
      <c r="G38" s="701"/>
      <c r="H38" s="701"/>
      <c r="I38" s="701"/>
      <c r="J38" s="701"/>
    </row>
    <row r="39" spans="1:12" ht="19.5" customHeight="1" x14ac:dyDescent="0.3">
      <c r="A39" s="695" t="s">
        <v>207</v>
      </c>
      <c r="B39" s="695"/>
      <c r="C39" s="695"/>
      <c r="D39" s="435">
        <f>Dados!G51</f>
        <v>7.5999999999999998E-2</v>
      </c>
      <c r="E39" s="212"/>
      <c r="F39" s="212">
        <f>ROUND(($F$45*D39),2)</f>
        <v>381.96</v>
      </c>
      <c r="G39" s="212">
        <f>ROUND((G45*$D$39),2)</f>
        <v>319.25</v>
      </c>
      <c r="H39" s="212">
        <f>ROUND((H45*$D$39),2)</f>
        <v>48.62</v>
      </c>
      <c r="I39" s="212">
        <f>ROUND((I45*$D$39),2)</f>
        <v>7.86</v>
      </c>
      <c r="J39" s="291">
        <f>ROUND((J45*$D$39),2)</f>
        <v>0</v>
      </c>
    </row>
    <row r="40" spans="1:12" ht="19.5" customHeight="1" x14ac:dyDescent="0.3">
      <c r="A40" s="695" t="s">
        <v>209</v>
      </c>
      <c r="B40" s="695"/>
      <c r="C40" s="695"/>
      <c r="D40" s="435">
        <f>Dados!G52</f>
        <v>1.6500000000000001E-2</v>
      </c>
      <c r="E40" s="212"/>
      <c r="F40" s="212">
        <f>ROUND((F45*$D$40),2)</f>
        <v>82.93</v>
      </c>
      <c r="G40" s="212">
        <f>ROUND((G45*$D$40),2)</f>
        <v>69.31</v>
      </c>
      <c r="H40" s="212">
        <f>ROUND((H45*$D$40),2)</f>
        <v>10.56</v>
      </c>
      <c r="I40" s="212">
        <f>ROUND((I45*$D$40),2)</f>
        <v>1.71</v>
      </c>
      <c r="J40" s="291">
        <f>ROUND((J45*$D$40),2)</f>
        <v>0</v>
      </c>
    </row>
    <row r="41" spans="1:12" ht="19.5" customHeight="1" x14ac:dyDescent="0.3">
      <c r="A41" s="695" t="s">
        <v>210</v>
      </c>
      <c r="B41" s="695"/>
      <c r="C41" s="695"/>
      <c r="D41" s="435">
        <f>Dados!G53</f>
        <v>0.03</v>
      </c>
      <c r="E41" s="212"/>
      <c r="F41" s="212">
        <f>ROUND((F45*$D$41),2)</f>
        <v>150.78</v>
      </c>
      <c r="G41" s="212">
        <f>ROUND((G45*$D$41),2)</f>
        <v>126.02</v>
      </c>
      <c r="H41" s="212">
        <f>ROUND((H45*$D$41),2)</f>
        <v>19.190000000000001</v>
      </c>
      <c r="I41" s="212">
        <f>ROUND((I45*$D$41),2)</f>
        <v>3.1</v>
      </c>
      <c r="J41" s="291">
        <f>ROUND((J45*$D$41),2)</f>
        <v>0</v>
      </c>
    </row>
    <row r="42" spans="1:12" ht="19.5" customHeight="1" x14ac:dyDescent="0.3">
      <c r="A42" s="695" t="s">
        <v>196</v>
      </c>
      <c r="B42" s="695"/>
      <c r="C42" s="695"/>
      <c r="D42" s="435">
        <f>Dados!G54</f>
        <v>0</v>
      </c>
      <c r="E42" s="212"/>
      <c r="F42" s="212">
        <f>ROUND((F45*$D$42),2)</f>
        <v>0</v>
      </c>
      <c r="G42" s="212">
        <f>ROUND((G45*$D$42),2)</f>
        <v>0</v>
      </c>
      <c r="H42" s="212">
        <f>ROUND((H45*$D$42),2)</f>
        <v>0</v>
      </c>
      <c r="I42" s="212">
        <f>ROUND((I45*$D$42),2)</f>
        <v>0</v>
      </c>
      <c r="J42" s="291">
        <f>ROUND((J45*$D$42),2)</f>
        <v>0</v>
      </c>
    </row>
    <row r="43" spans="1:12" ht="19.5" customHeight="1" x14ac:dyDescent="0.3">
      <c r="A43" s="696" t="s">
        <v>396</v>
      </c>
      <c r="B43" s="696"/>
      <c r="C43" s="696"/>
      <c r="D43" s="452">
        <f>SUM(D39:D42)</f>
        <v>0.1225</v>
      </c>
      <c r="E43" s="453"/>
      <c r="F43" s="306">
        <f>SUM(F39:F42)</f>
        <v>615.66999999999996</v>
      </c>
      <c r="G43" s="306">
        <f>SUM(G39:G42)</f>
        <v>514.58000000000004</v>
      </c>
      <c r="H43" s="306">
        <f>SUM(H39:H42)</f>
        <v>78.37</v>
      </c>
      <c r="I43" s="306">
        <f>SUM(I39:I42)</f>
        <v>12.67</v>
      </c>
      <c r="J43" s="307">
        <f>SUM(J39:J41)</f>
        <v>0</v>
      </c>
    </row>
    <row r="44" spans="1:12" ht="19.5" customHeight="1" x14ac:dyDescent="0.3">
      <c r="A44" s="697" t="str">
        <f>CONCATENATE("Custo Mensal - ",A7)</f>
        <v>Custo Mensal - Servente de Limpeza acúmulo de função Copeira</v>
      </c>
      <c r="B44" s="697"/>
      <c r="C44" s="697"/>
      <c r="D44" s="697"/>
      <c r="E44" s="697"/>
      <c r="F44" s="308">
        <f>ROUND(F37/(1-D43),2)</f>
        <v>5025.8500000000004</v>
      </c>
      <c r="G44" s="308">
        <f>ROUND(G37/(1-D43),2)</f>
        <v>4200.66</v>
      </c>
      <c r="H44" s="308">
        <f>ROUND(H37/(1-D43),2)</f>
        <v>639.78</v>
      </c>
      <c r="I44" s="308">
        <f>ROUND(I37/(1-D43),2)</f>
        <v>103.4</v>
      </c>
      <c r="J44" s="309">
        <f>ROUND(J37/(1-D43),2)</f>
        <v>0</v>
      </c>
    </row>
    <row r="45" spans="1:12" ht="19.5" customHeight="1" x14ac:dyDescent="0.3">
      <c r="A45" s="698" t="str">
        <f>CONCATENATE("Valor do Custo Mensal - ",A7)</f>
        <v>Valor do Custo Mensal - Servente de Limpeza acúmulo de função Copeira</v>
      </c>
      <c r="B45" s="698"/>
      <c r="C45" s="698"/>
      <c r="D45" s="698"/>
      <c r="E45" s="698"/>
      <c r="F45" s="308">
        <f>F44</f>
        <v>5025.8500000000004</v>
      </c>
      <c r="G45" s="308">
        <f>G44</f>
        <v>4200.66</v>
      </c>
      <c r="H45" s="308">
        <f>H44</f>
        <v>639.78</v>
      </c>
      <c r="I45" s="308">
        <f>I44</f>
        <v>103.4</v>
      </c>
      <c r="J45" s="309">
        <f>J44</f>
        <v>0</v>
      </c>
      <c r="K45" s="310"/>
      <c r="L45" s="310"/>
    </row>
    <row r="46" spans="1:12" ht="27.75" customHeight="1" x14ac:dyDescent="0.3">
      <c r="A46" s="699" t="s">
        <v>397</v>
      </c>
      <c r="B46" s="699"/>
      <c r="C46" s="699"/>
      <c r="D46" s="699"/>
      <c r="E46" s="699"/>
      <c r="F46" s="311">
        <f>(F45/F14)</f>
        <v>3.2854920213635266</v>
      </c>
      <c r="G46" s="311">
        <f>(G45/G14)</f>
        <v>2.746049904883932</v>
      </c>
      <c r="H46" s="694" t="s">
        <v>398</v>
      </c>
      <c r="I46" s="694"/>
      <c r="J46" s="312">
        <v>0</v>
      </c>
    </row>
    <row r="47" spans="1:12" ht="19.5" customHeight="1" x14ac:dyDescent="0.3"/>
  </sheetData>
  <sheetProtection algorithmName="SHA-512" hashValue="t8gtLkGU8C6b/GFyz3novS6Nh2Yh/Yli6h883p03qVe74z7kQyX8KkmWn/XrcP4uMJ0LFckle6szglyKUasfLw==" saltValue="DKBQgNYPQB4Jg6SgSJjPHg=="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1"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K47"/>
  <sheetViews>
    <sheetView showGridLines="0" view="pageBreakPreview" topLeftCell="A11" zoomScale="50" zoomScaleNormal="100" zoomScaleSheetLayoutView="50" zoomScalePageLayoutView="140" workbookViewId="0"/>
  </sheetViews>
  <sheetFormatPr defaultColWidth="8.6640625" defaultRowHeight="14.4" x14ac:dyDescent="0.3"/>
  <cols>
    <col min="1" max="1" width="10.5546875" style="68" customWidth="1"/>
    <col min="2" max="2" width="27.6640625" style="68" customWidth="1"/>
    <col min="3" max="3" width="14.44140625" style="68" customWidth="1"/>
    <col min="4" max="5" width="15" style="68" customWidth="1"/>
    <col min="6" max="6" width="16.6640625" style="280" customWidth="1"/>
    <col min="7" max="8" width="13.109375" style="280" customWidth="1"/>
    <col min="9" max="10" width="12.5546875" style="280" customWidth="1"/>
    <col min="11" max="257" width="9.109375" style="68" customWidth="1"/>
    <col min="258" max="258" width="10.5546875" style="68" customWidth="1"/>
    <col min="259" max="259" width="27.6640625" style="68" customWidth="1"/>
    <col min="260" max="260" width="14.44140625" style="68" customWidth="1"/>
    <col min="261" max="262" width="15" style="68" customWidth="1"/>
    <col min="263" max="263" width="16.6640625" style="68" customWidth="1"/>
    <col min="264" max="264" width="13.109375" style="68" customWidth="1"/>
    <col min="265" max="266" width="12.5546875" style="68" customWidth="1"/>
    <col min="267" max="513" width="9.109375" style="68" customWidth="1"/>
    <col min="514" max="514" width="10.5546875" style="68" customWidth="1"/>
    <col min="515" max="515" width="27.6640625" style="68" customWidth="1"/>
    <col min="516" max="516" width="14.44140625" style="68" customWidth="1"/>
    <col min="517" max="518" width="15" style="68" customWidth="1"/>
    <col min="519" max="519" width="16.6640625" style="68" customWidth="1"/>
    <col min="520" max="520" width="13.109375" style="68" customWidth="1"/>
    <col min="521" max="522" width="12.5546875" style="68" customWidth="1"/>
    <col min="523" max="769" width="9.109375" style="68" customWidth="1"/>
    <col min="770" max="770" width="10.5546875" style="68" customWidth="1"/>
    <col min="771" max="771" width="27.6640625" style="68" customWidth="1"/>
    <col min="772" max="772" width="14.44140625" style="68" customWidth="1"/>
    <col min="773" max="774" width="15" style="68" customWidth="1"/>
    <col min="775" max="775" width="16.6640625" style="68" customWidth="1"/>
    <col min="776" max="776" width="13.109375" style="68" customWidth="1"/>
    <col min="777" max="778" width="12.5546875" style="68" customWidth="1"/>
    <col min="779" max="1025" width="9.109375" style="68" customWidth="1"/>
  </cols>
  <sheetData>
    <row r="1" spans="1:10" x14ac:dyDescent="0.3">
      <c r="A1" s="281"/>
      <c r="B1" s="95" t="str">
        <f>INSTRUÇÕES!B1</f>
        <v>Tribunal Regional Federal da 6ª Região</v>
      </c>
      <c r="C1" s="282"/>
      <c r="D1" s="282"/>
      <c r="E1" s="282"/>
      <c r="F1" s="283"/>
      <c r="G1" s="284"/>
      <c r="H1" s="284"/>
      <c r="I1" s="283"/>
      <c r="J1" s="285"/>
    </row>
    <row r="2" spans="1:10" x14ac:dyDescent="0.3">
      <c r="A2" s="286"/>
      <c r="B2" s="97" t="str">
        <f>INSTRUÇÕES!B2</f>
        <v>Seção Judiciária de Minas Gerais</v>
      </c>
      <c r="C2" s="57"/>
      <c r="D2" s="57"/>
      <c r="E2" s="57"/>
      <c r="F2" s="287"/>
      <c r="I2" s="287"/>
      <c r="J2" s="288"/>
    </row>
    <row r="3" spans="1:10" x14ac:dyDescent="0.3">
      <c r="A3" s="159"/>
      <c r="B3" s="289" t="str">
        <f>INSTRUÇÕES!B3</f>
        <v>Subseção Judiciária de Passos</v>
      </c>
      <c r="C3" s="57"/>
      <c r="D3" s="57"/>
      <c r="E3" s="57"/>
      <c r="F3" s="287"/>
      <c r="I3" s="287"/>
      <c r="J3" s="288"/>
    </row>
    <row r="4" spans="1:10" ht="19.5" customHeight="1" x14ac:dyDescent="0.3">
      <c r="A4" s="669" t="s">
        <v>362</v>
      </c>
      <c r="B4" s="669"/>
      <c r="C4" s="669"/>
      <c r="D4" s="669"/>
      <c r="E4" s="669"/>
      <c r="F4" s="669"/>
      <c r="G4" s="669"/>
      <c r="H4" s="669"/>
      <c r="I4" s="669"/>
      <c r="J4" s="669"/>
    </row>
    <row r="5" spans="1:10" ht="19.5" customHeight="1" x14ac:dyDescent="0.3">
      <c r="A5" s="719" t="s">
        <v>507</v>
      </c>
      <c r="B5" s="719"/>
      <c r="C5" s="719"/>
      <c r="D5" s="719"/>
      <c r="E5" s="719"/>
      <c r="F5" s="719"/>
      <c r="G5" s="719"/>
      <c r="H5" s="719"/>
      <c r="I5" s="719"/>
      <c r="J5" s="719"/>
    </row>
    <row r="6" spans="1:10" ht="36" customHeight="1" x14ac:dyDescent="0.3">
      <c r="A6" s="720" t="str">
        <f>Dados!A4</f>
        <v>Sindicato utilizado - SINSERTH x SINTAPPI. Vigência: 2025/2026. Sendo a data base da categoria 01° de Abril. Com número de registro no MTE MG001973/2025.</v>
      </c>
      <c r="B6" s="720"/>
      <c r="C6" s="720"/>
      <c r="D6" s="720"/>
      <c r="E6" s="720"/>
      <c r="F6" s="720"/>
      <c r="G6" s="720"/>
      <c r="H6" s="720"/>
      <c r="I6" s="720"/>
      <c r="J6" s="720"/>
    </row>
    <row r="7" spans="1:10" ht="19.5" customHeight="1" x14ac:dyDescent="0.3">
      <c r="A7" s="721" t="str">
        <f>Dados!C9</f>
        <v>Auxiliar Administrativo</v>
      </c>
      <c r="B7" s="721"/>
      <c r="C7" s="721"/>
      <c r="D7" s="721"/>
      <c r="E7" s="721"/>
      <c r="F7" s="722" t="s">
        <v>363</v>
      </c>
      <c r="G7" s="722" t="s">
        <v>364</v>
      </c>
      <c r="H7" s="722" t="s">
        <v>365</v>
      </c>
      <c r="I7" s="722" t="s">
        <v>366</v>
      </c>
      <c r="J7" s="722" t="s">
        <v>367</v>
      </c>
    </row>
    <row r="8" spans="1:10" ht="19.5" customHeight="1" x14ac:dyDescent="0.3">
      <c r="A8" s="723" t="s">
        <v>368</v>
      </c>
      <c r="B8" s="723"/>
      <c r="C8" s="723"/>
      <c r="D8" s="723"/>
      <c r="E8" s="432" t="s">
        <v>339</v>
      </c>
      <c r="F8" s="722"/>
      <c r="G8" s="722"/>
      <c r="H8" s="722"/>
      <c r="I8" s="722"/>
      <c r="J8" s="722"/>
    </row>
    <row r="9" spans="1:10" ht="19.5" customHeight="1" x14ac:dyDescent="0.3">
      <c r="A9" s="703" t="s">
        <v>369</v>
      </c>
      <c r="B9" s="703"/>
      <c r="C9" s="703"/>
      <c r="D9" s="703"/>
      <c r="E9" s="703"/>
      <c r="F9" s="703"/>
      <c r="G9" s="703"/>
      <c r="H9" s="703"/>
      <c r="I9" s="703"/>
      <c r="J9" s="703"/>
    </row>
    <row r="10" spans="1:10" ht="24" customHeight="1" x14ac:dyDescent="0.3">
      <c r="A10" s="164" t="s">
        <v>340</v>
      </c>
      <c r="B10" s="713" t="s">
        <v>370</v>
      </c>
      <c r="C10" s="713"/>
      <c r="D10" s="433" t="s">
        <v>371</v>
      </c>
      <c r="E10" s="434" t="s">
        <v>372</v>
      </c>
      <c r="F10" s="714" t="s">
        <v>343</v>
      </c>
      <c r="G10" s="714"/>
      <c r="H10" s="714"/>
      <c r="I10" s="714"/>
      <c r="J10" s="714"/>
    </row>
    <row r="11" spans="1:10" ht="19.5" customHeight="1" x14ac:dyDescent="0.3">
      <c r="A11" s="715">
        <v>1</v>
      </c>
      <c r="B11" s="716" t="str">
        <f>A7</f>
        <v>Auxiliar Administrativo</v>
      </c>
      <c r="C11" s="716"/>
      <c r="D11" s="28">
        <f>Dados!$D$9</f>
        <v>150</v>
      </c>
      <c r="E11" s="290">
        <f>Dados!$E$9</f>
        <v>2048</v>
      </c>
      <c r="F11" s="212">
        <f>ROUND(E11/220*D11,2)</f>
        <v>1396.36</v>
      </c>
      <c r="G11" s="212">
        <f>F11</f>
        <v>1396.36</v>
      </c>
      <c r="H11" s="212"/>
      <c r="I11" s="212"/>
      <c r="J11" s="291"/>
    </row>
    <row r="12" spans="1:10" ht="19.5" customHeight="1" x14ac:dyDescent="0.3">
      <c r="A12" s="715"/>
      <c r="B12" s="716" t="s">
        <v>373</v>
      </c>
      <c r="C12" s="716"/>
      <c r="D12" s="454">
        <f>Dados!G8</f>
        <v>0</v>
      </c>
      <c r="E12" s="290">
        <f>Dados!$G$27</f>
        <v>1518</v>
      </c>
      <c r="F12" s="212">
        <f>D12*E12</f>
        <v>0</v>
      </c>
      <c r="G12" s="212">
        <f>F12</f>
        <v>0</v>
      </c>
      <c r="H12" s="212"/>
      <c r="I12" s="212"/>
      <c r="J12" s="291">
        <f>F12</f>
        <v>0</v>
      </c>
    </row>
    <row r="13" spans="1:10" ht="30.75" customHeight="1" x14ac:dyDescent="0.3">
      <c r="A13" s="715"/>
      <c r="B13" s="436" t="s">
        <v>374</v>
      </c>
      <c r="C13" s="437">
        <f>Dados!$I$9</f>
        <v>0</v>
      </c>
      <c r="D13" s="437">
        <f>Dados!$J$9</f>
        <v>0</v>
      </c>
      <c r="E13" s="292">
        <f>Dados!$K$9</f>
        <v>0</v>
      </c>
      <c r="F13" s="293">
        <f>ROUND((E13*D13*C13),2)</f>
        <v>0</v>
      </c>
      <c r="G13" s="293">
        <f>F13</f>
        <v>0</v>
      </c>
      <c r="H13" s="293"/>
      <c r="I13" s="293"/>
      <c r="J13" s="294"/>
    </row>
    <row r="14" spans="1:10" ht="19.5" customHeight="1" x14ac:dyDescent="0.3">
      <c r="A14" s="715"/>
      <c r="B14" s="717" t="s">
        <v>375</v>
      </c>
      <c r="C14" s="717"/>
      <c r="D14" s="717"/>
      <c r="E14" s="717"/>
      <c r="F14" s="295">
        <f>SUM(F11:F13)</f>
        <v>1396.36</v>
      </c>
      <c r="G14" s="295">
        <f>SUM(G11:G13)</f>
        <v>1396.36</v>
      </c>
      <c r="H14" s="295">
        <f>SUM(H11:H13)</f>
        <v>0</v>
      </c>
      <c r="I14" s="295">
        <f>SUM(I11:I13)</f>
        <v>0</v>
      </c>
      <c r="J14" s="296">
        <f>SUM(J11:J13)</f>
        <v>0</v>
      </c>
    </row>
    <row r="15" spans="1:10" ht="19.5" customHeight="1" x14ac:dyDescent="0.3">
      <c r="A15" s="715"/>
      <c r="B15" s="718" t="s">
        <v>376</v>
      </c>
      <c r="C15" s="718"/>
      <c r="D15" s="718"/>
      <c r="E15" s="438">
        <f>Encargos!$C$57</f>
        <v>0.76400000000000001</v>
      </c>
      <c r="F15" s="212">
        <f>ROUND((E15*F14),2)</f>
        <v>1066.82</v>
      </c>
      <c r="G15" s="212">
        <f>F15</f>
        <v>1066.82</v>
      </c>
      <c r="H15" s="212"/>
      <c r="I15" s="212"/>
      <c r="J15" s="291">
        <f>ROUND((E15*J14),2)</f>
        <v>0</v>
      </c>
    </row>
    <row r="16" spans="1:10" ht="19.5" customHeight="1" x14ac:dyDescent="0.3">
      <c r="A16" s="709" t="s">
        <v>377</v>
      </c>
      <c r="B16" s="709"/>
      <c r="C16" s="709"/>
      <c r="D16" s="709"/>
      <c r="E16" s="709"/>
      <c r="F16" s="297">
        <f>SUM(F14:F15)</f>
        <v>2463.1799999999998</v>
      </c>
      <c r="G16" s="297">
        <f>SUM(G14:G15)</f>
        <v>2463.1799999999998</v>
      </c>
      <c r="H16" s="297">
        <f>SUM(H14:H15)</f>
        <v>0</v>
      </c>
      <c r="I16" s="297">
        <f>SUM(I14:I15)</f>
        <v>0</v>
      </c>
      <c r="J16" s="298">
        <f>SUM(J14:J15)</f>
        <v>0</v>
      </c>
    </row>
    <row r="17" spans="1:12" ht="19.5" customHeight="1" x14ac:dyDescent="0.3">
      <c r="A17" s="710" t="s">
        <v>378</v>
      </c>
      <c r="B17" s="710"/>
      <c r="C17" s="710"/>
      <c r="D17" s="710"/>
      <c r="E17" s="710"/>
      <c r="F17" s="710"/>
      <c r="G17" s="710"/>
      <c r="H17" s="710"/>
      <c r="I17" s="710"/>
      <c r="J17" s="710"/>
    </row>
    <row r="18" spans="1:12" ht="19.5" customHeight="1" x14ac:dyDescent="0.3">
      <c r="A18" s="704" t="s">
        <v>379</v>
      </c>
      <c r="B18" s="704"/>
      <c r="C18" s="38" t="s">
        <v>342</v>
      </c>
      <c r="D18" s="711" t="s">
        <v>399</v>
      </c>
      <c r="E18" s="711"/>
      <c r="F18" s="712" t="s">
        <v>343</v>
      </c>
      <c r="G18" s="712"/>
      <c r="H18" s="712"/>
      <c r="I18" s="712"/>
      <c r="J18" s="712"/>
    </row>
    <row r="19" spans="1:12" ht="19.5" customHeight="1" x14ac:dyDescent="0.3">
      <c r="A19" s="695" t="s">
        <v>381</v>
      </c>
      <c r="B19" s="695"/>
      <c r="C19" s="300"/>
      <c r="D19" s="300"/>
      <c r="E19" s="300"/>
      <c r="F19" s="212">
        <f>Dados!$N$9</f>
        <v>49.96</v>
      </c>
      <c r="G19" s="212">
        <f>F19</f>
        <v>49.96</v>
      </c>
      <c r="H19" s="212"/>
      <c r="I19" s="212"/>
      <c r="J19" s="291"/>
    </row>
    <row r="20" spans="1:12" ht="19.5" customHeight="1" x14ac:dyDescent="0.3">
      <c r="A20" s="695" t="s">
        <v>382</v>
      </c>
      <c r="B20" s="695"/>
      <c r="C20" s="300"/>
      <c r="D20" s="300"/>
      <c r="E20" s="300"/>
      <c r="F20" s="212">
        <f>Dados!$G$30</f>
        <v>5.27</v>
      </c>
      <c r="G20" s="212">
        <f>F20</f>
        <v>5.27</v>
      </c>
      <c r="H20" s="212"/>
      <c r="I20" s="212"/>
      <c r="J20" s="291"/>
    </row>
    <row r="21" spans="1:12" ht="23.25" customHeight="1" x14ac:dyDescent="0.3">
      <c r="A21" s="708" t="s">
        <v>183</v>
      </c>
      <c r="B21" s="708"/>
      <c r="C21" s="300"/>
      <c r="D21" s="300"/>
      <c r="E21" s="300"/>
      <c r="F21" s="212">
        <f>Dados!G31</f>
        <v>0</v>
      </c>
      <c r="G21" s="212">
        <f>F21</f>
        <v>0</v>
      </c>
      <c r="H21" s="212"/>
      <c r="I21" s="212"/>
      <c r="J21" s="291"/>
    </row>
    <row r="22" spans="1:12" ht="19.5" customHeight="1" x14ac:dyDescent="0.3">
      <c r="A22" s="695" t="s">
        <v>184</v>
      </c>
      <c r="B22" s="695"/>
      <c r="C22" s="299">
        <f>Dados!$G$34</f>
        <v>22</v>
      </c>
      <c r="D22" s="299">
        <f>Dados!$G$33</f>
        <v>2</v>
      </c>
      <c r="E22" s="300">
        <f>Dados!$G$32</f>
        <v>3.9</v>
      </c>
      <c r="F22" s="212">
        <f>IF(ROUND((E22*D22*C22)-(F11*Dados!$G$35),2)&lt;0,0,ROUND((E22*D22*C22)-(F11*Dados!$G$35),2))</f>
        <v>87.82</v>
      </c>
      <c r="G22" s="212">
        <f>F22</f>
        <v>87.82</v>
      </c>
      <c r="H22" s="212"/>
      <c r="I22" s="212">
        <f>F22</f>
        <v>87.82</v>
      </c>
      <c r="J22" s="291"/>
    </row>
    <row r="23" spans="1:12" ht="19.5" customHeight="1" x14ac:dyDescent="0.3">
      <c r="A23" s="695" t="s">
        <v>193</v>
      </c>
      <c r="B23" s="695"/>
      <c r="C23" s="299">
        <f>Dados!G37</f>
        <v>22</v>
      </c>
      <c r="D23" s="301">
        <f>Dados!G38</f>
        <v>0.2</v>
      </c>
      <c r="E23" s="300">
        <f>Dados!$G$36</f>
        <v>29</v>
      </c>
      <c r="F23" s="238">
        <f>ROUND((IF(D11&gt;150,((C23*E23)-(C23*(D23*E23))),0)),2)</f>
        <v>0</v>
      </c>
      <c r="G23" s="212">
        <f>F23</f>
        <v>0</v>
      </c>
      <c r="H23" s="212">
        <f>$F$23</f>
        <v>0</v>
      </c>
      <c r="I23" s="238"/>
      <c r="J23" s="291"/>
    </row>
    <row r="24" spans="1:12" ht="19.5" customHeight="1" x14ac:dyDescent="0.3">
      <c r="A24" s="695" t="s">
        <v>196</v>
      </c>
      <c r="B24" s="695"/>
      <c r="C24" s="299"/>
      <c r="D24" s="299"/>
      <c r="E24" s="300"/>
      <c r="F24" s="238">
        <f>Dados!$G$39</f>
        <v>0</v>
      </c>
      <c r="G24" s="212"/>
      <c r="H24" s="212"/>
      <c r="I24" s="238"/>
      <c r="J24" s="291"/>
    </row>
    <row r="25" spans="1:12" ht="19.5" customHeight="1" x14ac:dyDescent="0.3">
      <c r="A25" s="695" t="s">
        <v>196</v>
      </c>
      <c r="B25" s="695"/>
      <c r="C25" s="299"/>
      <c r="D25" s="299"/>
      <c r="E25" s="300"/>
      <c r="F25" s="238">
        <f>Dados!$G$40</f>
        <v>0</v>
      </c>
      <c r="G25" s="212"/>
      <c r="H25" s="212"/>
      <c r="I25" s="238"/>
      <c r="J25" s="291"/>
    </row>
    <row r="26" spans="1:12" ht="19.5" customHeight="1" x14ac:dyDescent="0.3">
      <c r="A26" s="695" t="s">
        <v>500</v>
      </c>
      <c r="B26" s="695"/>
      <c r="C26" s="299"/>
      <c r="D26" s="300"/>
      <c r="E26" s="300"/>
      <c r="F26" s="212">
        <f>Dados!Q9</f>
        <v>0</v>
      </c>
      <c r="G26" s="212">
        <f>F26</f>
        <v>0</v>
      </c>
      <c r="H26" s="212"/>
      <c r="I26" s="212"/>
      <c r="J26" s="291"/>
      <c r="L26" s="57"/>
    </row>
    <row r="27" spans="1:12" ht="19.5" customHeight="1" x14ac:dyDescent="0.3">
      <c r="A27" s="439" t="s">
        <v>384</v>
      </c>
      <c r="B27" s="440"/>
      <c r="C27" s="299"/>
      <c r="D27" s="300"/>
      <c r="E27" s="300"/>
      <c r="F27" s="212"/>
      <c r="G27" s="212"/>
      <c r="H27" s="212"/>
      <c r="I27" s="212"/>
      <c r="J27" s="291"/>
    </row>
    <row r="28" spans="1:12" ht="19.5" customHeight="1" x14ac:dyDescent="0.3">
      <c r="A28" s="707" t="s">
        <v>385</v>
      </c>
      <c r="B28" s="707"/>
      <c r="C28" s="302"/>
      <c r="D28" s="303"/>
      <c r="E28" s="303"/>
      <c r="F28" s="293">
        <f>Dados!R9</f>
        <v>0</v>
      </c>
      <c r="G28" s="293">
        <f>F28</f>
        <v>0</v>
      </c>
      <c r="H28" s="293"/>
      <c r="I28" s="293"/>
      <c r="J28" s="294"/>
    </row>
    <row r="29" spans="1:12" ht="19.5" customHeight="1" x14ac:dyDescent="0.3">
      <c r="A29" s="702" t="s">
        <v>386</v>
      </c>
      <c r="B29" s="702"/>
      <c r="C29" s="702"/>
      <c r="D29" s="702"/>
      <c r="E29" s="702"/>
      <c r="F29" s="297">
        <f>SUM(F19:F28)</f>
        <v>143.05000000000001</v>
      </c>
      <c r="G29" s="297">
        <f>SUM(G19:G28)</f>
        <v>143.05000000000001</v>
      </c>
      <c r="H29" s="297">
        <f>SUM(H19:H28)</f>
        <v>0</v>
      </c>
      <c r="I29" s="297">
        <f>SUM(I19:I28)</f>
        <v>87.82</v>
      </c>
      <c r="J29" s="298">
        <f>SUM(J19:J28)</f>
        <v>0</v>
      </c>
    </row>
    <row r="30" spans="1:12" ht="19.5" customHeight="1" x14ac:dyDescent="0.3">
      <c r="A30" s="702" t="s">
        <v>387</v>
      </c>
      <c r="B30" s="702"/>
      <c r="C30" s="702"/>
      <c r="D30" s="702"/>
      <c r="E30" s="702"/>
      <c r="F30" s="297">
        <f>F16+F29</f>
        <v>2606.23</v>
      </c>
      <c r="G30" s="297">
        <f>G16+G29</f>
        <v>2606.23</v>
      </c>
      <c r="H30" s="297">
        <f>H16+H29</f>
        <v>0</v>
      </c>
      <c r="I30" s="297">
        <f>I16+I29</f>
        <v>87.82</v>
      </c>
      <c r="J30" s="298">
        <f>J16+J29</f>
        <v>0</v>
      </c>
    </row>
    <row r="31" spans="1:12" ht="19.5" customHeight="1" x14ac:dyDescent="0.3">
      <c r="A31" s="703" t="s">
        <v>388</v>
      </c>
      <c r="B31" s="703"/>
      <c r="C31" s="703"/>
      <c r="D31" s="703"/>
      <c r="E31" s="703"/>
      <c r="F31" s="703"/>
      <c r="G31" s="703"/>
      <c r="H31" s="703"/>
      <c r="I31" s="703"/>
      <c r="J31" s="703"/>
    </row>
    <row r="32" spans="1:12" ht="19.5" customHeight="1" x14ac:dyDescent="0.3">
      <c r="A32" s="704" t="s">
        <v>389</v>
      </c>
      <c r="B32" s="704"/>
      <c r="C32" s="704"/>
      <c r="D32" s="78" t="s">
        <v>390</v>
      </c>
      <c r="E32" s="705" t="s">
        <v>343</v>
      </c>
      <c r="F32" s="705"/>
      <c r="G32" s="705"/>
      <c r="H32" s="705"/>
      <c r="I32" s="705"/>
      <c r="J32" s="705"/>
    </row>
    <row r="33" spans="1:12" ht="19.5" customHeight="1" x14ac:dyDescent="0.3">
      <c r="A33" s="441" t="s">
        <v>391</v>
      </c>
      <c r="B33" s="442"/>
      <c r="C33" s="442"/>
      <c r="D33" s="435">
        <f>Dados!$G$43</f>
        <v>0.03</v>
      </c>
      <c r="E33" s="443"/>
      <c r="F33" s="212">
        <f>ROUND((F30*$D$33),2)</f>
        <v>78.19</v>
      </c>
      <c r="G33" s="212">
        <f>ROUND((G30*$D$33),2)</f>
        <v>78.19</v>
      </c>
      <c r="H33" s="212">
        <f>ROUND((H30*$D$33),2)</f>
        <v>0</v>
      </c>
      <c r="I33" s="212">
        <f>ROUND((I30*$D$33),2)</f>
        <v>2.63</v>
      </c>
      <c r="J33" s="291">
        <f>ROUND((J30*$D$33),2)</f>
        <v>0</v>
      </c>
    </row>
    <row r="34" spans="1:12" ht="19.5" customHeight="1" x14ac:dyDescent="0.3">
      <c r="A34" s="706" t="s">
        <v>392</v>
      </c>
      <c r="B34" s="706"/>
      <c r="C34" s="706"/>
      <c r="D34" s="435"/>
      <c r="E34" s="443"/>
      <c r="F34" s="212">
        <f>F30+F33</f>
        <v>2684.42</v>
      </c>
      <c r="G34" s="212">
        <f>G30+G33</f>
        <v>2684.42</v>
      </c>
      <c r="H34" s="212">
        <f>H30+H33</f>
        <v>0</v>
      </c>
      <c r="I34" s="212">
        <f>I30+I33</f>
        <v>90.449999999999989</v>
      </c>
      <c r="J34" s="291">
        <f>J30+J33</f>
        <v>0</v>
      </c>
    </row>
    <row r="35" spans="1:12" ht="19.5" customHeight="1" x14ac:dyDescent="0.3">
      <c r="A35" s="444" t="s">
        <v>201</v>
      </c>
      <c r="B35" s="445"/>
      <c r="C35" s="445"/>
      <c r="D35" s="446">
        <f>Dados!$G$44</f>
        <v>6.7900000000000002E-2</v>
      </c>
      <c r="E35" s="447"/>
      <c r="F35" s="293">
        <f>ROUND((F34*$D$35),2)</f>
        <v>182.27</v>
      </c>
      <c r="G35" s="293">
        <f>ROUND((G34*$D$35),2)</f>
        <v>182.27</v>
      </c>
      <c r="H35" s="293">
        <f>ROUND((H34*$D$35),2)</f>
        <v>0</v>
      </c>
      <c r="I35" s="293">
        <f>ROUND((I34*$D$35),2)</f>
        <v>6.14</v>
      </c>
      <c r="J35" s="294">
        <f>ROUND((J34*$D$35),2)</f>
        <v>0</v>
      </c>
    </row>
    <row r="36" spans="1:12" ht="19.5" customHeight="1" x14ac:dyDescent="0.3">
      <c r="A36" s="448" t="s">
        <v>393</v>
      </c>
      <c r="B36" s="449"/>
      <c r="C36" s="449"/>
      <c r="D36" s="450">
        <f>SUM(D33:D35)</f>
        <v>9.7900000000000001E-2</v>
      </c>
      <c r="E36" s="451"/>
      <c r="F36" s="297">
        <f>F33+F35</f>
        <v>260.46000000000004</v>
      </c>
      <c r="G36" s="297">
        <f>G33+G35</f>
        <v>260.46000000000004</v>
      </c>
      <c r="H36" s="297">
        <f>H33+H35</f>
        <v>0</v>
      </c>
      <c r="I36" s="297">
        <f>I33+I35</f>
        <v>8.77</v>
      </c>
      <c r="J36" s="298">
        <f>J33+J35</f>
        <v>0</v>
      </c>
    </row>
    <row r="37" spans="1:12" ht="19.5" customHeight="1" x14ac:dyDescent="0.3">
      <c r="A37" s="700" t="s">
        <v>394</v>
      </c>
      <c r="B37" s="700"/>
      <c r="C37" s="700"/>
      <c r="D37" s="700"/>
      <c r="E37" s="700"/>
      <c r="F37" s="304">
        <f>F30+F36</f>
        <v>2866.69</v>
      </c>
      <c r="G37" s="304">
        <f>G30+G36</f>
        <v>2866.69</v>
      </c>
      <c r="H37" s="304">
        <f>H30+H36</f>
        <v>0</v>
      </c>
      <c r="I37" s="304">
        <f>I30+I36</f>
        <v>96.589999999999989</v>
      </c>
      <c r="J37" s="305">
        <f>J30+J36</f>
        <v>0</v>
      </c>
    </row>
    <row r="38" spans="1:12" ht="19.5" customHeight="1" x14ac:dyDescent="0.3">
      <c r="A38" s="701" t="s">
        <v>395</v>
      </c>
      <c r="B38" s="701"/>
      <c r="C38" s="701"/>
      <c r="D38" s="701"/>
      <c r="E38" s="701"/>
      <c r="F38" s="701"/>
      <c r="G38" s="701"/>
      <c r="H38" s="701"/>
      <c r="I38" s="701"/>
      <c r="J38" s="701"/>
    </row>
    <row r="39" spans="1:12" ht="19.5" customHeight="1" x14ac:dyDescent="0.3">
      <c r="A39" s="695" t="s">
        <v>207</v>
      </c>
      <c r="B39" s="695"/>
      <c r="C39" s="695"/>
      <c r="D39" s="435">
        <f>Dados!G51</f>
        <v>7.5999999999999998E-2</v>
      </c>
      <c r="E39" s="212"/>
      <c r="F39" s="212">
        <f>ROUND(($F$45*D39),2)</f>
        <v>248.28</v>
      </c>
      <c r="G39" s="212">
        <f>ROUND((G45*$D$39),2)</f>
        <v>248.28</v>
      </c>
      <c r="H39" s="212">
        <f>ROUND((H45*$D$39),2)</f>
        <v>0</v>
      </c>
      <c r="I39" s="212">
        <f>ROUND((I45*$D$39),2)</f>
        <v>8.3699999999999992</v>
      </c>
      <c r="J39" s="291">
        <f>ROUND((J45*$D$39),2)</f>
        <v>0</v>
      </c>
    </row>
    <row r="40" spans="1:12" ht="19.5" customHeight="1" x14ac:dyDescent="0.3">
      <c r="A40" s="695" t="s">
        <v>209</v>
      </c>
      <c r="B40" s="695"/>
      <c r="C40" s="695"/>
      <c r="D40" s="435">
        <f>Dados!G52</f>
        <v>1.6500000000000001E-2</v>
      </c>
      <c r="E40" s="212"/>
      <c r="F40" s="212">
        <f>ROUND((F45*$D$40),2)</f>
        <v>53.9</v>
      </c>
      <c r="G40" s="212">
        <f>ROUND((G45*$D$40),2)</f>
        <v>53.9</v>
      </c>
      <c r="H40" s="212">
        <f>ROUND((H45*$D$40),2)</f>
        <v>0</v>
      </c>
      <c r="I40" s="212">
        <f>ROUND((I45*$D$40),2)</f>
        <v>1.82</v>
      </c>
      <c r="J40" s="291">
        <f>ROUND((J45*$D$40),2)</f>
        <v>0</v>
      </c>
    </row>
    <row r="41" spans="1:12" ht="19.5" customHeight="1" x14ac:dyDescent="0.3">
      <c r="A41" s="695" t="s">
        <v>210</v>
      </c>
      <c r="B41" s="695"/>
      <c r="C41" s="695"/>
      <c r="D41" s="435">
        <f>Dados!G53</f>
        <v>0.03</v>
      </c>
      <c r="E41" s="212"/>
      <c r="F41" s="212">
        <f>ROUND((F45*$D$41),2)</f>
        <v>98.01</v>
      </c>
      <c r="G41" s="212">
        <f>ROUND((G45*$D$41),2)</f>
        <v>98.01</v>
      </c>
      <c r="H41" s="212">
        <f>ROUND((H45*$D$41),2)</f>
        <v>0</v>
      </c>
      <c r="I41" s="212">
        <f>ROUND((I45*$D$41),2)</f>
        <v>3.3</v>
      </c>
      <c r="J41" s="291">
        <f>ROUND((J45*$D$41),2)</f>
        <v>0</v>
      </c>
    </row>
    <row r="42" spans="1:12" ht="19.5" customHeight="1" x14ac:dyDescent="0.3">
      <c r="A42" s="695" t="s">
        <v>196</v>
      </c>
      <c r="B42" s="695"/>
      <c r="C42" s="695"/>
      <c r="D42" s="435">
        <f>Dados!G54</f>
        <v>0</v>
      </c>
      <c r="E42" s="212"/>
      <c r="F42" s="212">
        <f>ROUND((F45*$D$42),2)</f>
        <v>0</v>
      </c>
      <c r="G42" s="212">
        <f>ROUND((G45*$D$42),2)</f>
        <v>0</v>
      </c>
      <c r="H42" s="212">
        <f>ROUND((H45*$D$42),2)</f>
        <v>0</v>
      </c>
      <c r="I42" s="212">
        <f>ROUND((I45*$D$42),2)</f>
        <v>0</v>
      </c>
      <c r="J42" s="291">
        <f>ROUND((J45*$D$42),2)</f>
        <v>0</v>
      </c>
    </row>
    <row r="43" spans="1:12" ht="19.5" customHeight="1" x14ac:dyDescent="0.3">
      <c r="A43" s="696" t="s">
        <v>396</v>
      </c>
      <c r="B43" s="696"/>
      <c r="C43" s="696"/>
      <c r="D43" s="452">
        <f>SUM(D39:D42)</f>
        <v>0.1225</v>
      </c>
      <c r="E43" s="453"/>
      <c r="F43" s="306">
        <f>SUM(F39:F42)</f>
        <v>400.19</v>
      </c>
      <c r="G43" s="306">
        <f>SUM(G39:G42)</f>
        <v>400.19</v>
      </c>
      <c r="H43" s="306">
        <f>SUM(H39:H42)</f>
        <v>0</v>
      </c>
      <c r="I43" s="306">
        <f>SUM(I39:I42)</f>
        <v>13.489999999999998</v>
      </c>
      <c r="J43" s="307">
        <f>SUM(J39:J41)</f>
        <v>0</v>
      </c>
    </row>
    <row r="44" spans="1:12" ht="19.5" customHeight="1" x14ac:dyDescent="0.3">
      <c r="A44" s="697" t="str">
        <f>CONCATENATE("Custo Mensal - ",A7)</f>
        <v>Custo Mensal - Auxiliar Administrativo</v>
      </c>
      <c r="B44" s="697"/>
      <c r="C44" s="697"/>
      <c r="D44" s="697"/>
      <c r="E44" s="697"/>
      <c r="F44" s="308">
        <f>ROUND(F37/(1-D43),2)</f>
        <v>3266.88</v>
      </c>
      <c r="G44" s="308">
        <f>ROUND(G37/(1-D43),2)</f>
        <v>3266.88</v>
      </c>
      <c r="H44" s="308">
        <f>ROUND(H37/(1-D43),2)</f>
        <v>0</v>
      </c>
      <c r="I44" s="308">
        <f>ROUND(I37/(1-D43),2)</f>
        <v>110.07</v>
      </c>
      <c r="J44" s="309">
        <f>ROUND(J37/(1-D43),2)</f>
        <v>0</v>
      </c>
    </row>
    <row r="45" spans="1:12" ht="19.5" customHeight="1" x14ac:dyDescent="0.3">
      <c r="A45" s="698" t="str">
        <f>CONCATENATE("Valor do Custo Mensal - ",A7)</f>
        <v>Valor do Custo Mensal - Auxiliar Administrativo</v>
      </c>
      <c r="B45" s="698"/>
      <c r="C45" s="698"/>
      <c r="D45" s="698"/>
      <c r="E45" s="698"/>
      <c r="F45" s="308">
        <f>F44</f>
        <v>3266.88</v>
      </c>
      <c r="G45" s="308">
        <f>G44</f>
        <v>3266.88</v>
      </c>
      <c r="H45" s="308">
        <f>H44</f>
        <v>0</v>
      </c>
      <c r="I45" s="308">
        <f>I44</f>
        <v>110.07</v>
      </c>
      <c r="J45" s="309">
        <f>J44</f>
        <v>0</v>
      </c>
      <c r="K45" s="310"/>
      <c r="L45" s="310"/>
    </row>
    <row r="46" spans="1:12" ht="27.75" customHeight="1" x14ac:dyDescent="0.3">
      <c r="A46" s="699" t="s">
        <v>397</v>
      </c>
      <c r="B46" s="699"/>
      <c r="C46" s="699"/>
      <c r="D46" s="699"/>
      <c r="E46" s="699"/>
      <c r="F46" s="311">
        <f>(F45/F14)</f>
        <v>2.3395685926265437</v>
      </c>
      <c r="G46" s="311">
        <f>(G45/G14)</f>
        <v>2.3395685926265437</v>
      </c>
      <c r="H46" s="694" t="s">
        <v>398</v>
      </c>
      <c r="I46" s="694"/>
      <c r="J46" s="312">
        <v>0</v>
      </c>
    </row>
    <row r="47" spans="1:12" ht="19.5" customHeight="1" x14ac:dyDescent="0.3"/>
  </sheetData>
  <sheetProtection algorithmName="SHA-512" hashValue="mkN4fiJmVdUFKVKRPVyZExsNdHMBdMmUzvxA2zMb4P+Gd2l0lKV9x4hnJF+QQ9zQFTe2aArreLK5RTW5hFcBfA==" saltValue="B+37URiFwTfgdvsCM3WLPw=="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1"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K47"/>
  <sheetViews>
    <sheetView showGridLines="0" view="pageBreakPreview" zoomScale="50" zoomScaleNormal="100" zoomScaleSheetLayoutView="50" zoomScalePageLayoutView="140" workbookViewId="0">
      <selection activeCell="M22" sqref="M22"/>
    </sheetView>
  </sheetViews>
  <sheetFormatPr defaultColWidth="8.6640625" defaultRowHeight="14.4" x14ac:dyDescent="0.3"/>
  <cols>
    <col min="1" max="1" width="10.5546875" style="68" customWidth="1"/>
    <col min="2" max="2" width="27.6640625" style="68" customWidth="1"/>
    <col min="3" max="3" width="14.44140625" style="68" customWidth="1"/>
    <col min="4" max="5" width="15" style="68" customWidth="1"/>
    <col min="6" max="6" width="16.6640625" style="280" customWidth="1"/>
    <col min="7" max="8" width="13.109375" style="280" customWidth="1"/>
    <col min="9" max="9" width="12.5546875" style="280" customWidth="1"/>
    <col min="10" max="10" width="13.88671875" style="280" customWidth="1"/>
    <col min="11" max="257" width="9.109375" style="68" customWidth="1"/>
    <col min="258" max="258" width="10.5546875" style="68" customWidth="1"/>
    <col min="259" max="259" width="27.6640625" style="68" customWidth="1"/>
    <col min="260" max="260" width="14.44140625" style="68" customWidth="1"/>
    <col min="261" max="262" width="15" style="68" customWidth="1"/>
    <col min="263" max="263" width="16.6640625" style="68" customWidth="1"/>
    <col min="264" max="264" width="13.109375" style="68" customWidth="1"/>
    <col min="265" max="266" width="12.5546875" style="68" customWidth="1"/>
    <col min="267" max="513" width="9.109375" style="68" customWidth="1"/>
    <col min="514" max="514" width="10.5546875" style="68" customWidth="1"/>
    <col min="515" max="515" width="27.6640625" style="68" customWidth="1"/>
    <col min="516" max="516" width="14.44140625" style="68" customWidth="1"/>
    <col min="517" max="518" width="15" style="68" customWidth="1"/>
    <col min="519" max="519" width="16.6640625" style="68" customWidth="1"/>
    <col min="520" max="520" width="13.109375" style="68" customWidth="1"/>
    <col min="521" max="522" width="12.5546875" style="68" customWidth="1"/>
    <col min="523" max="769" width="9.109375" style="68" customWidth="1"/>
    <col min="770" max="770" width="10.5546875" style="68" customWidth="1"/>
    <col min="771" max="771" width="27.6640625" style="68" customWidth="1"/>
    <col min="772" max="772" width="14.44140625" style="68" customWidth="1"/>
    <col min="773" max="774" width="15" style="68" customWidth="1"/>
    <col min="775" max="775" width="16.6640625" style="68" customWidth="1"/>
    <col min="776" max="776" width="13.109375" style="68" customWidth="1"/>
    <col min="777" max="778" width="12.5546875" style="68" customWidth="1"/>
    <col min="779" max="1025" width="9.109375" style="68" customWidth="1"/>
  </cols>
  <sheetData>
    <row r="1" spans="1:10" x14ac:dyDescent="0.3">
      <c r="A1" s="281"/>
      <c r="B1" s="95" t="str">
        <f>INSTRUÇÕES!B1</f>
        <v>Tribunal Regional Federal da 6ª Região</v>
      </c>
      <c r="C1" s="282"/>
      <c r="D1" s="282"/>
      <c r="E1" s="282"/>
      <c r="F1" s="283"/>
      <c r="G1" s="284"/>
      <c r="H1" s="284"/>
      <c r="I1" s="283"/>
      <c r="J1" s="285"/>
    </row>
    <row r="2" spans="1:10" x14ac:dyDescent="0.3">
      <c r="A2" s="286"/>
      <c r="B2" s="97" t="str">
        <f>INSTRUÇÕES!B2</f>
        <v>Seção Judiciária de Minas Gerais</v>
      </c>
      <c r="C2" s="57"/>
      <c r="D2" s="57"/>
      <c r="E2" s="57"/>
      <c r="F2" s="287"/>
      <c r="I2" s="287"/>
      <c r="J2" s="288"/>
    </row>
    <row r="3" spans="1:10" x14ac:dyDescent="0.3">
      <c r="A3" s="159"/>
      <c r="B3" s="289" t="str">
        <f>INSTRUÇÕES!B3</f>
        <v>Subseção Judiciária de Passos</v>
      </c>
      <c r="C3" s="57"/>
      <c r="D3" s="57"/>
      <c r="E3" s="57"/>
      <c r="F3" s="287"/>
      <c r="I3" s="287"/>
      <c r="J3" s="288"/>
    </row>
    <row r="4" spans="1:10" ht="19.5" customHeight="1" x14ac:dyDescent="0.3">
      <c r="A4" s="669" t="s">
        <v>362</v>
      </c>
      <c r="B4" s="669"/>
      <c r="C4" s="669"/>
      <c r="D4" s="669"/>
      <c r="E4" s="669"/>
      <c r="F4" s="669"/>
      <c r="G4" s="669"/>
      <c r="H4" s="669"/>
      <c r="I4" s="669"/>
      <c r="J4" s="669"/>
    </row>
    <row r="5" spans="1:10" ht="19.5" customHeight="1" x14ac:dyDescent="0.3">
      <c r="A5" s="719" t="s">
        <v>507</v>
      </c>
      <c r="B5" s="719"/>
      <c r="C5" s="719"/>
      <c r="D5" s="719"/>
      <c r="E5" s="719"/>
      <c r="F5" s="719"/>
      <c r="G5" s="719"/>
      <c r="H5" s="719"/>
      <c r="I5" s="719"/>
      <c r="J5" s="719"/>
    </row>
    <row r="6" spans="1:10" s="1" customFormat="1" ht="36" customHeight="1" x14ac:dyDescent="0.3">
      <c r="A6" s="720" t="str">
        <f>Dados!A4</f>
        <v>Sindicato utilizado - SINSERTH x SINTAPPI. Vigência: 2025/2026. Sendo a data base da categoria 01° de Abril. Com número de registro no MTE MG001973/2025.</v>
      </c>
      <c r="B6" s="720"/>
      <c r="C6" s="720"/>
      <c r="D6" s="720"/>
      <c r="E6" s="720"/>
      <c r="F6" s="720"/>
      <c r="G6" s="720"/>
      <c r="H6" s="720"/>
      <c r="I6" s="720"/>
      <c r="J6" s="720"/>
    </row>
    <row r="7" spans="1:10" ht="19.5" customHeight="1" x14ac:dyDescent="0.3">
      <c r="A7" s="721" t="str">
        <f>Dados!C10</f>
        <v>Auxiliar Administrativo</v>
      </c>
      <c r="B7" s="721"/>
      <c r="C7" s="721"/>
      <c r="D7" s="721"/>
      <c r="E7" s="721"/>
      <c r="F7" s="722" t="s">
        <v>363</v>
      </c>
      <c r="G7" s="722" t="s">
        <v>364</v>
      </c>
      <c r="H7" s="722" t="s">
        <v>365</v>
      </c>
      <c r="I7" s="722" t="s">
        <v>366</v>
      </c>
      <c r="J7" s="722" t="s">
        <v>367</v>
      </c>
    </row>
    <row r="8" spans="1:10" ht="19.5" customHeight="1" x14ac:dyDescent="0.3">
      <c r="A8" s="723" t="s">
        <v>494</v>
      </c>
      <c r="B8" s="723"/>
      <c r="C8" s="723"/>
      <c r="D8" s="723"/>
      <c r="E8" s="432" t="s">
        <v>339</v>
      </c>
      <c r="F8" s="722"/>
      <c r="G8" s="722"/>
      <c r="H8" s="722"/>
      <c r="I8" s="722"/>
      <c r="J8" s="722"/>
    </row>
    <row r="9" spans="1:10" ht="19.5" customHeight="1" x14ac:dyDescent="0.3">
      <c r="A9" s="703" t="s">
        <v>369</v>
      </c>
      <c r="B9" s="703"/>
      <c r="C9" s="703"/>
      <c r="D9" s="703"/>
      <c r="E9" s="703"/>
      <c r="F9" s="703"/>
      <c r="G9" s="703"/>
      <c r="H9" s="703"/>
      <c r="I9" s="703"/>
      <c r="J9" s="703"/>
    </row>
    <row r="10" spans="1:10" ht="24" customHeight="1" x14ac:dyDescent="0.3">
      <c r="A10" s="164" t="s">
        <v>340</v>
      </c>
      <c r="B10" s="713" t="s">
        <v>370</v>
      </c>
      <c r="C10" s="713"/>
      <c r="D10" s="433" t="s">
        <v>371</v>
      </c>
      <c r="E10" s="434" t="s">
        <v>372</v>
      </c>
      <c r="F10" s="714" t="s">
        <v>343</v>
      </c>
      <c r="G10" s="714"/>
      <c r="H10" s="714"/>
      <c r="I10" s="714"/>
      <c r="J10" s="714"/>
    </row>
    <row r="11" spans="1:10" ht="19.5" customHeight="1" x14ac:dyDescent="0.3">
      <c r="A11" s="715">
        <v>1</v>
      </c>
      <c r="B11" s="716" t="str">
        <f>A7</f>
        <v>Auxiliar Administrativo</v>
      </c>
      <c r="C11" s="716"/>
      <c r="D11" s="28">
        <f>Dados!$D$10</f>
        <v>200</v>
      </c>
      <c r="E11" s="290">
        <f>Dados!$E$10</f>
        <v>2048</v>
      </c>
      <c r="F11" s="212">
        <f>ROUND(E11/220*D11,2)</f>
        <v>1861.82</v>
      </c>
      <c r="G11" s="212">
        <f>F11</f>
        <v>1861.82</v>
      </c>
      <c r="H11" s="212"/>
      <c r="I11" s="212"/>
      <c r="J11" s="291"/>
    </row>
    <row r="12" spans="1:10" ht="19.5" customHeight="1" x14ac:dyDescent="0.3">
      <c r="A12" s="715"/>
      <c r="B12" s="716" t="s">
        <v>373</v>
      </c>
      <c r="C12" s="716"/>
      <c r="D12" s="454">
        <f>Dados!G8</f>
        <v>0</v>
      </c>
      <c r="E12" s="290">
        <f>Dados!$G$27</f>
        <v>1518</v>
      </c>
      <c r="F12" s="212">
        <f>D12*E12</f>
        <v>0</v>
      </c>
      <c r="G12" s="212">
        <f>F12</f>
        <v>0</v>
      </c>
      <c r="H12" s="212"/>
      <c r="I12" s="212"/>
      <c r="J12" s="291">
        <f>F12</f>
        <v>0</v>
      </c>
    </row>
    <row r="13" spans="1:10" ht="21.75" customHeight="1" x14ac:dyDescent="0.3">
      <c r="A13" s="715"/>
      <c r="B13" s="436" t="s">
        <v>374</v>
      </c>
      <c r="C13" s="437">
        <f>Dados!$I$10</f>
        <v>0</v>
      </c>
      <c r="D13" s="437">
        <f>Dados!$J$10</f>
        <v>0</v>
      </c>
      <c r="E13" s="292">
        <f>Dados!$K$10</f>
        <v>0</v>
      </c>
      <c r="F13" s="293">
        <f>ROUND((E13*D13*C13),2)</f>
        <v>0</v>
      </c>
      <c r="G13" s="293">
        <f>F13</f>
        <v>0</v>
      </c>
      <c r="H13" s="293"/>
      <c r="I13" s="293"/>
      <c r="J13" s="294"/>
    </row>
    <row r="14" spans="1:10" ht="19.5" customHeight="1" x14ac:dyDescent="0.3">
      <c r="A14" s="715"/>
      <c r="B14" s="717" t="s">
        <v>375</v>
      </c>
      <c r="C14" s="717"/>
      <c r="D14" s="717"/>
      <c r="E14" s="717"/>
      <c r="F14" s="295">
        <f>SUM(F11:F13)</f>
        <v>1861.82</v>
      </c>
      <c r="G14" s="295">
        <f>SUM(G11:G13)</f>
        <v>1861.82</v>
      </c>
      <c r="H14" s="295">
        <f>SUM(H11:H13)</f>
        <v>0</v>
      </c>
      <c r="I14" s="295">
        <f>SUM(I11:I13)</f>
        <v>0</v>
      </c>
      <c r="J14" s="296">
        <f>SUM(J11:J13)</f>
        <v>0</v>
      </c>
    </row>
    <row r="15" spans="1:10" ht="19.5" customHeight="1" x14ac:dyDescent="0.3">
      <c r="A15" s="715"/>
      <c r="B15" s="718" t="s">
        <v>376</v>
      </c>
      <c r="C15" s="718"/>
      <c r="D15" s="718"/>
      <c r="E15" s="438">
        <f>Encargos!$C$57</f>
        <v>0.76400000000000001</v>
      </c>
      <c r="F15" s="212">
        <f>ROUND((E15*F14),2)</f>
        <v>1422.43</v>
      </c>
      <c r="G15" s="212">
        <f>F15</f>
        <v>1422.43</v>
      </c>
      <c r="H15" s="212"/>
      <c r="I15" s="212"/>
      <c r="J15" s="291">
        <f>ROUND((E15*J14),2)</f>
        <v>0</v>
      </c>
    </row>
    <row r="16" spans="1:10" ht="19.5" customHeight="1" x14ac:dyDescent="0.3">
      <c r="A16" s="709" t="s">
        <v>377</v>
      </c>
      <c r="B16" s="709"/>
      <c r="C16" s="709"/>
      <c r="D16" s="709"/>
      <c r="E16" s="709"/>
      <c r="F16" s="297">
        <f>SUM(F14:F15)</f>
        <v>3284.25</v>
      </c>
      <c r="G16" s="297">
        <f>SUM(G14:G15)</f>
        <v>3284.25</v>
      </c>
      <c r="H16" s="297">
        <f>SUM(H14:H15)</f>
        <v>0</v>
      </c>
      <c r="I16" s="297">
        <f>SUM(I14:I15)</f>
        <v>0</v>
      </c>
      <c r="J16" s="298">
        <f>SUM(J14:J15)</f>
        <v>0</v>
      </c>
    </row>
    <row r="17" spans="1:12" ht="19.5" customHeight="1" x14ac:dyDescent="0.3">
      <c r="A17" s="710" t="s">
        <v>378</v>
      </c>
      <c r="B17" s="710"/>
      <c r="C17" s="710"/>
      <c r="D17" s="710"/>
      <c r="E17" s="710"/>
      <c r="F17" s="710"/>
      <c r="G17" s="710"/>
      <c r="H17" s="710"/>
      <c r="I17" s="710"/>
      <c r="J17" s="710"/>
    </row>
    <row r="18" spans="1:12" ht="19.5" customHeight="1" x14ac:dyDescent="0.3">
      <c r="A18" s="704" t="s">
        <v>379</v>
      </c>
      <c r="B18" s="704"/>
      <c r="C18" s="38" t="s">
        <v>342</v>
      </c>
      <c r="D18" s="711" t="s">
        <v>399</v>
      </c>
      <c r="E18" s="711"/>
      <c r="F18" s="712" t="s">
        <v>343</v>
      </c>
      <c r="G18" s="712"/>
      <c r="H18" s="712"/>
      <c r="I18" s="712"/>
      <c r="J18" s="712"/>
    </row>
    <row r="19" spans="1:12" ht="19.5" customHeight="1" x14ac:dyDescent="0.3">
      <c r="A19" s="695" t="s">
        <v>381</v>
      </c>
      <c r="B19" s="695"/>
      <c r="C19" s="300"/>
      <c r="D19" s="300"/>
      <c r="E19" s="300"/>
      <c r="F19" s="212">
        <f>Dados!$N$10</f>
        <v>49.96</v>
      </c>
      <c r="G19" s="212">
        <f>F19</f>
        <v>49.96</v>
      </c>
      <c r="H19" s="212"/>
      <c r="I19" s="212"/>
      <c r="J19" s="291"/>
    </row>
    <row r="20" spans="1:12" ht="19.5" customHeight="1" x14ac:dyDescent="0.3">
      <c r="A20" s="695" t="s">
        <v>382</v>
      </c>
      <c r="B20" s="695"/>
      <c r="C20" s="300"/>
      <c r="D20" s="300"/>
      <c r="E20" s="300"/>
      <c r="F20" s="212">
        <f>Dados!$G$30</f>
        <v>5.27</v>
      </c>
      <c r="G20" s="212">
        <f>F20</f>
        <v>5.27</v>
      </c>
      <c r="H20" s="212"/>
      <c r="I20" s="212"/>
      <c r="J20" s="291"/>
    </row>
    <row r="21" spans="1:12" ht="23.25" customHeight="1" x14ac:dyDescent="0.3">
      <c r="A21" s="708" t="s">
        <v>183</v>
      </c>
      <c r="B21" s="708"/>
      <c r="C21" s="300"/>
      <c r="D21" s="300"/>
      <c r="E21" s="300"/>
      <c r="F21" s="212">
        <f>Dados!G31</f>
        <v>0</v>
      </c>
      <c r="G21" s="212">
        <f>F21</f>
        <v>0</v>
      </c>
      <c r="H21" s="212"/>
      <c r="I21" s="212"/>
      <c r="J21" s="291"/>
    </row>
    <row r="22" spans="1:12" ht="19.5" customHeight="1" x14ac:dyDescent="0.3">
      <c r="A22" s="695" t="s">
        <v>184</v>
      </c>
      <c r="B22" s="695"/>
      <c r="C22" s="299">
        <f>Dados!$G$34</f>
        <v>22</v>
      </c>
      <c r="D22" s="299">
        <f>Dados!$G$33</f>
        <v>2</v>
      </c>
      <c r="E22" s="300">
        <f>Dados!$G$32</f>
        <v>3.9</v>
      </c>
      <c r="F22" s="212">
        <f>IF(ROUND((E22*D22*C22)-(F11*Dados!$G$35),2)&lt;0,0,ROUND((E22*D22*C22)-(F11*Dados!$G$35),2))</f>
        <v>59.89</v>
      </c>
      <c r="G22" s="212">
        <f>F22</f>
        <v>59.89</v>
      </c>
      <c r="H22" s="212"/>
      <c r="I22" s="212">
        <f>F22</f>
        <v>59.89</v>
      </c>
      <c r="J22" s="291"/>
    </row>
    <row r="23" spans="1:12" ht="19.5" customHeight="1" x14ac:dyDescent="0.3">
      <c r="A23" s="695" t="s">
        <v>193</v>
      </c>
      <c r="B23" s="695"/>
      <c r="C23" s="299">
        <f>Dados!G37</f>
        <v>22</v>
      </c>
      <c r="D23" s="301">
        <f>Dados!G38</f>
        <v>0.2</v>
      </c>
      <c r="E23" s="300">
        <f>Dados!$G$36</f>
        <v>29</v>
      </c>
      <c r="F23" s="238">
        <f>ROUND((IF(D11&gt;150,((C23*E23)-(C23*(D23*E23))),0)),2)</f>
        <v>510.4</v>
      </c>
      <c r="G23" s="212">
        <f>F23</f>
        <v>510.4</v>
      </c>
      <c r="H23" s="212">
        <f>$F$23</f>
        <v>510.4</v>
      </c>
      <c r="I23" s="238"/>
      <c r="J23" s="291"/>
    </row>
    <row r="24" spans="1:12" ht="19.5" customHeight="1" x14ac:dyDescent="0.3">
      <c r="A24" s="695" t="s">
        <v>196</v>
      </c>
      <c r="B24" s="695"/>
      <c r="C24" s="299"/>
      <c r="D24" s="299"/>
      <c r="E24" s="300"/>
      <c r="F24" s="238">
        <f>Dados!$G$39</f>
        <v>0</v>
      </c>
      <c r="G24" s="212"/>
      <c r="H24" s="212"/>
      <c r="I24" s="238"/>
      <c r="J24" s="291"/>
    </row>
    <row r="25" spans="1:12" ht="19.5" customHeight="1" x14ac:dyDescent="0.3">
      <c r="A25" s="695" t="s">
        <v>196</v>
      </c>
      <c r="B25" s="695"/>
      <c r="C25" s="299"/>
      <c r="D25" s="299"/>
      <c r="E25" s="300"/>
      <c r="F25" s="238">
        <f>Dados!$G$40</f>
        <v>0</v>
      </c>
      <c r="G25" s="212"/>
      <c r="H25" s="212"/>
      <c r="I25" s="238"/>
      <c r="J25" s="291"/>
    </row>
    <row r="26" spans="1:12" ht="19.5" customHeight="1" x14ac:dyDescent="0.3">
      <c r="A26" s="695" t="s">
        <v>383</v>
      </c>
      <c r="B26" s="695"/>
      <c r="C26" s="299"/>
      <c r="D26" s="300"/>
      <c r="E26" s="300"/>
      <c r="F26" s="212"/>
      <c r="G26" s="212"/>
      <c r="H26" s="212"/>
      <c r="I26" s="212"/>
      <c r="J26" s="291"/>
      <c r="L26" s="57"/>
    </row>
    <row r="27" spans="1:12" ht="19.5" customHeight="1" x14ac:dyDescent="0.3">
      <c r="A27" s="439" t="s">
        <v>384</v>
      </c>
      <c r="B27" s="440"/>
      <c r="C27" s="299"/>
      <c r="D27" s="300"/>
      <c r="E27" s="300"/>
      <c r="F27" s="212"/>
      <c r="G27" s="212"/>
      <c r="H27" s="212"/>
      <c r="I27" s="212"/>
      <c r="J27" s="291"/>
    </row>
    <row r="28" spans="1:12" ht="19.5" customHeight="1" x14ac:dyDescent="0.3">
      <c r="A28" s="707" t="s">
        <v>385</v>
      </c>
      <c r="B28" s="707"/>
      <c r="C28" s="302"/>
      <c r="D28" s="303"/>
      <c r="E28" s="303"/>
      <c r="F28" s="293"/>
      <c r="G28" s="293"/>
      <c r="H28" s="293"/>
      <c r="I28" s="293"/>
      <c r="J28" s="294"/>
    </row>
    <row r="29" spans="1:12" ht="19.5" customHeight="1" x14ac:dyDescent="0.3">
      <c r="A29" s="702" t="s">
        <v>386</v>
      </c>
      <c r="B29" s="702"/>
      <c r="C29" s="702"/>
      <c r="D29" s="702"/>
      <c r="E29" s="702"/>
      <c r="F29" s="297">
        <f>SUM(F19:F28)</f>
        <v>625.52</v>
      </c>
      <c r="G29" s="297">
        <f>SUM(G19:G28)</f>
        <v>625.52</v>
      </c>
      <c r="H29" s="297">
        <f>SUM(H19:H28)</f>
        <v>510.4</v>
      </c>
      <c r="I29" s="297">
        <f>SUM(I19:I28)</f>
        <v>59.89</v>
      </c>
      <c r="J29" s="298">
        <f>SUM(J19:J28)</f>
        <v>0</v>
      </c>
    </row>
    <row r="30" spans="1:12" ht="19.5" customHeight="1" x14ac:dyDescent="0.3">
      <c r="A30" s="702" t="s">
        <v>387</v>
      </c>
      <c r="B30" s="702"/>
      <c r="C30" s="702"/>
      <c r="D30" s="702"/>
      <c r="E30" s="702"/>
      <c r="F30" s="297">
        <f>F16+F29</f>
        <v>3909.77</v>
      </c>
      <c r="G30" s="297">
        <f>G16+G29</f>
        <v>3909.77</v>
      </c>
      <c r="H30" s="297">
        <f>H16+H29</f>
        <v>510.4</v>
      </c>
      <c r="I30" s="297">
        <f>I16+I29</f>
        <v>59.89</v>
      </c>
      <c r="J30" s="298">
        <f>J16+J29</f>
        <v>0</v>
      </c>
    </row>
    <row r="31" spans="1:12" ht="19.5" customHeight="1" x14ac:dyDescent="0.3">
      <c r="A31" s="703" t="s">
        <v>388</v>
      </c>
      <c r="B31" s="703"/>
      <c r="C31" s="703"/>
      <c r="D31" s="703"/>
      <c r="E31" s="703"/>
      <c r="F31" s="703"/>
      <c r="G31" s="703"/>
      <c r="H31" s="703"/>
      <c r="I31" s="703"/>
      <c r="J31" s="703"/>
    </row>
    <row r="32" spans="1:12" ht="19.5" customHeight="1" x14ac:dyDescent="0.3">
      <c r="A32" s="704" t="s">
        <v>389</v>
      </c>
      <c r="B32" s="704"/>
      <c r="C32" s="704"/>
      <c r="D32" s="78" t="s">
        <v>390</v>
      </c>
      <c r="E32" s="705" t="s">
        <v>343</v>
      </c>
      <c r="F32" s="705"/>
      <c r="G32" s="705"/>
      <c r="H32" s="705"/>
      <c r="I32" s="705"/>
      <c r="J32" s="705"/>
    </row>
    <row r="33" spans="1:12" ht="19.5" customHeight="1" x14ac:dyDescent="0.3">
      <c r="A33" s="441" t="s">
        <v>391</v>
      </c>
      <c r="B33" s="442"/>
      <c r="C33" s="442"/>
      <c r="D33" s="435">
        <f>Dados!$G$43</f>
        <v>0.03</v>
      </c>
      <c r="E33" s="443"/>
      <c r="F33" s="212">
        <f>ROUND((F30*$D$33),2)</f>
        <v>117.29</v>
      </c>
      <c r="G33" s="212">
        <f>ROUND((G30*$D$33),2)</f>
        <v>117.29</v>
      </c>
      <c r="H33" s="212">
        <f>ROUND((H30*$D$33),2)</f>
        <v>15.31</v>
      </c>
      <c r="I33" s="212">
        <f>ROUND((I30*$D$33),2)</f>
        <v>1.8</v>
      </c>
      <c r="J33" s="291">
        <f>ROUND((J30*$D$33),2)</f>
        <v>0</v>
      </c>
    </row>
    <row r="34" spans="1:12" ht="19.5" customHeight="1" x14ac:dyDescent="0.3">
      <c r="A34" s="706" t="s">
        <v>392</v>
      </c>
      <c r="B34" s="706"/>
      <c r="C34" s="706"/>
      <c r="D34" s="435"/>
      <c r="E34" s="443"/>
      <c r="F34" s="212">
        <f>F30+F33</f>
        <v>4027.06</v>
      </c>
      <c r="G34" s="212">
        <f>G30+G33</f>
        <v>4027.06</v>
      </c>
      <c r="H34" s="212">
        <f>H30+H33</f>
        <v>525.70999999999992</v>
      </c>
      <c r="I34" s="212">
        <f>I30+I33</f>
        <v>61.69</v>
      </c>
      <c r="J34" s="291">
        <f>J30+J33</f>
        <v>0</v>
      </c>
    </row>
    <row r="35" spans="1:12" ht="19.5" customHeight="1" x14ac:dyDescent="0.3">
      <c r="A35" s="444" t="s">
        <v>201</v>
      </c>
      <c r="B35" s="445"/>
      <c r="C35" s="445"/>
      <c r="D35" s="446">
        <f>Dados!$G$44</f>
        <v>6.7900000000000002E-2</v>
      </c>
      <c r="E35" s="447"/>
      <c r="F35" s="293">
        <f>ROUND((F34*$D$35),2)</f>
        <v>273.44</v>
      </c>
      <c r="G35" s="293">
        <f>ROUND((G34*$D$35),2)</f>
        <v>273.44</v>
      </c>
      <c r="H35" s="293">
        <f>ROUND((H34*$D$35),2)</f>
        <v>35.700000000000003</v>
      </c>
      <c r="I35" s="293">
        <f>ROUND((I34*$D$35),2)</f>
        <v>4.1900000000000004</v>
      </c>
      <c r="J35" s="294">
        <f>ROUND((J34*$D$35),2)</f>
        <v>0</v>
      </c>
    </row>
    <row r="36" spans="1:12" ht="19.5" customHeight="1" x14ac:dyDescent="0.3">
      <c r="A36" s="448" t="s">
        <v>393</v>
      </c>
      <c r="B36" s="449"/>
      <c r="C36" s="449"/>
      <c r="D36" s="450">
        <f>SUM(D33:D35)</f>
        <v>9.7900000000000001E-2</v>
      </c>
      <c r="E36" s="451"/>
      <c r="F36" s="297">
        <f>F33+F35</f>
        <v>390.73</v>
      </c>
      <c r="G36" s="297">
        <f>G33+G35</f>
        <v>390.73</v>
      </c>
      <c r="H36" s="297">
        <f>H33+H35</f>
        <v>51.010000000000005</v>
      </c>
      <c r="I36" s="297">
        <f>I33+I35</f>
        <v>5.99</v>
      </c>
      <c r="J36" s="298">
        <f>J33+J35</f>
        <v>0</v>
      </c>
    </row>
    <row r="37" spans="1:12" ht="19.5" customHeight="1" x14ac:dyDescent="0.3">
      <c r="A37" s="700" t="s">
        <v>394</v>
      </c>
      <c r="B37" s="700"/>
      <c r="C37" s="700"/>
      <c r="D37" s="700"/>
      <c r="E37" s="700"/>
      <c r="F37" s="304">
        <f>F30+F36</f>
        <v>4300.5</v>
      </c>
      <c r="G37" s="304">
        <f>G30+G36</f>
        <v>4300.5</v>
      </c>
      <c r="H37" s="304">
        <f>H30+H36</f>
        <v>561.41</v>
      </c>
      <c r="I37" s="304">
        <f>I30+I36</f>
        <v>65.88</v>
      </c>
      <c r="J37" s="305">
        <f>J30+J36</f>
        <v>0</v>
      </c>
    </row>
    <row r="38" spans="1:12" ht="19.5" customHeight="1" x14ac:dyDescent="0.3">
      <c r="A38" s="701" t="s">
        <v>395</v>
      </c>
      <c r="B38" s="701"/>
      <c r="C38" s="701"/>
      <c r="D38" s="701"/>
      <c r="E38" s="701"/>
      <c r="F38" s="701"/>
      <c r="G38" s="701"/>
      <c r="H38" s="701"/>
      <c r="I38" s="701"/>
      <c r="J38" s="701"/>
    </row>
    <row r="39" spans="1:12" ht="19.5" customHeight="1" x14ac:dyDescent="0.3">
      <c r="A39" s="695" t="s">
        <v>207</v>
      </c>
      <c r="B39" s="695"/>
      <c r="C39" s="695"/>
      <c r="D39" s="435">
        <f>Dados!G51</f>
        <v>7.5999999999999998E-2</v>
      </c>
      <c r="E39" s="212"/>
      <c r="F39" s="212">
        <f>ROUND(($F$45*D39),2)</f>
        <v>372.46</v>
      </c>
      <c r="G39" s="212">
        <f>ROUND((G45*$D$39),2)</f>
        <v>372.46</v>
      </c>
      <c r="H39" s="212">
        <f>ROUND((H45*$D$39),2)</f>
        <v>48.62</v>
      </c>
      <c r="I39" s="212">
        <f>ROUND((I45*$D$39),2)</f>
        <v>5.71</v>
      </c>
      <c r="J39" s="291">
        <f>ROUND((J45*$D$39),2)</f>
        <v>0</v>
      </c>
    </row>
    <row r="40" spans="1:12" ht="19.5" customHeight="1" x14ac:dyDescent="0.3">
      <c r="A40" s="695" t="s">
        <v>209</v>
      </c>
      <c r="B40" s="695"/>
      <c r="C40" s="695"/>
      <c r="D40" s="435">
        <f>Dados!G52</f>
        <v>1.6500000000000001E-2</v>
      </c>
      <c r="E40" s="212"/>
      <c r="F40" s="212">
        <f>ROUND((F45*$D$40),2)</f>
        <v>80.86</v>
      </c>
      <c r="G40" s="212">
        <f>ROUND((G45*$D$40),2)</f>
        <v>80.86</v>
      </c>
      <c r="H40" s="212">
        <f>ROUND((H45*$D$40),2)</f>
        <v>10.56</v>
      </c>
      <c r="I40" s="212">
        <f>ROUND((I45*$D$40),2)</f>
        <v>1.24</v>
      </c>
      <c r="J40" s="291">
        <f>ROUND((J45*$D$40),2)</f>
        <v>0</v>
      </c>
    </row>
    <row r="41" spans="1:12" ht="19.5" customHeight="1" x14ac:dyDescent="0.3">
      <c r="A41" s="695" t="s">
        <v>210</v>
      </c>
      <c r="B41" s="695"/>
      <c r="C41" s="695"/>
      <c r="D41" s="435">
        <f>Dados!G53</f>
        <v>0.03</v>
      </c>
      <c r="E41" s="212"/>
      <c r="F41" s="212">
        <f>ROUND((F45*$D$41),2)</f>
        <v>147.03</v>
      </c>
      <c r="G41" s="212">
        <f>ROUND((G45*$D$41),2)</f>
        <v>147.03</v>
      </c>
      <c r="H41" s="212">
        <f>ROUND((H45*$D$41),2)</f>
        <v>19.190000000000001</v>
      </c>
      <c r="I41" s="212">
        <f>ROUND((I45*$D$41),2)</f>
        <v>2.25</v>
      </c>
      <c r="J41" s="291">
        <f>ROUND((J45*$D$41),2)</f>
        <v>0</v>
      </c>
    </row>
    <row r="42" spans="1:12" ht="19.5" customHeight="1" x14ac:dyDescent="0.3">
      <c r="A42" s="695" t="s">
        <v>196</v>
      </c>
      <c r="B42" s="695"/>
      <c r="C42" s="695"/>
      <c r="D42" s="435">
        <f>Dados!G54</f>
        <v>0</v>
      </c>
      <c r="E42" s="212"/>
      <c r="F42" s="212">
        <f>ROUND((F45*$D$42),2)</f>
        <v>0</v>
      </c>
      <c r="G42" s="212">
        <f>ROUND((G45*$D$42),2)</f>
        <v>0</v>
      </c>
      <c r="H42" s="212">
        <f>ROUND((H45*$D$42),2)</f>
        <v>0</v>
      </c>
      <c r="I42" s="212">
        <f>ROUND((I45*$D$42),2)</f>
        <v>0</v>
      </c>
      <c r="J42" s="291">
        <f>ROUND((J45*$D$42),2)</f>
        <v>0</v>
      </c>
    </row>
    <row r="43" spans="1:12" ht="19.5" customHeight="1" x14ac:dyDescent="0.3">
      <c r="A43" s="696" t="s">
        <v>396</v>
      </c>
      <c r="B43" s="696"/>
      <c r="C43" s="696"/>
      <c r="D43" s="452">
        <f>SUM(D39:D42)</f>
        <v>0.1225</v>
      </c>
      <c r="E43" s="453"/>
      <c r="F43" s="306">
        <f>SUM(F39:F42)</f>
        <v>600.35</v>
      </c>
      <c r="G43" s="306">
        <f>SUM(G39:G42)</f>
        <v>600.35</v>
      </c>
      <c r="H43" s="306">
        <f>SUM(H39:H42)</f>
        <v>78.37</v>
      </c>
      <c r="I43" s="306">
        <f>SUM(I39:I42)</f>
        <v>9.1999999999999993</v>
      </c>
      <c r="J43" s="307">
        <f>SUM(J39:J41)</f>
        <v>0</v>
      </c>
    </row>
    <row r="44" spans="1:12" ht="19.5" customHeight="1" x14ac:dyDescent="0.3">
      <c r="A44" s="697" t="str">
        <f>CONCATENATE("Custo Mensal - ",A7)</f>
        <v>Custo Mensal - Auxiliar Administrativo</v>
      </c>
      <c r="B44" s="697"/>
      <c r="C44" s="697"/>
      <c r="D44" s="697"/>
      <c r="E44" s="697"/>
      <c r="F44" s="308">
        <f>ROUND(F37/(1-D43),2)</f>
        <v>4900.8500000000004</v>
      </c>
      <c r="G44" s="308">
        <f>ROUND(G37/(1-D43),2)</f>
        <v>4900.8500000000004</v>
      </c>
      <c r="H44" s="308">
        <f>ROUND(H37/(1-D43),2)</f>
        <v>639.78</v>
      </c>
      <c r="I44" s="308">
        <f>ROUND(I37/(1-D43),2)</f>
        <v>75.08</v>
      </c>
      <c r="J44" s="309">
        <f>ROUND(J37/(1-D43),2)</f>
        <v>0</v>
      </c>
    </row>
    <row r="45" spans="1:12" ht="19.5" customHeight="1" x14ac:dyDescent="0.3">
      <c r="A45" s="698" t="str">
        <f>CONCATENATE("Valor do Custo Mensal - ",A7)</f>
        <v>Valor do Custo Mensal - Auxiliar Administrativo</v>
      </c>
      <c r="B45" s="698"/>
      <c r="C45" s="698"/>
      <c r="D45" s="698"/>
      <c r="E45" s="698"/>
      <c r="F45" s="308">
        <f>F44</f>
        <v>4900.8500000000004</v>
      </c>
      <c r="G45" s="308">
        <f>G44</f>
        <v>4900.8500000000004</v>
      </c>
      <c r="H45" s="308">
        <f>H44</f>
        <v>639.78</v>
      </c>
      <c r="I45" s="308">
        <f>I44</f>
        <v>75.08</v>
      </c>
      <c r="J45" s="309">
        <f>J44</f>
        <v>0</v>
      </c>
      <c r="K45" s="310"/>
      <c r="L45" s="310"/>
    </row>
    <row r="46" spans="1:12" ht="27.75" customHeight="1" x14ac:dyDescent="0.3">
      <c r="A46" s="699" t="s">
        <v>397</v>
      </c>
      <c r="B46" s="699"/>
      <c r="C46" s="699"/>
      <c r="D46" s="699"/>
      <c r="E46" s="699"/>
      <c r="F46" s="311">
        <f>(F45/F14)</f>
        <v>2.6322899098731352</v>
      </c>
      <c r="G46" s="311">
        <f>(G45/G14)</f>
        <v>2.6322899098731352</v>
      </c>
      <c r="H46" s="694" t="s">
        <v>398</v>
      </c>
      <c r="I46" s="694"/>
      <c r="J46" s="312">
        <v>0</v>
      </c>
    </row>
    <row r="47" spans="1:12" ht="19.5" customHeight="1" x14ac:dyDescent="0.3"/>
  </sheetData>
  <sheetProtection algorithmName="SHA-512" hashValue="hDFpJI73thJchuYmU/qtmSU+MgI6Sw/1twcD9OfTTjRyBRgdCYXA/bHs+5BcaK9/shV6qlMukkUAV0pMH2W8FQ==" saltValue="PhPEeepvOq4kkeH0jZ2uhw=="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0" fitToHeight="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33"/>
  <sheetViews>
    <sheetView showGridLines="0" zoomScaleNormal="100" zoomScaleSheetLayoutView="50" zoomScalePageLayoutView="140" workbookViewId="0">
      <selection activeCell="K16" sqref="K16"/>
    </sheetView>
  </sheetViews>
  <sheetFormatPr defaultColWidth="8.6640625" defaultRowHeight="14.4" x14ac:dyDescent="0.3"/>
  <cols>
    <col min="1" max="1" width="7.33203125" style="68" customWidth="1"/>
    <col min="2" max="3" width="9.109375" style="68" customWidth="1"/>
    <col min="4" max="4" width="33" style="68" customWidth="1"/>
    <col min="5" max="5" width="9.44140625" style="68" customWidth="1"/>
    <col min="6" max="6" width="12.44140625" style="68" customWidth="1"/>
    <col min="7" max="7" width="8.88671875" style="68" customWidth="1"/>
    <col min="8" max="8" width="12.109375" style="68" customWidth="1"/>
    <col min="9" max="9" width="11.5546875" style="68" bestFit="1" customWidth="1"/>
    <col min="10" max="1024" width="9.109375" style="68" customWidth="1"/>
  </cols>
  <sheetData>
    <row r="1" spans="1:13" x14ac:dyDescent="0.3">
      <c r="A1" s="94"/>
      <c r="B1" s="95" t="str">
        <f>INSTRUÇÕES!B1</f>
        <v>Tribunal Regional Federal da 6ª Região</v>
      </c>
      <c r="C1" s="95"/>
      <c r="D1" s="95"/>
      <c r="E1" s="95"/>
      <c r="F1" s="95"/>
      <c r="G1" s="95"/>
      <c r="H1" s="95"/>
      <c r="I1" s="156"/>
    </row>
    <row r="2" spans="1:13" x14ac:dyDescent="0.3">
      <c r="A2" s="96"/>
      <c r="B2" s="97" t="str">
        <f>INSTRUÇÕES!B2</f>
        <v>Seção Judiciária de Minas Gerais</v>
      </c>
      <c r="C2" s="97"/>
      <c r="D2" s="97"/>
      <c r="E2" s="97"/>
      <c r="F2" s="97"/>
      <c r="G2" s="97"/>
      <c r="H2" s="97"/>
      <c r="I2" s="158"/>
    </row>
    <row r="3" spans="1:13" x14ac:dyDescent="0.3">
      <c r="A3" s="96"/>
      <c r="B3" s="68" t="str">
        <f>INSTRUÇÕES!B3</f>
        <v>Subseção Judiciária de Passos</v>
      </c>
      <c r="C3" s="289"/>
      <c r="D3" s="289"/>
      <c r="E3" s="289"/>
      <c r="F3" s="289"/>
      <c r="G3" s="289"/>
      <c r="H3" s="289"/>
      <c r="I3" s="398"/>
    </row>
    <row r="4" spans="1:13" s="227" customFormat="1" ht="31.5" customHeight="1" x14ac:dyDescent="0.3">
      <c r="A4" s="735" t="s">
        <v>509</v>
      </c>
      <c r="B4" s="735"/>
      <c r="C4" s="735"/>
      <c r="D4" s="735"/>
      <c r="E4" s="735"/>
      <c r="F4" s="735"/>
      <c r="G4" s="735"/>
      <c r="H4" s="735"/>
      <c r="I4" s="735"/>
      <c r="J4" s="399"/>
      <c r="K4" s="399"/>
      <c r="L4" s="399"/>
      <c r="M4" s="399"/>
    </row>
    <row r="5" spans="1:13" s="400" customFormat="1" ht="41.25" customHeight="1" x14ac:dyDescent="0.3">
      <c r="A5" s="736" t="s">
        <v>437</v>
      </c>
      <c r="B5" s="736"/>
      <c r="C5" s="736"/>
      <c r="D5" s="736"/>
      <c r="E5" s="737" t="s">
        <v>390</v>
      </c>
      <c r="F5" s="455" t="str">
        <f>Dados!C7</f>
        <v>Servente de Limpeza com insalubridade 40%</v>
      </c>
      <c r="G5" s="456" t="str">
        <f>Dados!C8</f>
        <v>Servente de Limpeza acúmulo de função Copeira</v>
      </c>
      <c r="H5" s="456" t="str">
        <f>Dados!C9</f>
        <v>Auxiliar Administrativo</v>
      </c>
      <c r="I5" s="457" t="str">
        <f>Dados!C10</f>
        <v>Auxiliar Administrativo</v>
      </c>
    </row>
    <row r="6" spans="1:13" s="105" customFormat="1" ht="22.5" customHeight="1" x14ac:dyDescent="0.3">
      <c r="A6" s="458" t="s">
        <v>438</v>
      </c>
      <c r="B6" s="738" t="s">
        <v>291</v>
      </c>
      <c r="C6" s="738"/>
      <c r="D6" s="738"/>
      <c r="E6" s="737"/>
      <c r="F6" s="739" t="s">
        <v>439</v>
      </c>
      <c r="G6" s="739"/>
      <c r="H6" s="739"/>
      <c r="I6" s="739"/>
    </row>
    <row r="7" spans="1:13" ht="14.25" customHeight="1" x14ac:dyDescent="0.3">
      <c r="A7" s="459">
        <v>1</v>
      </c>
      <c r="B7" s="732" t="s">
        <v>440</v>
      </c>
      <c r="C7" s="732"/>
      <c r="D7" s="732"/>
      <c r="E7" s="732"/>
      <c r="F7" s="460">
        <f>Dados!M7</f>
        <v>2092.36</v>
      </c>
      <c r="G7" s="460">
        <f>Dados!M8</f>
        <v>1529.71</v>
      </c>
      <c r="H7" s="460">
        <f>Dados!M9</f>
        <v>1396.36</v>
      </c>
      <c r="I7" s="461">
        <f>Dados!M10</f>
        <v>1861.82</v>
      </c>
    </row>
    <row r="8" spans="1:13" x14ac:dyDescent="0.3">
      <c r="A8" s="462" t="s">
        <v>441</v>
      </c>
      <c r="B8" s="733" t="s">
        <v>292</v>
      </c>
      <c r="C8" s="733"/>
      <c r="D8" s="733"/>
      <c r="E8" s="438">
        <f>Encargos!C39</f>
        <v>9.0899999999999995E-2</v>
      </c>
      <c r="F8" s="401">
        <f>ROUND(F7*$E$8,2)</f>
        <v>190.2</v>
      </c>
      <c r="G8" s="401">
        <f>ROUND(G7*$E$8,2)</f>
        <v>139.05000000000001</v>
      </c>
      <c r="H8" s="401">
        <f>ROUND(H7*$E$8,2)</f>
        <v>126.93</v>
      </c>
      <c r="I8" s="402">
        <f>ROUND(I7*$E$8,2)</f>
        <v>169.24</v>
      </c>
    </row>
    <row r="9" spans="1:13" x14ac:dyDescent="0.3">
      <c r="A9" s="463" t="s">
        <v>442</v>
      </c>
      <c r="B9" s="730" t="s">
        <v>298</v>
      </c>
      <c r="C9" s="730"/>
      <c r="D9" s="730"/>
      <c r="E9" s="464">
        <f>E8*Encargos!C18</f>
        <v>3.6178200000000008E-2</v>
      </c>
      <c r="F9" s="403">
        <f>ROUND(F7*$E$9,2)</f>
        <v>75.7</v>
      </c>
      <c r="G9" s="403">
        <f>ROUND(G7*$E$9,2)</f>
        <v>55.34</v>
      </c>
      <c r="H9" s="403">
        <f>ROUND(H7*$E$9,2)</f>
        <v>50.52</v>
      </c>
      <c r="I9" s="404">
        <f>ROUND(I7*$E$9,2)</f>
        <v>67.36</v>
      </c>
    </row>
    <row r="10" spans="1:13" ht="12.75" customHeight="1" x14ac:dyDescent="0.3">
      <c r="A10" s="734" t="s">
        <v>443</v>
      </c>
      <c r="B10" s="734"/>
      <c r="C10" s="734"/>
      <c r="D10" s="734"/>
      <c r="E10" s="465">
        <f t="shared" ref="E10:I10" si="0">SUM(E8:E9)</f>
        <v>0.1270782</v>
      </c>
      <c r="F10" s="405">
        <f t="shared" si="0"/>
        <v>265.89999999999998</v>
      </c>
      <c r="G10" s="405">
        <f t="shared" si="0"/>
        <v>194.39000000000001</v>
      </c>
      <c r="H10" s="405">
        <f t="shared" si="0"/>
        <v>177.45000000000002</v>
      </c>
      <c r="I10" s="406">
        <f t="shared" si="0"/>
        <v>236.60000000000002</v>
      </c>
    </row>
    <row r="11" spans="1:13" ht="12.75" customHeight="1" x14ac:dyDescent="0.3">
      <c r="A11" s="734" t="s">
        <v>444</v>
      </c>
      <c r="B11" s="734"/>
      <c r="C11" s="734"/>
      <c r="D11" s="734"/>
      <c r="E11" s="734"/>
      <c r="F11" s="405">
        <f>F10*12</f>
        <v>3190.7999999999997</v>
      </c>
      <c r="G11" s="405">
        <f>G10*12</f>
        <v>2332.6800000000003</v>
      </c>
      <c r="H11" s="405">
        <f>H10*12</f>
        <v>2129.4</v>
      </c>
      <c r="I11" s="406">
        <f>I10*12</f>
        <v>2839.2000000000003</v>
      </c>
    </row>
    <row r="12" spans="1:13" x14ac:dyDescent="0.3">
      <c r="A12" s="466">
        <v>2</v>
      </c>
      <c r="B12" s="467" t="s">
        <v>445</v>
      </c>
      <c r="C12" s="467"/>
      <c r="D12" s="467"/>
      <c r="E12" s="467"/>
      <c r="F12" s="729" t="s">
        <v>339</v>
      </c>
      <c r="G12" s="729"/>
      <c r="H12" s="729"/>
      <c r="I12" s="729"/>
    </row>
    <row r="13" spans="1:13" x14ac:dyDescent="0.3">
      <c r="A13" s="463" t="s">
        <v>441</v>
      </c>
      <c r="B13" s="730" t="s">
        <v>446</v>
      </c>
      <c r="C13" s="730"/>
      <c r="D13" s="730"/>
      <c r="E13" s="468"/>
      <c r="F13" s="469">
        <f>'Servente Insalub'!$F$23</f>
        <v>510.4</v>
      </c>
      <c r="G13" s="469">
        <f>'Servente acúmulo Copeira'!$F$23</f>
        <v>510.4</v>
      </c>
      <c r="H13" s="469">
        <f>'Auxiliar Adm 150'!$F$23</f>
        <v>0</v>
      </c>
      <c r="I13" s="425">
        <f>'Auxiliar Adm 200'!$F$23</f>
        <v>510.4</v>
      </c>
    </row>
    <row r="14" spans="1:13" x14ac:dyDescent="0.3">
      <c r="A14" s="463" t="s">
        <v>447</v>
      </c>
      <c r="B14" s="730" t="s">
        <v>448</v>
      </c>
      <c r="C14" s="730"/>
      <c r="D14" s="730"/>
      <c r="E14" s="468"/>
      <c r="F14" s="469">
        <f>'Servente Insalub'!$F$22</f>
        <v>82.49</v>
      </c>
      <c r="G14" s="469">
        <f>'Servente acúmulo Copeira'!$F$22</f>
        <v>82.49</v>
      </c>
      <c r="H14" s="469">
        <f>'Auxiliar Adm 150'!$F$22</f>
        <v>87.82</v>
      </c>
      <c r="I14" s="425">
        <f>'Auxiliar Adm 200'!$F$22</f>
        <v>59.89</v>
      </c>
    </row>
    <row r="15" spans="1:13" x14ac:dyDescent="0.3">
      <c r="A15" s="463" t="s">
        <v>449</v>
      </c>
      <c r="B15" s="468" t="s">
        <v>450</v>
      </c>
      <c r="C15" s="468"/>
      <c r="D15" s="468"/>
      <c r="E15" s="468"/>
      <c r="F15" s="469">
        <v>0</v>
      </c>
      <c r="G15" s="469">
        <v>0</v>
      </c>
      <c r="H15" s="469">
        <v>0</v>
      </c>
      <c r="I15" s="425">
        <v>0</v>
      </c>
    </row>
    <row r="16" spans="1:13" x14ac:dyDescent="0.3">
      <c r="A16" s="724" t="s">
        <v>451</v>
      </c>
      <c r="B16" s="724"/>
      <c r="C16" s="724"/>
      <c r="D16" s="724"/>
      <c r="E16" s="724"/>
      <c r="F16" s="470">
        <f>SUM(F13:F15)</f>
        <v>592.89</v>
      </c>
      <c r="G16" s="470">
        <f>SUM(G13:G15)</f>
        <v>592.89</v>
      </c>
      <c r="H16" s="470">
        <f>SUM(H13:H15)</f>
        <v>87.82</v>
      </c>
      <c r="I16" s="471">
        <f>SUM(I13:I15)</f>
        <v>570.29</v>
      </c>
    </row>
    <row r="17" spans="1:9" ht="12.75" customHeight="1" x14ac:dyDescent="0.3">
      <c r="A17" s="466">
        <v>5</v>
      </c>
      <c r="B17" s="731" t="s">
        <v>452</v>
      </c>
      <c r="C17" s="731"/>
      <c r="D17" s="731"/>
      <c r="E17" s="472" t="s">
        <v>390</v>
      </c>
      <c r="F17" s="729" t="s">
        <v>339</v>
      </c>
      <c r="G17" s="729"/>
      <c r="H17" s="729"/>
      <c r="I17" s="729"/>
    </row>
    <row r="18" spans="1:9" ht="12.75" customHeight="1" x14ac:dyDescent="0.3">
      <c r="A18" s="463" t="s">
        <v>441</v>
      </c>
      <c r="B18" s="716" t="s">
        <v>453</v>
      </c>
      <c r="C18" s="716"/>
      <c r="D18" s="716"/>
      <c r="E18" s="473">
        <f>Dados!$G$43</f>
        <v>0.03</v>
      </c>
      <c r="F18" s="474">
        <f>ROUND(($E$18*F31),2)</f>
        <v>113.51</v>
      </c>
      <c r="G18" s="474">
        <f>ROUND(($E$18*G31),2)</f>
        <v>87.77</v>
      </c>
      <c r="H18" s="474">
        <f>ROUND(($E$18*H31),2)</f>
        <v>66.52</v>
      </c>
      <c r="I18" s="475">
        <f>ROUND(($E$18*I31),2)</f>
        <v>102.28</v>
      </c>
    </row>
    <row r="19" spans="1:9" ht="12.75" customHeight="1" x14ac:dyDescent="0.3">
      <c r="A19" s="463" t="s">
        <v>447</v>
      </c>
      <c r="B19" s="716" t="s">
        <v>201</v>
      </c>
      <c r="C19" s="716"/>
      <c r="D19" s="716"/>
      <c r="E19" s="473">
        <f>Dados!$G$44</f>
        <v>6.7900000000000002E-2</v>
      </c>
      <c r="F19" s="474">
        <f>ROUND(($E$19*(F18+F31)),2)</f>
        <v>264.62</v>
      </c>
      <c r="G19" s="474">
        <f>ROUND(($E$19*(G18+G31)),2)</f>
        <v>204.61</v>
      </c>
      <c r="H19" s="474">
        <f>ROUND(($E$19*(H18+H31)),2)</f>
        <v>155.07</v>
      </c>
      <c r="I19" s="475">
        <f>ROUND(($E$19*(I18+I31)),2)</f>
        <v>238.45</v>
      </c>
    </row>
    <row r="20" spans="1:9" ht="12.75" customHeight="1" x14ac:dyDescent="0.3">
      <c r="A20" s="476" t="s">
        <v>449</v>
      </c>
      <c r="B20" s="728" t="s">
        <v>454</v>
      </c>
      <c r="C20" s="728"/>
      <c r="D20" s="728"/>
      <c r="E20" s="477">
        <f>SUM(E21:E24)</f>
        <v>0.1225</v>
      </c>
      <c r="F20" s="478">
        <f>ROUND((((F31+F18+F19)/(1-$E$20))-(F31+F18+F19)),2)</f>
        <v>580.99</v>
      </c>
      <c r="G20" s="478">
        <f>ROUND((((G31+G18+G19)/(1-$E$20))-(G31+G18+G19)),2)</f>
        <v>449.23</v>
      </c>
      <c r="H20" s="478">
        <f>ROUND((((H31+H18+H19)/(1-$E$20))-(H31+H18+H19)),2)</f>
        <v>340.46</v>
      </c>
      <c r="I20" s="479">
        <f>ROUND((((I31+I18+I19)/(1-$E$20))-(I31+I18+I19)),2)</f>
        <v>523.53</v>
      </c>
    </row>
    <row r="21" spans="1:9" ht="12.75" customHeight="1" x14ac:dyDescent="0.3">
      <c r="A21" s="480" t="s">
        <v>455</v>
      </c>
      <c r="B21" s="716" t="s">
        <v>456</v>
      </c>
      <c r="C21" s="716"/>
      <c r="D21" s="716"/>
      <c r="E21" s="473">
        <f>Dados!G51+Dados!G52</f>
        <v>9.2499999999999999E-2</v>
      </c>
      <c r="F21" s="474">
        <f>ROUND($E$21*F33,2)</f>
        <v>438.71</v>
      </c>
      <c r="G21" s="474">
        <f>ROUND($E$21*G33,2)</f>
        <v>339.21</v>
      </c>
      <c r="H21" s="474">
        <f>ROUND($E$21*H33,2)</f>
        <v>257.08</v>
      </c>
      <c r="I21" s="475">
        <f>ROUND($E$21*I33,2)</f>
        <v>395.32</v>
      </c>
    </row>
    <row r="22" spans="1:9" ht="12.75" customHeight="1" x14ac:dyDescent="0.3">
      <c r="A22" s="463" t="s">
        <v>457</v>
      </c>
      <c r="B22" s="716" t="s">
        <v>458</v>
      </c>
      <c r="C22" s="716"/>
      <c r="D22" s="716"/>
      <c r="E22" s="473">
        <v>0</v>
      </c>
      <c r="F22" s="474">
        <f>ROUND($E$22*F33,2)</f>
        <v>0</v>
      </c>
      <c r="G22" s="474">
        <f>ROUND($E$22*G33,2)</f>
        <v>0</v>
      </c>
      <c r="H22" s="474">
        <f>ROUND($E$22*H33,2)</f>
        <v>0</v>
      </c>
      <c r="I22" s="475">
        <f>ROUND($E$22*I33,2)</f>
        <v>0</v>
      </c>
    </row>
    <row r="23" spans="1:9" ht="12.75" customHeight="1" x14ac:dyDescent="0.3">
      <c r="A23" s="463" t="s">
        <v>459</v>
      </c>
      <c r="B23" s="716" t="s">
        <v>460</v>
      </c>
      <c r="C23" s="716"/>
      <c r="D23" s="716"/>
      <c r="E23" s="473">
        <f>Dados!G53</f>
        <v>0.03</v>
      </c>
      <c r="F23" s="474">
        <f>ROUND($E$23*F33,2)</f>
        <v>142.28</v>
      </c>
      <c r="G23" s="474">
        <f>ROUND($E$23*G33,2)</f>
        <v>110.02</v>
      </c>
      <c r="H23" s="474">
        <f>ROUND($E$23*H33,2)</f>
        <v>83.38</v>
      </c>
      <c r="I23" s="475">
        <f>ROUND($E$23*I33,2)</f>
        <v>128.21</v>
      </c>
    </row>
    <row r="24" spans="1:9" x14ac:dyDescent="0.3">
      <c r="A24" s="463" t="s">
        <v>461</v>
      </c>
      <c r="B24" s="716" t="str">
        <f>Dados!B54</f>
        <v>Outros (inserir somente com a justificativa legal)</v>
      </c>
      <c r="C24" s="716"/>
      <c r="D24" s="716"/>
      <c r="E24" s="473">
        <f>Dados!G54</f>
        <v>0</v>
      </c>
      <c r="F24" s="474">
        <f>ROUND($E$24*F33,2)</f>
        <v>0</v>
      </c>
      <c r="G24" s="474">
        <f>ROUND($E$24*G33,2)</f>
        <v>0</v>
      </c>
      <c r="H24" s="474">
        <f>ROUND($E$24*H33,2)</f>
        <v>0</v>
      </c>
      <c r="I24" s="475">
        <f>ROUND($E$24*I33,2)</f>
        <v>0</v>
      </c>
    </row>
    <row r="25" spans="1:9" x14ac:dyDescent="0.3">
      <c r="A25" s="481" t="s">
        <v>462</v>
      </c>
      <c r="B25" s="436"/>
      <c r="C25" s="436"/>
      <c r="D25" s="436"/>
      <c r="E25" s="436"/>
      <c r="F25" s="482">
        <f>SUM(F18:F20)</f>
        <v>959.12</v>
      </c>
      <c r="G25" s="482">
        <f>SUM(G18:G20)</f>
        <v>741.61</v>
      </c>
      <c r="H25" s="482">
        <f>SUM(H18:H20)</f>
        <v>562.04999999999995</v>
      </c>
      <c r="I25" s="483">
        <f>SUM(I18:I20)</f>
        <v>864.26</v>
      </c>
    </row>
    <row r="26" spans="1:9" ht="19.5" customHeight="1" x14ac:dyDescent="0.3">
      <c r="A26" s="725" t="s">
        <v>463</v>
      </c>
      <c r="B26" s="725"/>
      <c r="C26" s="725"/>
      <c r="D26" s="725"/>
      <c r="E26" s="725"/>
      <c r="F26" s="725"/>
      <c r="G26" s="725"/>
      <c r="H26" s="725"/>
      <c r="I26" s="725"/>
    </row>
    <row r="27" spans="1:9" ht="18" customHeight="1" x14ac:dyDescent="0.3">
      <c r="A27" s="726" t="s">
        <v>464</v>
      </c>
      <c r="B27" s="726"/>
      <c r="C27" s="726"/>
      <c r="D27" s="726"/>
      <c r="E27" s="726"/>
      <c r="F27" s="726"/>
      <c r="G27" s="726"/>
      <c r="H27" s="726"/>
      <c r="I27" s="726"/>
    </row>
    <row r="28" spans="1:9" ht="14.25" customHeight="1" x14ac:dyDescent="0.3">
      <c r="A28" s="484" t="s">
        <v>465</v>
      </c>
      <c r="B28" s="485"/>
      <c r="C28" s="485"/>
      <c r="D28" s="485"/>
      <c r="E28" s="485"/>
      <c r="F28" s="727" t="s">
        <v>339</v>
      </c>
      <c r="G28" s="727"/>
      <c r="H28" s="727"/>
      <c r="I28" s="727"/>
    </row>
    <row r="29" spans="1:9" x14ac:dyDescent="0.3">
      <c r="A29" s="463" t="s">
        <v>441</v>
      </c>
      <c r="B29" s="468" t="s">
        <v>466</v>
      </c>
      <c r="C29" s="468"/>
      <c r="D29" s="468"/>
      <c r="E29" s="468"/>
      <c r="F29" s="486">
        <f>F11</f>
        <v>3190.7999999999997</v>
      </c>
      <c r="G29" s="486">
        <f>G11</f>
        <v>2332.6800000000003</v>
      </c>
      <c r="H29" s="486">
        <f>H11</f>
        <v>2129.4</v>
      </c>
      <c r="I29" s="487">
        <f>I11</f>
        <v>2839.2000000000003</v>
      </c>
    </row>
    <row r="30" spans="1:9" x14ac:dyDescent="0.3">
      <c r="A30" s="463" t="s">
        <v>447</v>
      </c>
      <c r="B30" s="468" t="s">
        <v>445</v>
      </c>
      <c r="C30" s="468"/>
      <c r="D30" s="468"/>
      <c r="E30" s="468"/>
      <c r="F30" s="486">
        <f>F16</f>
        <v>592.89</v>
      </c>
      <c r="G30" s="486">
        <f>G16</f>
        <v>592.89</v>
      </c>
      <c r="H30" s="486">
        <f>H16</f>
        <v>87.82</v>
      </c>
      <c r="I30" s="487">
        <f>I16</f>
        <v>570.29</v>
      </c>
    </row>
    <row r="31" spans="1:9" x14ac:dyDescent="0.3">
      <c r="A31" s="724" t="s">
        <v>467</v>
      </c>
      <c r="B31" s="724"/>
      <c r="C31" s="724"/>
      <c r="D31" s="724"/>
      <c r="E31" s="488"/>
      <c r="F31" s="489">
        <f>SUM(F29:F30)</f>
        <v>3783.6899999999996</v>
      </c>
      <c r="G31" s="489">
        <f>SUM(G29:G30)</f>
        <v>2925.57</v>
      </c>
      <c r="H31" s="489">
        <f>SUM(H29:H30)</f>
        <v>2217.2200000000003</v>
      </c>
      <c r="I31" s="490">
        <f>SUM(I29:I30)</f>
        <v>3409.4900000000002</v>
      </c>
    </row>
    <row r="32" spans="1:9" x14ac:dyDescent="0.3">
      <c r="A32" s="491" t="s">
        <v>468</v>
      </c>
      <c r="B32" s="492" t="s">
        <v>469</v>
      </c>
      <c r="C32" s="492"/>
      <c r="D32" s="492"/>
      <c r="E32" s="492"/>
      <c r="F32" s="493">
        <f>F25</f>
        <v>959.12</v>
      </c>
      <c r="G32" s="493">
        <f>G25</f>
        <v>741.61</v>
      </c>
      <c r="H32" s="493">
        <f>H25</f>
        <v>562.04999999999995</v>
      </c>
      <c r="I32" s="494">
        <f>I25</f>
        <v>864.26</v>
      </c>
    </row>
    <row r="33" spans="1:9" ht="19.5" customHeight="1" x14ac:dyDescent="0.3">
      <c r="A33" s="495" t="s">
        <v>470</v>
      </c>
      <c r="B33" s="496"/>
      <c r="C33" s="496"/>
      <c r="D33" s="496"/>
      <c r="E33" s="496"/>
      <c r="F33" s="497">
        <f>SUM(F31:F32)</f>
        <v>4742.8099999999995</v>
      </c>
      <c r="G33" s="497">
        <f>SUM(G31:G32)</f>
        <v>3667.1800000000003</v>
      </c>
      <c r="H33" s="497">
        <f>SUM(H31:H32)</f>
        <v>2779.2700000000004</v>
      </c>
      <c r="I33" s="498">
        <f>SUM(I31:I32)</f>
        <v>4273.75</v>
      </c>
    </row>
  </sheetData>
  <sheetProtection algorithmName="SHA-512" hashValue="CivPDQRGX+CRGcAbCOB4rz9j6svvjXYZ7tLsrJCNpHItfdG7KLBR1fHXq8vqVWOX7l5b+97m015JI/QA1Fz3Ag==" saltValue="DU4c+lYltme/4qsGi1EirA==" spinCount="100000" sheet="1" objects="1" scenarios="1"/>
  <mergeCells count="27">
    <mergeCell ref="A4:I4"/>
    <mergeCell ref="A5:D5"/>
    <mergeCell ref="E5:E6"/>
    <mergeCell ref="B6:D6"/>
    <mergeCell ref="F6:I6"/>
    <mergeCell ref="B7:E7"/>
    <mergeCell ref="B8:D8"/>
    <mergeCell ref="B9:D9"/>
    <mergeCell ref="A10:D10"/>
    <mergeCell ref="A11:E11"/>
    <mergeCell ref="F12:I12"/>
    <mergeCell ref="B13:D13"/>
    <mergeCell ref="B14:D14"/>
    <mergeCell ref="A16:E16"/>
    <mergeCell ref="B17:D17"/>
    <mergeCell ref="F17:I17"/>
    <mergeCell ref="B18:D18"/>
    <mergeCell ref="B19:D19"/>
    <mergeCell ref="B20:D20"/>
    <mergeCell ref="B21:D21"/>
    <mergeCell ref="B22:D22"/>
    <mergeCell ref="A31:D31"/>
    <mergeCell ref="B23:D23"/>
    <mergeCell ref="B24:D24"/>
    <mergeCell ref="A26:I26"/>
    <mergeCell ref="A27:I27"/>
    <mergeCell ref="F28:I28"/>
  </mergeCells>
  <printOptions horizontalCentered="1" verticalCentered="1"/>
  <pageMargins left="0.51180555555555596" right="0.51180555555555596" top="0.78749999999999998" bottom="0.78749999999999998" header="0.511811023622047" footer="0.511811023622047"/>
  <pageSetup paperSize="9" scale="81" fitToHeight="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23"/>
  <sheetViews>
    <sheetView showGridLines="0" view="pageBreakPreview" zoomScale="140" zoomScaleNormal="100" zoomScalePageLayoutView="140" workbookViewId="0"/>
  </sheetViews>
  <sheetFormatPr defaultColWidth="8.6640625" defaultRowHeight="14.4" x14ac:dyDescent="0.3"/>
  <cols>
    <col min="1" max="1" width="7.88671875" customWidth="1"/>
    <col min="2" max="2" width="7.33203125" customWidth="1"/>
    <col min="3" max="3" width="4.44140625" customWidth="1"/>
    <col min="4" max="4" width="7.5546875" customWidth="1"/>
    <col min="5" max="5" width="5.44140625" customWidth="1"/>
    <col min="6" max="6" width="8.33203125" customWidth="1"/>
    <col min="7" max="7" width="7.44140625" customWidth="1"/>
    <col min="8" max="8" width="3.33203125" customWidth="1"/>
    <col min="9" max="9" width="7.33203125" customWidth="1"/>
    <col min="10" max="10" width="4.44140625" customWidth="1"/>
    <col min="11" max="11" width="7.5546875" customWidth="1"/>
    <col min="12" max="12" width="5.44140625" customWidth="1"/>
    <col min="13" max="13" width="8.33203125" customWidth="1"/>
    <col min="14" max="14" width="7.44140625" customWidth="1"/>
    <col min="15" max="15" width="3" customWidth="1"/>
    <col min="16" max="16" width="7.33203125" customWidth="1"/>
    <col min="17" max="17" width="4.44140625" customWidth="1"/>
    <col min="18" max="18" width="7.5546875" customWidth="1"/>
    <col min="19" max="19" width="5.44140625" customWidth="1"/>
    <col min="20" max="20" width="8.33203125" customWidth="1"/>
    <col min="21" max="21" width="7.44140625" customWidth="1"/>
    <col min="22" max="22" width="3" customWidth="1"/>
    <col min="23" max="23" width="7.33203125" customWidth="1"/>
    <col min="24" max="24" width="4.44140625" customWidth="1"/>
    <col min="25" max="25" width="7.5546875" customWidth="1"/>
    <col min="26" max="26" width="5.44140625" customWidth="1"/>
    <col min="27" max="27" width="8.33203125" customWidth="1"/>
    <col min="28" max="28" width="7.44140625" customWidth="1"/>
    <col min="29" max="29" width="3" customWidth="1"/>
    <col min="30" max="30" width="7.33203125" customWidth="1"/>
    <col min="31" max="31" width="4.44140625" customWidth="1"/>
    <col min="257" max="257" width="1.44140625" customWidth="1"/>
    <col min="258" max="258" width="7.33203125" customWidth="1"/>
    <col min="259" max="259" width="4.44140625" customWidth="1"/>
    <col min="260" max="260" width="7.5546875" customWidth="1"/>
    <col min="261" max="261" width="5.44140625" customWidth="1"/>
    <col min="262" max="262" width="8.33203125" customWidth="1"/>
    <col min="263" max="263" width="7.44140625" customWidth="1"/>
    <col min="264" max="264" width="3.33203125" customWidth="1"/>
    <col min="265" max="265" width="7.33203125" customWidth="1"/>
    <col min="266" max="266" width="4.44140625" customWidth="1"/>
    <col min="267" max="267" width="7.5546875" customWidth="1"/>
    <col min="268" max="268" width="5.44140625" customWidth="1"/>
    <col min="269" max="269" width="8.33203125" customWidth="1"/>
    <col min="270" max="270" width="7.44140625" customWidth="1"/>
    <col min="271" max="271" width="3" customWidth="1"/>
    <col min="272" max="272" width="7.33203125" customWidth="1"/>
    <col min="273" max="273" width="4.44140625" customWidth="1"/>
    <col min="274" max="274" width="7.5546875" customWidth="1"/>
    <col min="275" max="275" width="5.44140625" customWidth="1"/>
    <col min="276" max="276" width="8.33203125" customWidth="1"/>
    <col min="277" max="277" width="7.44140625" customWidth="1"/>
    <col min="278" max="278" width="3" customWidth="1"/>
    <col min="279" max="279" width="7.33203125" customWidth="1"/>
    <col min="280" max="280" width="4.44140625" customWidth="1"/>
    <col min="281" max="281" width="7.5546875" customWidth="1"/>
    <col min="282" max="282" width="5.44140625" customWidth="1"/>
    <col min="283" max="283" width="8.33203125" customWidth="1"/>
    <col min="284" max="284" width="7.44140625" customWidth="1"/>
    <col min="285" max="285" width="3" customWidth="1"/>
    <col min="286" max="286" width="7.33203125" customWidth="1"/>
    <col min="287" max="287" width="4.44140625" customWidth="1"/>
    <col min="513" max="513" width="1.44140625" customWidth="1"/>
    <col min="514" max="514" width="7.33203125" customWidth="1"/>
    <col min="515" max="515" width="4.44140625" customWidth="1"/>
    <col min="516" max="516" width="7.5546875" customWidth="1"/>
    <col min="517" max="517" width="5.44140625" customWidth="1"/>
    <col min="518" max="518" width="8.33203125" customWidth="1"/>
    <col min="519" max="519" width="7.44140625" customWidth="1"/>
    <col min="520" max="520" width="3.33203125" customWidth="1"/>
    <col min="521" max="521" width="7.33203125" customWidth="1"/>
    <col min="522" max="522" width="4.44140625" customWidth="1"/>
    <col min="523" max="523" width="7.5546875" customWidth="1"/>
    <col min="524" max="524" width="5.44140625" customWidth="1"/>
    <col min="525" max="525" width="8.33203125" customWidth="1"/>
    <col min="526" max="526" width="7.44140625" customWidth="1"/>
    <col min="527" max="527" width="3" customWidth="1"/>
    <col min="528" max="528" width="7.33203125" customWidth="1"/>
    <col min="529" max="529" width="4.44140625" customWidth="1"/>
    <col min="530" max="530" width="7.5546875" customWidth="1"/>
    <col min="531" max="531" width="5.44140625" customWidth="1"/>
    <col min="532" max="532" width="8.33203125" customWidth="1"/>
    <col min="533" max="533" width="7.44140625" customWidth="1"/>
    <col min="534" max="534" width="3" customWidth="1"/>
    <col min="535" max="535" width="7.33203125" customWidth="1"/>
    <col min="536" max="536" width="4.44140625" customWidth="1"/>
    <col min="537" max="537" width="7.5546875" customWidth="1"/>
    <col min="538" max="538" width="5.44140625" customWidth="1"/>
    <col min="539" max="539" width="8.33203125" customWidth="1"/>
    <col min="540" max="540" width="7.44140625" customWidth="1"/>
    <col min="541" max="541" width="3" customWidth="1"/>
    <col min="542" max="542" width="7.33203125" customWidth="1"/>
    <col min="543" max="543" width="4.44140625" customWidth="1"/>
    <col min="769" max="769" width="1.44140625" customWidth="1"/>
    <col min="770" max="770" width="7.33203125" customWidth="1"/>
    <col min="771" max="771" width="4.44140625" customWidth="1"/>
    <col min="772" max="772" width="7.5546875" customWidth="1"/>
    <col min="773" max="773" width="5.44140625" customWidth="1"/>
    <col min="774" max="774" width="8.33203125" customWidth="1"/>
    <col min="775" max="775" width="7.44140625" customWidth="1"/>
    <col min="776" max="776" width="3.33203125" customWidth="1"/>
    <col min="777" max="777" width="7.33203125" customWidth="1"/>
    <col min="778" max="778" width="4.44140625" customWidth="1"/>
    <col min="779" max="779" width="7.5546875" customWidth="1"/>
    <col min="780" max="780" width="5.44140625" customWidth="1"/>
    <col min="781" max="781" width="8.33203125" customWidth="1"/>
    <col min="782" max="782" width="7.44140625" customWidth="1"/>
    <col min="783" max="783" width="3" customWidth="1"/>
    <col min="784" max="784" width="7.33203125" customWidth="1"/>
    <col min="785" max="785" width="4.44140625" customWidth="1"/>
    <col min="786" max="786" width="7.5546875" customWidth="1"/>
    <col min="787" max="787" width="5.44140625" customWidth="1"/>
    <col min="788" max="788" width="8.33203125" customWidth="1"/>
    <col min="789" max="789" width="7.44140625" customWidth="1"/>
    <col min="790" max="790" width="3" customWidth="1"/>
    <col min="791" max="791" width="7.33203125" customWidth="1"/>
    <col min="792" max="792" width="4.44140625" customWidth="1"/>
    <col min="793" max="793" width="7.5546875" customWidth="1"/>
    <col min="794" max="794" width="5.44140625" customWidth="1"/>
    <col min="795" max="795" width="8.33203125" customWidth="1"/>
    <col min="796" max="796" width="7.44140625" customWidth="1"/>
    <col min="797" max="797" width="3" customWidth="1"/>
    <col min="798" max="798" width="7.33203125" customWidth="1"/>
    <col min="799" max="799" width="4.44140625" customWidth="1"/>
  </cols>
  <sheetData>
    <row r="1" spans="1:35" x14ac:dyDescent="0.3">
      <c r="A1" s="97"/>
      <c r="B1" s="97" t="s">
        <v>93</v>
      </c>
    </row>
    <row r="2" spans="1:35" x14ac:dyDescent="0.3">
      <c r="A2" s="97"/>
      <c r="B2" s="97" t="s">
        <v>94</v>
      </c>
    </row>
    <row r="3" spans="1:35" x14ac:dyDescent="0.3">
      <c r="A3" s="289"/>
      <c r="B3" s="68" t="s">
        <v>95</v>
      </c>
    </row>
    <row r="4" spans="1:35" ht="6" customHeight="1" x14ac:dyDescent="0.3"/>
    <row r="5" spans="1:35" ht="6" customHeight="1" x14ac:dyDescent="0.3"/>
    <row r="6" spans="1:35" ht="15.75" customHeight="1" x14ac:dyDescent="0.3">
      <c r="B6" s="742" t="s">
        <v>222</v>
      </c>
      <c r="C6" s="742"/>
      <c r="D6" s="742"/>
      <c r="E6" s="742"/>
      <c r="F6" s="742"/>
      <c r="G6" s="742"/>
      <c r="I6" s="742" t="s">
        <v>226</v>
      </c>
      <c r="J6" s="742"/>
      <c r="K6" s="742"/>
      <c r="L6" s="742"/>
      <c r="M6" s="742"/>
      <c r="N6" s="742"/>
      <c r="P6" s="742" t="s">
        <v>227</v>
      </c>
      <c r="Q6" s="742"/>
      <c r="R6" s="742"/>
      <c r="S6" s="742"/>
      <c r="T6" s="742"/>
      <c r="U6" s="742"/>
      <c r="W6" s="742" t="s">
        <v>228</v>
      </c>
      <c r="X6" s="742"/>
      <c r="Y6" s="742"/>
      <c r="Z6" s="742"/>
      <c r="AA6" s="742"/>
      <c r="AB6" s="742"/>
      <c r="AD6" s="742" t="s">
        <v>229</v>
      </c>
      <c r="AE6" s="742"/>
      <c r="AF6" s="742"/>
      <c r="AG6" s="742"/>
      <c r="AH6" s="742"/>
      <c r="AI6" s="742"/>
    </row>
    <row r="7" spans="1:35" x14ac:dyDescent="0.3">
      <c r="B7" s="407" t="s">
        <v>471</v>
      </c>
      <c r="C7" s="741"/>
      <c r="D7" s="741"/>
      <c r="E7" s="741"/>
      <c r="F7" s="741"/>
      <c r="G7" s="741"/>
      <c r="I7" s="407" t="s">
        <v>471</v>
      </c>
      <c r="J7" s="741"/>
      <c r="K7" s="741"/>
      <c r="L7" s="741"/>
      <c r="M7" s="741"/>
      <c r="N7" s="741"/>
      <c r="P7" s="407" t="s">
        <v>471</v>
      </c>
      <c r="Q7" s="741"/>
      <c r="R7" s="741"/>
      <c r="S7" s="741"/>
      <c r="T7" s="741"/>
      <c r="U7" s="741"/>
      <c r="W7" s="407" t="s">
        <v>471</v>
      </c>
      <c r="X7" s="741"/>
      <c r="Y7" s="741"/>
      <c r="Z7" s="741"/>
      <c r="AA7" s="741"/>
      <c r="AB7" s="741"/>
      <c r="AD7" s="407" t="s">
        <v>471</v>
      </c>
      <c r="AE7" s="741"/>
      <c r="AF7" s="741"/>
      <c r="AG7" s="741"/>
      <c r="AH7" s="741"/>
      <c r="AI7" s="741"/>
    </row>
    <row r="8" spans="1:35" ht="25.5" customHeight="1" x14ac:dyDescent="0.3">
      <c r="B8" s="636" t="s">
        <v>472</v>
      </c>
      <c r="C8" s="636"/>
      <c r="D8" s="206" t="s">
        <v>473</v>
      </c>
      <c r="E8" s="206" t="s">
        <v>474</v>
      </c>
      <c r="F8" s="206" t="s">
        <v>475</v>
      </c>
      <c r="G8" s="206" t="s">
        <v>476</v>
      </c>
      <c r="I8" s="636" t="s">
        <v>472</v>
      </c>
      <c r="J8" s="636"/>
      <c r="K8" s="206" t="s">
        <v>473</v>
      </c>
      <c r="L8" s="206" t="s">
        <v>474</v>
      </c>
      <c r="M8" s="206" t="s">
        <v>475</v>
      </c>
      <c r="N8" s="206" t="s">
        <v>476</v>
      </c>
      <c r="P8" s="636" t="s">
        <v>472</v>
      </c>
      <c r="Q8" s="636"/>
      <c r="R8" s="206" t="s">
        <v>473</v>
      </c>
      <c r="S8" s="206" t="s">
        <v>474</v>
      </c>
      <c r="T8" s="206" t="s">
        <v>475</v>
      </c>
      <c r="U8" s="206" t="s">
        <v>476</v>
      </c>
      <c r="W8" s="636" t="s">
        <v>472</v>
      </c>
      <c r="X8" s="636"/>
      <c r="Y8" s="206" t="s">
        <v>473</v>
      </c>
      <c r="Z8" s="206" t="s">
        <v>474</v>
      </c>
      <c r="AA8" s="206" t="s">
        <v>475</v>
      </c>
      <c r="AB8" s="206" t="s">
        <v>476</v>
      </c>
      <c r="AD8" s="636" t="s">
        <v>472</v>
      </c>
      <c r="AE8" s="636"/>
      <c r="AF8" s="206" t="s">
        <v>473</v>
      </c>
      <c r="AG8" s="206" t="s">
        <v>474</v>
      </c>
      <c r="AH8" s="206" t="s">
        <v>475</v>
      </c>
      <c r="AI8" s="206" t="s">
        <v>476</v>
      </c>
    </row>
    <row r="9" spans="1:35" x14ac:dyDescent="0.3">
      <c r="B9" s="408" t="s">
        <v>477</v>
      </c>
      <c r="C9" s="408" t="s">
        <v>478</v>
      </c>
      <c r="D9" s="408" t="s">
        <v>479</v>
      </c>
      <c r="E9" s="408"/>
      <c r="F9" s="408" t="s">
        <v>480</v>
      </c>
      <c r="G9" s="409">
        <v>100</v>
      </c>
      <c r="I9" s="408" t="s">
        <v>477</v>
      </c>
      <c r="J9" s="408" t="s">
        <v>478</v>
      </c>
      <c r="K9" s="408" t="s">
        <v>479</v>
      </c>
      <c r="L9" s="408"/>
      <c r="M9" s="408" t="s">
        <v>480</v>
      </c>
      <c r="N9" s="409">
        <v>100</v>
      </c>
      <c r="P9" s="408" t="s">
        <v>477</v>
      </c>
      <c r="Q9" s="408" t="s">
        <v>478</v>
      </c>
      <c r="R9" s="408" t="s">
        <v>479</v>
      </c>
      <c r="S9" s="408"/>
      <c r="T9" s="408" t="s">
        <v>480</v>
      </c>
      <c r="U9" s="409">
        <v>100</v>
      </c>
      <c r="W9" s="408" t="s">
        <v>477</v>
      </c>
      <c r="X9" s="408" t="s">
        <v>478</v>
      </c>
      <c r="Y9" s="408" t="s">
        <v>479</v>
      </c>
      <c r="Z9" s="408"/>
      <c r="AA9" s="408" t="s">
        <v>480</v>
      </c>
      <c r="AB9" s="409">
        <v>100</v>
      </c>
      <c r="AD9" s="408" t="s">
        <v>477</v>
      </c>
      <c r="AE9" s="408" t="s">
        <v>478</v>
      </c>
      <c r="AF9" s="408" t="s">
        <v>479</v>
      </c>
      <c r="AG9" s="408"/>
      <c r="AH9" s="408" t="s">
        <v>480</v>
      </c>
      <c r="AI9" s="409">
        <v>100</v>
      </c>
    </row>
    <row r="10" spans="1:35" x14ac:dyDescent="0.3">
      <c r="B10" s="408">
        <v>2023</v>
      </c>
      <c r="C10" s="410" t="s">
        <v>481</v>
      </c>
      <c r="D10" s="411"/>
      <c r="E10" s="412">
        <v>25</v>
      </c>
      <c r="F10" s="411">
        <f t="shared" ref="F10:F22" si="0">D10/30*E10</f>
        <v>0</v>
      </c>
      <c r="G10" s="413">
        <f t="shared" ref="G10:G22" si="1">(G9*F10)+G9</f>
        <v>100</v>
      </c>
      <c r="I10" s="408">
        <f t="shared" ref="I10:I22" si="2">B10+1</f>
        <v>2024</v>
      </c>
      <c r="J10" s="410" t="str">
        <f>$C$10</f>
        <v>AGO</v>
      </c>
      <c r="K10" s="411"/>
      <c r="L10" s="412">
        <f>$E$10</f>
        <v>25</v>
      </c>
      <c r="M10" s="411">
        <f t="shared" ref="M10:M22" si="3">K10/30*L10</f>
        <v>0</v>
      </c>
      <c r="N10" s="413">
        <f t="shared" ref="N10:N22" si="4">(N9*M10)+N9</f>
        <v>100</v>
      </c>
      <c r="P10" s="408">
        <f t="shared" ref="P10:P22" si="5">I10+1</f>
        <v>2025</v>
      </c>
      <c r="Q10" s="410" t="str">
        <f>$C$10</f>
        <v>AGO</v>
      </c>
      <c r="R10" s="411"/>
      <c r="S10" s="412">
        <f>$E$10</f>
        <v>25</v>
      </c>
      <c r="T10" s="411">
        <f t="shared" ref="T10:T22" si="6">R10/30*S10</f>
        <v>0</v>
      </c>
      <c r="U10" s="413">
        <f t="shared" ref="U10:U22" si="7">(U9*T10)+U9</f>
        <v>100</v>
      </c>
      <c r="W10" s="408">
        <f t="shared" ref="W10:W22" si="8">P10+1</f>
        <v>2026</v>
      </c>
      <c r="X10" s="410" t="str">
        <f>$C$10</f>
        <v>AGO</v>
      </c>
      <c r="Y10" s="411"/>
      <c r="Z10" s="412">
        <f>$E$10</f>
        <v>25</v>
      </c>
      <c r="AA10" s="411">
        <f t="shared" ref="AA10:AA22" si="9">Y10/30*Z10</f>
        <v>0</v>
      </c>
      <c r="AB10" s="413">
        <f t="shared" ref="AB10:AB22" si="10">(AB9*AA10)+AB9</f>
        <v>100</v>
      </c>
      <c r="AD10" s="408">
        <f t="shared" ref="AD10:AD22" si="11">W10+1</f>
        <v>2027</v>
      </c>
      <c r="AE10" s="410" t="str">
        <f>$C$10</f>
        <v>AGO</v>
      </c>
      <c r="AF10" s="411"/>
      <c r="AG10" s="412">
        <f>$E$10</f>
        <v>25</v>
      </c>
      <c r="AH10" s="411">
        <f t="shared" ref="AH10:AH22" si="12">AF10/30*AG10</f>
        <v>0</v>
      </c>
      <c r="AI10" s="413">
        <f t="shared" ref="AI10:AI22" si="13">(AI9*AH10)+AI9</f>
        <v>100</v>
      </c>
    </row>
    <row r="11" spans="1:35" x14ac:dyDescent="0.3">
      <c r="B11" s="408">
        <v>2023</v>
      </c>
      <c r="C11" s="410" t="s">
        <v>482</v>
      </c>
      <c r="D11" s="411"/>
      <c r="E11" s="412"/>
      <c r="F11" s="411">
        <f t="shared" si="0"/>
        <v>0</v>
      </c>
      <c r="G11" s="413">
        <f t="shared" si="1"/>
        <v>100</v>
      </c>
      <c r="I11" s="408">
        <f t="shared" si="2"/>
        <v>2024</v>
      </c>
      <c r="J11" s="410" t="str">
        <f>$C$11</f>
        <v>SET</v>
      </c>
      <c r="K11" s="411"/>
      <c r="L11" s="412"/>
      <c r="M11" s="411">
        <f t="shared" si="3"/>
        <v>0</v>
      </c>
      <c r="N11" s="413">
        <f t="shared" si="4"/>
        <v>100</v>
      </c>
      <c r="P11" s="408">
        <f t="shared" si="5"/>
        <v>2025</v>
      </c>
      <c r="Q11" s="410" t="str">
        <f>$C$11</f>
        <v>SET</v>
      </c>
      <c r="R11" s="411"/>
      <c r="S11" s="412"/>
      <c r="T11" s="411">
        <f t="shared" si="6"/>
        <v>0</v>
      </c>
      <c r="U11" s="413">
        <f t="shared" si="7"/>
        <v>100</v>
      </c>
      <c r="W11" s="408">
        <f t="shared" si="8"/>
        <v>2026</v>
      </c>
      <c r="X11" s="410" t="str">
        <f>$C$11</f>
        <v>SET</v>
      </c>
      <c r="Y11" s="411"/>
      <c r="Z11" s="412"/>
      <c r="AA11" s="411">
        <f t="shared" si="9"/>
        <v>0</v>
      </c>
      <c r="AB11" s="413">
        <f t="shared" si="10"/>
        <v>100</v>
      </c>
      <c r="AD11" s="408">
        <f t="shared" si="11"/>
        <v>2027</v>
      </c>
      <c r="AE11" s="410" t="str">
        <f>$C$11</f>
        <v>SET</v>
      </c>
      <c r="AF11" s="411"/>
      <c r="AG11" s="412"/>
      <c r="AH11" s="411">
        <f t="shared" si="12"/>
        <v>0</v>
      </c>
      <c r="AI11" s="413">
        <f t="shared" si="13"/>
        <v>100</v>
      </c>
    </row>
    <row r="12" spans="1:35" x14ac:dyDescent="0.3">
      <c r="B12" s="408">
        <v>2023</v>
      </c>
      <c r="C12" s="410" t="s">
        <v>483</v>
      </c>
      <c r="D12" s="411"/>
      <c r="E12" s="412"/>
      <c r="F12" s="411">
        <f t="shared" si="0"/>
        <v>0</v>
      </c>
      <c r="G12" s="413">
        <f t="shared" si="1"/>
        <v>100</v>
      </c>
      <c r="I12" s="408">
        <f t="shared" si="2"/>
        <v>2024</v>
      </c>
      <c r="J12" s="410" t="str">
        <f>$C$12</f>
        <v>OUT</v>
      </c>
      <c r="K12" s="411"/>
      <c r="L12" s="412"/>
      <c r="M12" s="411">
        <f t="shared" si="3"/>
        <v>0</v>
      </c>
      <c r="N12" s="413">
        <f t="shared" si="4"/>
        <v>100</v>
      </c>
      <c r="P12" s="408">
        <f t="shared" si="5"/>
        <v>2025</v>
      </c>
      <c r="Q12" s="410" t="str">
        <f>$C$12</f>
        <v>OUT</v>
      </c>
      <c r="R12" s="411"/>
      <c r="S12" s="412"/>
      <c r="T12" s="411">
        <f t="shared" si="6"/>
        <v>0</v>
      </c>
      <c r="U12" s="413">
        <f t="shared" si="7"/>
        <v>100</v>
      </c>
      <c r="W12" s="408">
        <f t="shared" si="8"/>
        <v>2026</v>
      </c>
      <c r="X12" s="410" t="str">
        <f>$C$12</f>
        <v>OUT</v>
      </c>
      <c r="Y12" s="411"/>
      <c r="Z12" s="412"/>
      <c r="AA12" s="411">
        <f t="shared" si="9"/>
        <v>0</v>
      </c>
      <c r="AB12" s="413">
        <f t="shared" si="10"/>
        <v>100</v>
      </c>
      <c r="AD12" s="408">
        <f t="shared" si="11"/>
        <v>2027</v>
      </c>
      <c r="AE12" s="410" t="str">
        <f>$C$12</f>
        <v>OUT</v>
      </c>
      <c r="AF12" s="411"/>
      <c r="AG12" s="412"/>
      <c r="AH12" s="411">
        <f t="shared" si="12"/>
        <v>0</v>
      </c>
      <c r="AI12" s="413">
        <f t="shared" si="13"/>
        <v>100</v>
      </c>
    </row>
    <row r="13" spans="1:35" x14ac:dyDescent="0.3">
      <c r="B13" s="408">
        <v>2023</v>
      </c>
      <c r="C13" s="410" t="s">
        <v>484</v>
      </c>
      <c r="D13" s="411"/>
      <c r="E13" s="412"/>
      <c r="F13" s="411">
        <f t="shared" si="0"/>
        <v>0</v>
      </c>
      <c r="G13" s="413">
        <f t="shared" si="1"/>
        <v>100</v>
      </c>
      <c r="I13" s="408">
        <f t="shared" si="2"/>
        <v>2024</v>
      </c>
      <c r="J13" s="410" t="str">
        <f>$C$13</f>
        <v>NOV</v>
      </c>
      <c r="K13" s="411"/>
      <c r="L13" s="412"/>
      <c r="M13" s="411">
        <f t="shared" si="3"/>
        <v>0</v>
      </c>
      <c r="N13" s="413">
        <f t="shared" si="4"/>
        <v>100</v>
      </c>
      <c r="P13" s="408">
        <f t="shared" si="5"/>
        <v>2025</v>
      </c>
      <c r="Q13" s="410" t="str">
        <f>$C$13</f>
        <v>NOV</v>
      </c>
      <c r="R13" s="411"/>
      <c r="S13" s="412"/>
      <c r="T13" s="411">
        <f t="shared" si="6"/>
        <v>0</v>
      </c>
      <c r="U13" s="413">
        <f t="shared" si="7"/>
        <v>100</v>
      </c>
      <c r="W13" s="408">
        <f t="shared" si="8"/>
        <v>2026</v>
      </c>
      <c r="X13" s="410" t="str">
        <f>$C$13</f>
        <v>NOV</v>
      </c>
      <c r="Y13" s="411"/>
      <c r="Z13" s="412"/>
      <c r="AA13" s="411">
        <f t="shared" si="9"/>
        <v>0</v>
      </c>
      <c r="AB13" s="413">
        <f t="shared" si="10"/>
        <v>100</v>
      </c>
      <c r="AD13" s="408">
        <f t="shared" si="11"/>
        <v>2027</v>
      </c>
      <c r="AE13" s="410" t="str">
        <f>$C$13</f>
        <v>NOV</v>
      </c>
      <c r="AF13" s="411"/>
      <c r="AG13" s="412"/>
      <c r="AH13" s="411">
        <f t="shared" si="12"/>
        <v>0</v>
      </c>
      <c r="AI13" s="413">
        <f t="shared" si="13"/>
        <v>100</v>
      </c>
    </row>
    <row r="14" spans="1:35" x14ac:dyDescent="0.3">
      <c r="B14" s="408">
        <v>2023</v>
      </c>
      <c r="C14" s="410" t="s">
        <v>485</v>
      </c>
      <c r="D14" s="411"/>
      <c r="E14" s="412"/>
      <c r="F14" s="411">
        <f t="shared" si="0"/>
        <v>0</v>
      </c>
      <c r="G14" s="413">
        <f t="shared" si="1"/>
        <v>100</v>
      </c>
      <c r="I14" s="408">
        <f t="shared" si="2"/>
        <v>2024</v>
      </c>
      <c r="J14" s="410" t="str">
        <f>$C$14</f>
        <v>DEZ</v>
      </c>
      <c r="K14" s="411"/>
      <c r="L14" s="412"/>
      <c r="M14" s="411">
        <f t="shared" si="3"/>
        <v>0</v>
      </c>
      <c r="N14" s="413">
        <f t="shared" si="4"/>
        <v>100</v>
      </c>
      <c r="P14" s="408">
        <f t="shared" si="5"/>
        <v>2025</v>
      </c>
      <c r="Q14" s="410" t="str">
        <f>$C$14</f>
        <v>DEZ</v>
      </c>
      <c r="R14" s="411"/>
      <c r="S14" s="412"/>
      <c r="T14" s="411">
        <f t="shared" si="6"/>
        <v>0</v>
      </c>
      <c r="U14" s="413">
        <f t="shared" si="7"/>
        <v>100</v>
      </c>
      <c r="W14" s="408">
        <f t="shared" si="8"/>
        <v>2026</v>
      </c>
      <c r="X14" s="410" t="str">
        <f>$C$14</f>
        <v>DEZ</v>
      </c>
      <c r="Y14" s="411"/>
      <c r="Z14" s="412"/>
      <c r="AA14" s="411">
        <f t="shared" si="9"/>
        <v>0</v>
      </c>
      <c r="AB14" s="413">
        <f t="shared" si="10"/>
        <v>100</v>
      </c>
      <c r="AD14" s="408">
        <f t="shared" si="11"/>
        <v>2027</v>
      </c>
      <c r="AE14" s="410" t="str">
        <f>$C$14</f>
        <v>DEZ</v>
      </c>
      <c r="AF14" s="411"/>
      <c r="AG14" s="412"/>
      <c r="AH14" s="411">
        <f t="shared" si="12"/>
        <v>0</v>
      </c>
      <c r="AI14" s="413">
        <f t="shared" si="13"/>
        <v>100</v>
      </c>
    </row>
    <row r="15" spans="1:35" x14ac:dyDescent="0.3">
      <c r="B15" s="408">
        <v>2023</v>
      </c>
      <c r="C15" s="410" t="s">
        <v>485</v>
      </c>
      <c r="D15" s="411"/>
      <c r="E15" s="412"/>
      <c r="F15" s="411">
        <f t="shared" si="0"/>
        <v>0</v>
      </c>
      <c r="G15" s="413">
        <f t="shared" si="1"/>
        <v>100</v>
      </c>
      <c r="I15" s="408">
        <f t="shared" si="2"/>
        <v>2024</v>
      </c>
      <c r="J15" s="410" t="str">
        <f>$C$15</f>
        <v>DEZ</v>
      </c>
      <c r="K15" s="411"/>
      <c r="L15" s="412"/>
      <c r="M15" s="411">
        <f t="shared" si="3"/>
        <v>0</v>
      </c>
      <c r="N15" s="413">
        <f t="shared" si="4"/>
        <v>100</v>
      </c>
      <c r="P15" s="408">
        <f t="shared" si="5"/>
        <v>2025</v>
      </c>
      <c r="Q15" s="410" t="str">
        <f>$C$15</f>
        <v>DEZ</v>
      </c>
      <c r="R15" s="411"/>
      <c r="S15" s="412"/>
      <c r="T15" s="411">
        <f t="shared" si="6"/>
        <v>0</v>
      </c>
      <c r="U15" s="413">
        <f t="shared" si="7"/>
        <v>100</v>
      </c>
      <c r="W15" s="408">
        <f t="shared" si="8"/>
        <v>2026</v>
      </c>
      <c r="X15" s="410" t="str">
        <f>$C$15</f>
        <v>DEZ</v>
      </c>
      <c r="Y15" s="411"/>
      <c r="Z15" s="412"/>
      <c r="AA15" s="411">
        <f t="shared" si="9"/>
        <v>0</v>
      </c>
      <c r="AB15" s="413">
        <f t="shared" si="10"/>
        <v>100</v>
      </c>
      <c r="AD15" s="408">
        <f t="shared" si="11"/>
        <v>2027</v>
      </c>
      <c r="AE15" s="410" t="str">
        <f>$C$15</f>
        <v>DEZ</v>
      </c>
      <c r="AF15" s="411"/>
      <c r="AG15" s="412"/>
      <c r="AH15" s="411">
        <f t="shared" si="12"/>
        <v>0</v>
      </c>
      <c r="AI15" s="413">
        <f t="shared" si="13"/>
        <v>100</v>
      </c>
    </row>
    <row r="16" spans="1:35" x14ac:dyDescent="0.3">
      <c r="B16" s="408">
        <v>2024</v>
      </c>
      <c r="C16" s="414" t="s">
        <v>486</v>
      </c>
      <c r="D16" s="415"/>
      <c r="E16" s="416"/>
      <c r="F16" s="411">
        <f t="shared" si="0"/>
        <v>0</v>
      </c>
      <c r="G16" s="413">
        <f t="shared" si="1"/>
        <v>100</v>
      </c>
      <c r="I16" s="408">
        <f t="shared" si="2"/>
        <v>2025</v>
      </c>
      <c r="J16" s="410" t="str">
        <f>$C$16</f>
        <v>JAN</v>
      </c>
      <c r="K16" s="415"/>
      <c r="L16" s="412"/>
      <c r="M16" s="411">
        <f t="shared" si="3"/>
        <v>0</v>
      </c>
      <c r="N16" s="413">
        <f t="shared" si="4"/>
        <v>100</v>
      </c>
      <c r="P16" s="408">
        <f t="shared" si="5"/>
        <v>2026</v>
      </c>
      <c r="Q16" s="410" t="str">
        <f>$C$16</f>
        <v>JAN</v>
      </c>
      <c r="R16" s="415"/>
      <c r="S16" s="412"/>
      <c r="T16" s="411">
        <f t="shared" si="6"/>
        <v>0</v>
      </c>
      <c r="U16" s="413">
        <f t="shared" si="7"/>
        <v>100</v>
      </c>
      <c r="W16" s="408">
        <f t="shared" si="8"/>
        <v>2027</v>
      </c>
      <c r="X16" s="410" t="str">
        <f>$C$16</f>
        <v>JAN</v>
      </c>
      <c r="Y16" s="415"/>
      <c r="Z16" s="412"/>
      <c r="AA16" s="411">
        <f t="shared" si="9"/>
        <v>0</v>
      </c>
      <c r="AB16" s="413">
        <f t="shared" si="10"/>
        <v>100</v>
      </c>
      <c r="AD16" s="408">
        <f t="shared" si="11"/>
        <v>2028</v>
      </c>
      <c r="AE16" s="410" t="str">
        <f>$C$16</f>
        <v>JAN</v>
      </c>
      <c r="AF16" s="415"/>
      <c r="AG16" s="412"/>
      <c r="AH16" s="411">
        <f t="shared" si="12"/>
        <v>0</v>
      </c>
      <c r="AI16" s="413">
        <f t="shared" si="13"/>
        <v>100</v>
      </c>
    </row>
    <row r="17" spans="2:35" x14ac:dyDescent="0.3">
      <c r="B17" s="408">
        <v>2024</v>
      </c>
      <c r="C17" s="410" t="s">
        <v>487</v>
      </c>
      <c r="D17" s="411"/>
      <c r="E17" s="412"/>
      <c r="F17" s="411">
        <f t="shared" si="0"/>
        <v>0</v>
      </c>
      <c r="G17" s="413">
        <f t="shared" si="1"/>
        <v>100</v>
      </c>
      <c r="I17" s="408">
        <f t="shared" si="2"/>
        <v>2025</v>
      </c>
      <c r="J17" s="410" t="str">
        <f>$C$17</f>
        <v>FEV</v>
      </c>
      <c r="K17" s="411"/>
      <c r="L17" s="412"/>
      <c r="M17" s="411">
        <f t="shared" si="3"/>
        <v>0</v>
      </c>
      <c r="N17" s="413">
        <f t="shared" si="4"/>
        <v>100</v>
      </c>
      <c r="P17" s="408">
        <f t="shared" si="5"/>
        <v>2026</v>
      </c>
      <c r="Q17" s="410" t="str">
        <f>$C$17</f>
        <v>FEV</v>
      </c>
      <c r="R17" s="411"/>
      <c r="S17" s="412"/>
      <c r="T17" s="411">
        <f t="shared" si="6"/>
        <v>0</v>
      </c>
      <c r="U17" s="413">
        <f t="shared" si="7"/>
        <v>100</v>
      </c>
      <c r="W17" s="408">
        <f t="shared" si="8"/>
        <v>2027</v>
      </c>
      <c r="X17" s="410" t="str">
        <f>$C$17</f>
        <v>FEV</v>
      </c>
      <c r="Y17" s="411"/>
      <c r="Z17" s="412"/>
      <c r="AA17" s="411">
        <f t="shared" si="9"/>
        <v>0</v>
      </c>
      <c r="AB17" s="413">
        <f t="shared" si="10"/>
        <v>100</v>
      </c>
      <c r="AD17" s="408">
        <f t="shared" si="11"/>
        <v>2028</v>
      </c>
      <c r="AE17" s="410" t="str">
        <f>$C$17</f>
        <v>FEV</v>
      </c>
      <c r="AF17" s="411"/>
      <c r="AG17" s="412"/>
      <c r="AH17" s="411">
        <f t="shared" si="12"/>
        <v>0</v>
      </c>
      <c r="AI17" s="413">
        <f t="shared" si="13"/>
        <v>100</v>
      </c>
    </row>
    <row r="18" spans="2:35" x14ac:dyDescent="0.3">
      <c r="B18" s="408">
        <v>2024</v>
      </c>
      <c r="C18" s="414" t="s">
        <v>488</v>
      </c>
      <c r="D18" s="411"/>
      <c r="E18" s="412"/>
      <c r="F18" s="411">
        <f t="shared" si="0"/>
        <v>0</v>
      </c>
      <c r="G18" s="413">
        <f t="shared" si="1"/>
        <v>100</v>
      </c>
      <c r="I18" s="408">
        <f t="shared" si="2"/>
        <v>2025</v>
      </c>
      <c r="J18" s="410" t="str">
        <f>$C$18</f>
        <v>MAR</v>
      </c>
      <c r="K18" s="411"/>
      <c r="L18" s="412"/>
      <c r="M18" s="411">
        <f t="shared" si="3"/>
        <v>0</v>
      </c>
      <c r="N18" s="413">
        <f t="shared" si="4"/>
        <v>100</v>
      </c>
      <c r="P18" s="408">
        <f t="shared" si="5"/>
        <v>2026</v>
      </c>
      <c r="Q18" s="410" t="str">
        <f>$C$18</f>
        <v>MAR</v>
      </c>
      <c r="R18" s="411"/>
      <c r="S18" s="412"/>
      <c r="T18" s="411">
        <f t="shared" si="6"/>
        <v>0</v>
      </c>
      <c r="U18" s="413">
        <f t="shared" si="7"/>
        <v>100</v>
      </c>
      <c r="W18" s="408">
        <f t="shared" si="8"/>
        <v>2027</v>
      </c>
      <c r="X18" s="410" t="str">
        <f>$C$18</f>
        <v>MAR</v>
      </c>
      <c r="Y18" s="411"/>
      <c r="Z18" s="412"/>
      <c r="AA18" s="411">
        <f t="shared" si="9"/>
        <v>0</v>
      </c>
      <c r="AB18" s="413">
        <f t="shared" si="10"/>
        <v>100</v>
      </c>
      <c r="AD18" s="408">
        <f t="shared" si="11"/>
        <v>2028</v>
      </c>
      <c r="AE18" s="410" t="str">
        <f>$C$18</f>
        <v>MAR</v>
      </c>
      <c r="AF18" s="411"/>
      <c r="AG18" s="412"/>
      <c r="AH18" s="411">
        <f t="shared" si="12"/>
        <v>0</v>
      </c>
      <c r="AI18" s="413">
        <f t="shared" si="13"/>
        <v>100</v>
      </c>
    </row>
    <row r="19" spans="2:35" x14ac:dyDescent="0.3">
      <c r="B19" s="408">
        <v>2024</v>
      </c>
      <c r="C19" s="410" t="s">
        <v>489</v>
      </c>
      <c r="D19" s="411"/>
      <c r="E19" s="412"/>
      <c r="F19" s="411">
        <f t="shared" si="0"/>
        <v>0</v>
      </c>
      <c r="G19" s="413">
        <f t="shared" si="1"/>
        <v>100</v>
      </c>
      <c r="I19" s="408">
        <f t="shared" si="2"/>
        <v>2025</v>
      </c>
      <c r="J19" s="410" t="str">
        <f>$C$19</f>
        <v>ABR</v>
      </c>
      <c r="K19" s="411"/>
      <c r="L19" s="412"/>
      <c r="M19" s="411">
        <f t="shared" si="3"/>
        <v>0</v>
      </c>
      <c r="N19" s="413">
        <f t="shared" si="4"/>
        <v>100</v>
      </c>
      <c r="P19" s="408">
        <f t="shared" si="5"/>
        <v>2026</v>
      </c>
      <c r="Q19" s="410" t="str">
        <f>$C$19</f>
        <v>ABR</v>
      </c>
      <c r="R19" s="411"/>
      <c r="S19" s="412"/>
      <c r="T19" s="411">
        <f t="shared" si="6"/>
        <v>0</v>
      </c>
      <c r="U19" s="413">
        <f t="shared" si="7"/>
        <v>100</v>
      </c>
      <c r="W19" s="408">
        <f t="shared" si="8"/>
        <v>2027</v>
      </c>
      <c r="X19" s="410" t="str">
        <f>$C$19</f>
        <v>ABR</v>
      </c>
      <c r="Y19" s="411"/>
      <c r="Z19" s="412"/>
      <c r="AA19" s="411">
        <f t="shared" si="9"/>
        <v>0</v>
      </c>
      <c r="AB19" s="413">
        <f t="shared" si="10"/>
        <v>100</v>
      </c>
      <c r="AD19" s="408">
        <f t="shared" si="11"/>
        <v>2028</v>
      </c>
      <c r="AE19" s="410" t="str">
        <f>$C$19</f>
        <v>ABR</v>
      </c>
      <c r="AF19" s="411"/>
      <c r="AG19" s="412"/>
      <c r="AH19" s="411">
        <f t="shared" si="12"/>
        <v>0</v>
      </c>
      <c r="AI19" s="413">
        <f t="shared" si="13"/>
        <v>100</v>
      </c>
    </row>
    <row r="20" spans="2:35" x14ac:dyDescent="0.3">
      <c r="B20" s="408">
        <v>2024</v>
      </c>
      <c r="C20" s="414" t="s">
        <v>490</v>
      </c>
      <c r="D20" s="411"/>
      <c r="E20" s="412"/>
      <c r="F20" s="411">
        <f t="shared" si="0"/>
        <v>0</v>
      </c>
      <c r="G20" s="413">
        <f t="shared" si="1"/>
        <v>100</v>
      </c>
      <c r="I20" s="408">
        <f t="shared" si="2"/>
        <v>2025</v>
      </c>
      <c r="J20" s="410" t="str">
        <f>$C$20</f>
        <v>MAI</v>
      </c>
      <c r="K20" s="411"/>
      <c r="L20" s="412"/>
      <c r="M20" s="411">
        <f t="shared" si="3"/>
        <v>0</v>
      </c>
      <c r="N20" s="413">
        <f t="shared" si="4"/>
        <v>100</v>
      </c>
      <c r="P20" s="408">
        <f t="shared" si="5"/>
        <v>2026</v>
      </c>
      <c r="Q20" s="410" t="str">
        <f>$C$20</f>
        <v>MAI</v>
      </c>
      <c r="R20" s="411"/>
      <c r="S20" s="412"/>
      <c r="T20" s="411">
        <f t="shared" si="6"/>
        <v>0</v>
      </c>
      <c r="U20" s="413">
        <f t="shared" si="7"/>
        <v>100</v>
      </c>
      <c r="W20" s="408">
        <f t="shared" si="8"/>
        <v>2027</v>
      </c>
      <c r="X20" s="410" t="str">
        <f>$C$20</f>
        <v>MAI</v>
      </c>
      <c r="Y20" s="411"/>
      <c r="Z20" s="412"/>
      <c r="AA20" s="411">
        <f t="shared" si="9"/>
        <v>0</v>
      </c>
      <c r="AB20" s="413">
        <f t="shared" si="10"/>
        <v>100</v>
      </c>
      <c r="AD20" s="408">
        <f t="shared" si="11"/>
        <v>2028</v>
      </c>
      <c r="AE20" s="410" t="str">
        <f>$C$20</f>
        <v>MAI</v>
      </c>
      <c r="AF20" s="411"/>
      <c r="AG20" s="412"/>
      <c r="AH20" s="411">
        <f t="shared" si="12"/>
        <v>0</v>
      </c>
      <c r="AI20" s="413">
        <f t="shared" si="13"/>
        <v>100</v>
      </c>
    </row>
    <row r="21" spans="2:35" x14ac:dyDescent="0.3">
      <c r="B21" s="408">
        <v>2024</v>
      </c>
      <c r="C21" s="410" t="s">
        <v>491</v>
      </c>
      <c r="D21" s="411"/>
      <c r="E21" s="412"/>
      <c r="F21" s="411">
        <f t="shared" si="0"/>
        <v>0</v>
      </c>
      <c r="G21" s="413">
        <f t="shared" si="1"/>
        <v>100</v>
      </c>
      <c r="I21" s="408">
        <f t="shared" si="2"/>
        <v>2025</v>
      </c>
      <c r="J21" s="410" t="str">
        <f>$C$21</f>
        <v>JUN</v>
      </c>
      <c r="K21" s="411"/>
      <c r="L21" s="412"/>
      <c r="M21" s="411">
        <f t="shared" si="3"/>
        <v>0</v>
      </c>
      <c r="N21" s="413">
        <f t="shared" si="4"/>
        <v>100</v>
      </c>
      <c r="P21" s="408">
        <f t="shared" si="5"/>
        <v>2026</v>
      </c>
      <c r="Q21" s="410" t="str">
        <f>$C$21</f>
        <v>JUN</v>
      </c>
      <c r="R21" s="411"/>
      <c r="S21" s="412"/>
      <c r="T21" s="411">
        <f t="shared" si="6"/>
        <v>0</v>
      </c>
      <c r="U21" s="413">
        <f t="shared" si="7"/>
        <v>100</v>
      </c>
      <c r="W21" s="408">
        <f t="shared" si="8"/>
        <v>2027</v>
      </c>
      <c r="X21" s="410" t="str">
        <f>$C$21</f>
        <v>JUN</v>
      </c>
      <c r="Y21" s="411"/>
      <c r="Z21" s="412"/>
      <c r="AA21" s="411">
        <f t="shared" si="9"/>
        <v>0</v>
      </c>
      <c r="AB21" s="413">
        <f t="shared" si="10"/>
        <v>100</v>
      </c>
      <c r="AD21" s="408">
        <f t="shared" si="11"/>
        <v>2028</v>
      </c>
      <c r="AE21" s="410" t="str">
        <f>$C$21</f>
        <v>JUN</v>
      </c>
      <c r="AF21" s="411"/>
      <c r="AG21" s="412"/>
      <c r="AH21" s="411">
        <f t="shared" si="12"/>
        <v>0</v>
      </c>
      <c r="AI21" s="413">
        <f t="shared" si="13"/>
        <v>100</v>
      </c>
    </row>
    <row r="22" spans="2:35" x14ac:dyDescent="0.3">
      <c r="B22" s="408">
        <v>2024</v>
      </c>
      <c r="C22" s="414" t="s">
        <v>492</v>
      </c>
      <c r="D22" s="411"/>
      <c r="E22" s="412">
        <v>5</v>
      </c>
      <c r="F22" s="411">
        <f t="shared" si="0"/>
        <v>0</v>
      </c>
      <c r="G22" s="413">
        <f t="shared" si="1"/>
        <v>100</v>
      </c>
      <c r="I22" s="408">
        <f t="shared" si="2"/>
        <v>2025</v>
      </c>
      <c r="J22" s="410" t="str">
        <f>$C$22</f>
        <v>JUL</v>
      </c>
      <c r="K22" s="411"/>
      <c r="L22" s="412">
        <f>$E$22</f>
        <v>5</v>
      </c>
      <c r="M22" s="411">
        <f t="shared" si="3"/>
        <v>0</v>
      </c>
      <c r="N22" s="413">
        <f t="shared" si="4"/>
        <v>100</v>
      </c>
      <c r="P22" s="408">
        <f t="shared" si="5"/>
        <v>2026</v>
      </c>
      <c r="Q22" s="410" t="str">
        <f>$C$22</f>
        <v>JUL</v>
      </c>
      <c r="R22" s="411"/>
      <c r="S22" s="412">
        <f>$E$22</f>
        <v>5</v>
      </c>
      <c r="T22" s="411">
        <f t="shared" si="6"/>
        <v>0</v>
      </c>
      <c r="U22" s="413">
        <f t="shared" si="7"/>
        <v>100</v>
      </c>
      <c r="W22" s="408">
        <f t="shared" si="8"/>
        <v>2027</v>
      </c>
      <c r="X22" s="410" t="str">
        <f>$C$22</f>
        <v>JUL</v>
      </c>
      <c r="Y22" s="411"/>
      <c r="Z22" s="412">
        <f>$E$22</f>
        <v>5</v>
      </c>
      <c r="AA22" s="411">
        <f t="shared" si="9"/>
        <v>0</v>
      </c>
      <c r="AB22" s="413">
        <f t="shared" si="10"/>
        <v>100</v>
      </c>
      <c r="AD22" s="408">
        <f t="shared" si="11"/>
        <v>2028</v>
      </c>
      <c r="AE22" s="410" t="str">
        <f>$C$22</f>
        <v>JUL</v>
      </c>
      <c r="AF22" s="411"/>
      <c r="AG22" s="412">
        <f>$E$22</f>
        <v>5</v>
      </c>
      <c r="AH22" s="411">
        <f t="shared" si="12"/>
        <v>0</v>
      </c>
      <c r="AI22" s="413">
        <f t="shared" si="13"/>
        <v>100</v>
      </c>
    </row>
    <row r="23" spans="2:35" x14ac:dyDescent="0.3">
      <c r="B23" s="740" t="s">
        <v>493</v>
      </c>
      <c r="C23" s="740"/>
      <c r="D23" s="740"/>
      <c r="E23" s="740"/>
      <c r="F23" s="740"/>
      <c r="G23" s="417">
        <f>ROUND(((G22-G9)/G9),4)</f>
        <v>0</v>
      </c>
      <c r="I23" s="740" t="s">
        <v>493</v>
      </c>
      <c r="J23" s="740"/>
      <c r="K23" s="740"/>
      <c r="L23" s="740"/>
      <c r="M23" s="740"/>
      <c r="N23" s="417">
        <f>ROUND(((N22-N9)/N9),4)</f>
        <v>0</v>
      </c>
      <c r="P23" s="740" t="s">
        <v>493</v>
      </c>
      <c r="Q23" s="740"/>
      <c r="R23" s="740"/>
      <c r="S23" s="740"/>
      <c r="T23" s="740"/>
      <c r="U23" s="417">
        <f>ROUND(((U22-U9)/U9),4)</f>
        <v>0</v>
      </c>
      <c r="W23" s="740" t="s">
        <v>493</v>
      </c>
      <c r="X23" s="740"/>
      <c r="Y23" s="740"/>
      <c r="Z23" s="740"/>
      <c r="AA23" s="740"/>
      <c r="AB23" s="417">
        <f>ROUND(((AB22-AB9)/AB9),4)</f>
        <v>0</v>
      </c>
      <c r="AD23" s="740" t="s">
        <v>493</v>
      </c>
      <c r="AE23" s="740"/>
      <c r="AF23" s="740"/>
      <c r="AG23" s="740"/>
      <c r="AH23" s="740"/>
      <c r="AI23" s="417">
        <f>ROUND(((AI22-AI9)/AI9),4)</f>
        <v>0</v>
      </c>
    </row>
  </sheetData>
  <sheetProtection sheet="1" objects="1" scenarios="1"/>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ageMargins left="0.51180555555555596" right="0.51180555555555596" top="0.78749999999999998" bottom="0.78749999999999998" header="0.511811023622047" footer="0.511811023622047"/>
  <pageSetup paperSize="9" scale="5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AMK84"/>
  <sheetViews>
    <sheetView showGridLines="0" tabSelected="1" view="pageBreakPreview" topLeftCell="A40" zoomScale="75" zoomScaleNormal="100" zoomScaleSheetLayoutView="75" zoomScalePageLayoutView="140" workbookViewId="0"/>
  </sheetViews>
  <sheetFormatPr defaultColWidth="8.6640625" defaultRowHeight="14.4" x14ac:dyDescent="0.3"/>
  <cols>
    <col min="1" max="1" width="6.33203125" style="63" customWidth="1"/>
    <col min="2" max="2" width="8.6640625" style="93"/>
    <col min="3" max="3" width="4" style="68" customWidth="1"/>
    <col min="4" max="23" width="9.109375" style="68" customWidth="1"/>
    <col min="24" max="24" width="10.6640625" style="68" customWidth="1"/>
    <col min="25" max="256" width="9.109375" style="68" customWidth="1"/>
    <col min="257" max="257" width="4.5546875" style="68" customWidth="1"/>
    <col min="258" max="258" width="11.109375" style="68" customWidth="1"/>
    <col min="259" max="259" width="4" style="68" customWidth="1"/>
    <col min="260" max="512" width="9.109375" style="68" customWidth="1"/>
    <col min="513" max="513" width="4.5546875" style="68" customWidth="1"/>
    <col min="514" max="514" width="11.109375" style="68" customWidth="1"/>
    <col min="515" max="515" width="4" style="68" customWidth="1"/>
    <col min="516" max="768" width="9.109375" style="68" customWidth="1"/>
    <col min="769" max="769" width="4.5546875" style="68" customWidth="1"/>
    <col min="770" max="770" width="11.109375" style="68" customWidth="1"/>
    <col min="771" max="771" width="4" style="68" customWidth="1"/>
    <col min="772" max="1025" width="9.109375" style="68" customWidth="1"/>
  </cols>
  <sheetData>
    <row r="1" spans="1:24" x14ac:dyDescent="0.3">
      <c r="A1" s="94"/>
      <c r="B1" s="95" t="s">
        <v>93</v>
      </c>
    </row>
    <row r="2" spans="1:24" x14ac:dyDescent="0.3">
      <c r="A2" s="96"/>
      <c r="B2" s="97" t="s">
        <v>94</v>
      </c>
    </row>
    <row r="3" spans="1:24" x14ac:dyDescent="0.3">
      <c r="A3" s="96"/>
      <c r="B3" s="68" t="s">
        <v>519</v>
      </c>
    </row>
    <row r="4" spans="1:24" s="17" customFormat="1" ht="15.6" x14ac:dyDescent="0.3">
      <c r="A4" s="593" t="s">
        <v>511</v>
      </c>
      <c r="B4" s="593"/>
      <c r="C4" s="593"/>
      <c r="D4" s="593"/>
      <c r="E4" s="593"/>
      <c r="F4" s="593"/>
      <c r="G4" s="593"/>
      <c r="H4" s="593"/>
      <c r="I4" s="593"/>
      <c r="J4" s="593"/>
      <c r="K4" s="593"/>
      <c r="L4" s="593"/>
      <c r="M4" s="593"/>
      <c r="N4" s="593"/>
      <c r="O4" s="593"/>
      <c r="P4" s="593"/>
      <c r="Q4" s="593"/>
      <c r="R4" s="593"/>
      <c r="S4" s="593"/>
      <c r="T4" s="593"/>
      <c r="U4" s="593"/>
      <c r="V4" s="593"/>
      <c r="W4" s="593"/>
      <c r="X4" s="593"/>
    </row>
    <row r="5" spans="1:24" ht="12" customHeight="1" x14ac:dyDescent="0.3"/>
    <row r="6" spans="1:24" x14ac:dyDescent="0.3">
      <c r="A6" s="98" t="s">
        <v>96</v>
      </c>
      <c r="B6" s="99" t="s">
        <v>97</v>
      </c>
    </row>
    <row r="7" spans="1:24" ht="7.5" customHeight="1" x14ac:dyDescent="0.3"/>
    <row r="8" spans="1:24" x14ac:dyDescent="0.3">
      <c r="B8" s="100"/>
      <c r="C8" s="93" t="s">
        <v>98</v>
      </c>
    </row>
    <row r="10" spans="1:24" x14ac:dyDescent="0.3">
      <c r="A10" s="98" t="s">
        <v>99</v>
      </c>
      <c r="B10" s="93" t="s">
        <v>100</v>
      </c>
    </row>
    <row r="12" spans="1:24" x14ac:dyDescent="0.3">
      <c r="A12" s="98" t="s">
        <v>101</v>
      </c>
      <c r="B12" s="93" t="s">
        <v>102</v>
      </c>
    </row>
    <row r="13" spans="1:24" x14ac:dyDescent="0.3">
      <c r="A13" s="98"/>
      <c r="B13" s="93" t="s">
        <v>103</v>
      </c>
    </row>
    <row r="14" spans="1:24" s="102" customFormat="1" ht="17.25" customHeight="1" x14ac:dyDescent="0.3">
      <c r="A14" s="98"/>
      <c r="B14" s="101" t="s">
        <v>104</v>
      </c>
    </row>
    <row r="15" spans="1:24" ht="7.5" customHeight="1" x14ac:dyDescent="0.3"/>
    <row r="16" spans="1:24" x14ac:dyDescent="0.3">
      <c r="B16" s="103" t="s">
        <v>105</v>
      </c>
      <c r="C16" s="104" t="s">
        <v>106</v>
      </c>
      <c r="D16" s="104"/>
      <c r="E16" s="104"/>
      <c r="F16" s="104"/>
      <c r="G16" s="104"/>
    </row>
    <row r="18" spans="3:4" x14ac:dyDescent="0.3">
      <c r="C18" s="105" t="s">
        <v>107</v>
      </c>
      <c r="D18" s="105" t="s">
        <v>108</v>
      </c>
    </row>
    <row r="19" spans="3:4" x14ac:dyDescent="0.3">
      <c r="D19" s="68" t="s">
        <v>621</v>
      </c>
    </row>
    <row r="20" spans="3:4" x14ac:dyDescent="0.3">
      <c r="D20" s="68" t="s">
        <v>622</v>
      </c>
    </row>
    <row r="21" spans="3:4" x14ac:dyDescent="0.3">
      <c r="D21" s="68" t="s">
        <v>623</v>
      </c>
    </row>
    <row r="22" spans="3:4" x14ac:dyDescent="0.3">
      <c r="C22" s="105"/>
      <c r="D22" s="68" t="s">
        <v>624</v>
      </c>
    </row>
    <row r="23" spans="3:4" x14ac:dyDescent="0.3">
      <c r="D23" s="68" t="s">
        <v>625</v>
      </c>
    </row>
    <row r="24" spans="3:4" x14ac:dyDescent="0.3">
      <c r="D24" s="68" t="s">
        <v>626</v>
      </c>
    </row>
    <row r="25" spans="3:4" x14ac:dyDescent="0.3">
      <c r="D25" s="68" t="s">
        <v>627</v>
      </c>
    </row>
    <row r="26" spans="3:4" x14ac:dyDescent="0.3">
      <c r="D26" s="68" t="s">
        <v>628</v>
      </c>
    </row>
    <row r="27" spans="3:4" x14ac:dyDescent="0.3">
      <c r="D27" s="68" t="s">
        <v>629</v>
      </c>
    </row>
    <row r="28" spans="3:4" x14ac:dyDescent="0.3">
      <c r="D28" s="68" t="s">
        <v>630</v>
      </c>
    </row>
    <row r="29" spans="3:4" x14ac:dyDescent="0.3">
      <c r="D29" s="68" t="s">
        <v>631</v>
      </c>
    </row>
    <row r="30" spans="3:4" x14ac:dyDescent="0.3">
      <c r="D30" s="68" t="s">
        <v>632</v>
      </c>
    </row>
    <row r="31" spans="3:4" x14ac:dyDescent="0.3">
      <c r="D31" s="68" t="s">
        <v>109</v>
      </c>
    </row>
    <row r="32" spans="3:4" x14ac:dyDescent="0.3">
      <c r="D32" s="68" t="s">
        <v>633</v>
      </c>
    </row>
    <row r="33" spans="3:8" x14ac:dyDescent="0.3">
      <c r="D33" s="68" t="s">
        <v>634</v>
      </c>
    </row>
    <row r="34" spans="3:8" x14ac:dyDescent="0.3">
      <c r="D34" s="68" t="s">
        <v>635</v>
      </c>
    </row>
    <row r="35" spans="3:8" x14ac:dyDescent="0.3">
      <c r="D35" s="68" t="s">
        <v>110</v>
      </c>
    </row>
    <row r="36" spans="3:8" x14ac:dyDescent="0.3">
      <c r="D36" s="68" t="s">
        <v>636</v>
      </c>
    </row>
    <row r="37" spans="3:8" x14ac:dyDescent="0.3">
      <c r="D37" s="68" t="s">
        <v>637</v>
      </c>
    </row>
    <row r="38" spans="3:8" x14ac:dyDescent="0.3">
      <c r="D38" s="68" t="s">
        <v>638</v>
      </c>
    </row>
    <row r="39" spans="3:8" x14ac:dyDescent="0.3">
      <c r="D39" s="68" t="s">
        <v>639</v>
      </c>
    </row>
    <row r="40" spans="3:8" x14ac:dyDescent="0.3">
      <c r="D40" s="68" t="s">
        <v>640</v>
      </c>
    </row>
    <row r="41" spans="3:8" x14ac:dyDescent="0.3">
      <c r="D41" s="68" t="s">
        <v>641</v>
      </c>
    </row>
    <row r="42" spans="3:8" x14ac:dyDescent="0.3">
      <c r="D42" s="68" t="s">
        <v>642</v>
      </c>
    </row>
    <row r="43" spans="3:8" x14ac:dyDescent="0.3">
      <c r="D43" s="104" t="s">
        <v>111</v>
      </c>
      <c r="E43" s="104"/>
      <c r="F43" s="104"/>
      <c r="G43" s="104"/>
      <c r="H43" s="104"/>
    </row>
    <row r="45" spans="3:8" x14ac:dyDescent="0.3">
      <c r="C45" s="105" t="s">
        <v>112</v>
      </c>
      <c r="D45" s="105" t="s">
        <v>113</v>
      </c>
    </row>
    <row r="46" spans="3:8" x14ac:dyDescent="0.3">
      <c r="D46" s="68" t="s">
        <v>114</v>
      </c>
    </row>
    <row r="47" spans="3:8" x14ac:dyDescent="0.3">
      <c r="D47" s="68" t="s">
        <v>115</v>
      </c>
    </row>
    <row r="48" spans="3:8" x14ac:dyDescent="0.3">
      <c r="D48" s="104" t="s">
        <v>111</v>
      </c>
      <c r="E48" s="104"/>
      <c r="F48" s="104"/>
      <c r="G48" s="104"/>
      <c r="H48" s="104"/>
    </row>
    <row r="50" spans="3:8" x14ac:dyDescent="0.3">
      <c r="C50" s="105" t="s">
        <v>116</v>
      </c>
      <c r="D50" s="105" t="s">
        <v>117</v>
      </c>
    </row>
    <row r="51" spans="3:8" x14ac:dyDescent="0.3">
      <c r="D51" s="68" t="s">
        <v>512</v>
      </c>
    </row>
    <row r="52" spans="3:8" x14ac:dyDescent="0.3">
      <c r="D52" s="68" t="s">
        <v>118</v>
      </c>
    </row>
    <row r="53" spans="3:8" x14ac:dyDescent="0.3">
      <c r="E53" s="68" t="s">
        <v>643</v>
      </c>
    </row>
    <row r="54" spans="3:8" x14ac:dyDescent="0.3">
      <c r="E54" s="68" t="s">
        <v>644</v>
      </c>
    </row>
    <row r="55" spans="3:8" x14ac:dyDescent="0.3">
      <c r="D55" s="68" t="s">
        <v>119</v>
      </c>
    </row>
    <row r="56" spans="3:8" x14ac:dyDescent="0.3">
      <c r="D56" s="104" t="s">
        <v>111</v>
      </c>
      <c r="E56" s="104"/>
      <c r="F56" s="104"/>
      <c r="G56" s="104"/>
      <c r="H56" s="104"/>
    </row>
    <row r="58" spans="3:8" x14ac:dyDescent="0.3">
      <c r="C58" s="105" t="s">
        <v>120</v>
      </c>
      <c r="D58" s="105" t="s">
        <v>502</v>
      </c>
    </row>
    <row r="59" spans="3:8" x14ac:dyDescent="0.3">
      <c r="D59" s="68" t="s">
        <v>122</v>
      </c>
    </row>
    <row r="60" spans="3:8" x14ac:dyDescent="0.3">
      <c r="D60" s="104" t="s">
        <v>111</v>
      </c>
      <c r="E60" s="104"/>
      <c r="F60" s="104"/>
      <c r="G60" s="104"/>
      <c r="H60" s="104"/>
    </row>
    <row r="62" spans="3:8" x14ac:dyDescent="0.3">
      <c r="C62" s="105" t="s">
        <v>123</v>
      </c>
      <c r="D62" s="105" t="s">
        <v>121</v>
      </c>
    </row>
    <row r="63" spans="3:8" x14ac:dyDescent="0.3">
      <c r="D63" s="68" t="s">
        <v>122</v>
      </c>
    </row>
    <row r="64" spans="3:8" x14ac:dyDescent="0.3">
      <c r="D64" s="104" t="s">
        <v>111</v>
      </c>
      <c r="E64" s="104"/>
      <c r="F64" s="104"/>
      <c r="G64" s="104"/>
      <c r="H64" s="104"/>
    </row>
    <row r="66" spans="1:8" x14ac:dyDescent="0.3">
      <c r="C66" s="105" t="s">
        <v>501</v>
      </c>
      <c r="D66" s="105" t="s">
        <v>124</v>
      </c>
    </row>
    <row r="67" spans="1:8" x14ac:dyDescent="0.3">
      <c r="D67" s="68" t="s">
        <v>125</v>
      </c>
    </row>
    <row r="68" spans="1:8" x14ac:dyDescent="0.3">
      <c r="D68" s="68" t="s">
        <v>503</v>
      </c>
    </row>
    <row r="69" spans="1:8" x14ac:dyDescent="0.3">
      <c r="D69" s="104" t="s">
        <v>111</v>
      </c>
      <c r="E69" s="104"/>
      <c r="F69" s="104"/>
      <c r="G69" s="104"/>
      <c r="H69" s="104"/>
    </row>
    <row r="70" spans="1:8" ht="19.5" customHeight="1" x14ac:dyDescent="0.3"/>
    <row r="71" spans="1:8" ht="24.75" customHeight="1" x14ac:dyDescent="0.3"/>
    <row r="72" spans="1:8" x14ac:dyDescent="0.3">
      <c r="A72" s="98" t="s">
        <v>126</v>
      </c>
      <c r="B72" s="93" t="s">
        <v>129</v>
      </c>
    </row>
    <row r="73" spans="1:8" x14ac:dyDescent="0.3">
      <c r="A73" s="98"/>
      <c r="B73" s="93" t="s">
        <v>103</v>
      </c>
    </row>
    <row r="74" spans="1:8" s="102" customFormat="1" ht="18" customHeight="1" x14ac:dyDescent="0.3">
      <c r="A74" s="63"/>
      <c r="B74" s="98" t="s">
        <v>127</v>
      </c>
      <c r="C74" s="102" t="s">
        <v>131</v>
      </c>
    </row>
    <row r="75" spans="1:8" x14ac:dyDescent="0.3">
      <c r="B75" s="103" t="s">
        <v>645</v>
      </c>
      <c r="C75" s="106" t="s">
        <v>133</v>
      </c>
      <c r="D75" s="106"/>
      <c r="E75" s="106"/>
      <c r="F75" s="106"/>
      <c r="G75" s="106"/>
    </row>
    <row r="76" spans="1:8" ht="24.75" customHeight="1" x14ac:dyDescent="0.3"/>
    <row r="77" spans="1:8" s="102" customFormat="1" ht="15" customHeight="1" x14ac:dyDescent="0.3">
      <c r="A77" s="98" t="s">
        <v>128</v>
      </c>
      <c r="B77" s="60" t="s">
        <v>135</v>
      </c>
    </row>
    <row r="78" spans="1:8" s="102" customFormat="1" ht="15.75" customHeight="1" x14ac:dyDescent="0.3">
      <c r="A78" s="63"/>
      <c r="B78" s="98" t="s">
        <v>130</v>
      </c>
      <c r="C78" s="57" t="s">
        <v>137</v>
      </c>
    </row>
    <row r="79" spans="1:8" x14ac:dyDescent="0.3">
      <c r="B79" s="103" t="s">
        <v>132</v>
      </c>
      <c r="C79" s="107" t="s">
        <v>139</v>
      </c>
      <c r="D79" s="107"/>
      <c r="E79" s="107"/>
      <c r="F79" s="107"/>
    </row>
    <row r="80" spans="1:8" ht="24.75" customHeight="1" x14ac:dyDescent="0.3"/>
    <row r="81" spans="1:7" x14ac:dyDescent="0.3">
      <c r="A81" s="98" t="s">
        <v>134</v>
      </c>
      <c r="B81" s="93" t="s">
        <v>140</v>
      </c>
    </row>
    <row r="82" spans="1:7" s="102" customFormat="1" ht="16.5" customHeight="1" x14ac:dyDescent="0.3">
      <c r="A82" s="63"/>
      <c r="B82" s="98" t="s">
        <v>136</v>
      </c>
      <c r="C82" s="57" t="s">
        <v>141</v>
      </c>
    </row>
    <row r="83" spans="1:7" s="102" customFormat="1" ht="14.25" customHeight="1" x14ac:dyDescent="0.3">
      <c r="A83" s="63"/>
      <c r="B83" s="98" t="s">
        <v>138</v>
      </c>
      <c r="C83" s="108" t="s">
        <v>133</v>
      </c>
      <c r="D83" s="108"/>
      <c r="E83" s="108"/>
      <c r="F83" s="108"/>
      <c r="G83" s="108"/>
    </row>
    <row r="84" spans="1:7" s="102" customFormat="1" ht="23.25" customHeight="1" x14ac:dyDescent="0.3">
      <c r="A84" s="63"/>
      <c r="B84" s="98"/>
      <c r="C84" s="109"/>
      <c r="D84" s="109"/>
      <c r="E84" s="109"/>
      <c r="F84" s="109"/>
      <c r="G84" s="109"/>
    </row>
  </sheetData>
  <sheetProtection algorithmName="SHA-512" hashValue="s1lSw+Yzllzn2VQ8dkJPV+ZyQ94cTV9kH9FqQGXMVhsekMt5YXnG3EcLbcyzGwC+jHos6S/eqJ/TKkZ6ukUCnQ==" saltValue="67a0BkFn0khMGJuRLADOuA==" spinCount="100000" sheet="1" objects="1" scenarios="1"/>
  <mergeCells count="1">
    <mergeCell ref="A4:X4"/>
  </mergeCells>
  <printOptions horizontalCentered="1" verticalCentered="1"/>
  <pageMargins left="0.51180555555555596" right="0.51180555555555596" top="0.78749999999999998" bottom="0.78749999999999998" header="0.511811023622047" footer="0.511811023622047"/>
  <pageSetup paperSize="9" scale="41" fitToHeight="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K206"/>
  <sheetViews>
    <sheetView showGridLines="0" view="pageBreakPreview" topLeftCell="A39" zoomScale="50" zoomScaleNormal="50" zoomScaleSheetLayoutView="50" zoomScalePageLayoutView="140" workbookViewId="0">
      <selection activeCell="E14" sqref="E14:G14"/>
    </sheetView>
  </sheetViews>
  <sheetFormatPr defaultColWidth="8.6640625" defaultRowHeight="14.4" x14ac:dyDescent="0.3"/>
  <cols>
    <col min="1" max="1" width="9.88671875" style="1" customWidth="1"/>
    <col min="2" max="2" width="10.44140625" style="1" customWidth="1"/>
    <col min="3" max="3" width="47.5546875" style="1" customWidth="1"/>
    <col min="4" max="4" width="12" style="1" customWidth="1"/>
    <col min="5" max="5" width="15.6640625" style="1" customWidth="1"/>
    <col min="6" max="6" width="14.88671875" style="1" customWidth="1"/>
    <col min="7" max="7" width="14" style="1" customWidth="1"/>
    <col min="8" max="8" width="13.5546875" style="1" customWidth="1"/>
    <col min="9" max="9" width="13.44140625" style="1" customWidth="1"/>
    <col min="10" max="10" width="13.5546875" style="2" customWidth="1"/>
    <col min="11" max="11" width="18.33203125" style="2" customWidth="1"/>
    <col min="12" max="12" width="13.33203125" style="1" customWidth="1"/>
    <col min="13" max="13" width="15.109375" style="1" customWidth="1"/>
    <col min="14" max="14" width="9.6640625" style="1" customWidth="1"/>
    <col min="15" max="15" width="12.6640625" style="1" customWidth="1"/>
    <col min="16" max="18" width="13.5546875" style="1" customWidth="1"/>
    <col min="19" max="19" width="15" style="1" customWidth="1"/>
    <col min="20" max="255" width="9.109375" style="1" customWidth="1"/>
    <col min="256" max="256" width="9.88671875" style="1" customWidth="1"/>
    <col min="257" max="257" width="10.44140625" style="1" customWidth="1"/>
    <col min="258" max="258" width="39.33203125" style="1" customWidth="1"/>
    <col min="259" max="259" width="15" style="1" customWidth="1"/>
    <col min="260" max="260" width="11" style="1" customWidth="1"/>
    <col min="261" max="261" width="11.109375" style="1" customWidth="1"/>
    <col min="262" max="262" width="12.88671875" style="1" customWidth="1"/>
    <col min="263" max="263" width="13.109375" style="1" customWidth="1"/>
    <col min="264" max="267" width="14.109375" style="1" customWidth="1"/>
    <col min="268" max="268" width="14.44140625" style="1" customWidth="1"/>
    <col min="269" max="269" width="9.6640625" style="1" customWidth="1"/>
    <col min="270" max="270" width="12.6640625" style="1" customWidth="1"/>
    <col min="271" max="273" width="13.5546875" style="1" customWidth="1"/>
    <col min="274" max="274" width="12.109375" style="1" customWidth="1"/>
    <col min="275" max="275" width="15" style="1" customWidth="1"/>
    <col min="276" max="511" width="9.109375" style="1" customWidth="1"/>
    <col min="512" max="512" width="9.88671875" style="1" customWidth="1"/>
    <col min="513" max="513" width="10.44140625" style="1" customWidth="1"/>
    <col min="514" max="514" width="39.33203125" style="1" customWidth="1"/>
    <col min="515" max="515" width="15" style="1" customWidth="1"/>
    <col min="516" max="516" width="11" style="1" customWidth="1"/>
    <col min="517" max="517" width="11.109375" style="1" customWidth="1"/>
    <col min="518" max="518" width="12.88671875" style="1" customWidth="1"/>
    <col min="519" max="519" width="13.109375" style="1" customWidth="1"/>
    <col min="520" max="523" width="14.109375" style="1" customWidth="1"/>
    <col min="524" max="524" width="14.44140625" style="1" customWidth="1"/>
    <col min="525" max="525" width="9.6640625" style="1" customWidth="1"/>
    <col min="526" max="526" width="12.6640625" style="1" customWidth="1"/>
    <col min="527" max="529" width="13.5546875" style="1" customWidth="1"/>
    <col min="530" max="530" width="12.109375" style="1" customWidth="1"/>
    <col min="531" max="531" width="15" style="1" customWidth="1"/>
    <col min="532" max="767" width="9.109375" style="1" customWidth="1"/>
    <col min="768" max="768" width="9.88671875" style="1" customWidth="1"/>
    <col min="769" max="769" width="10.44140625" style="1" customWidth="1"/>
    <col min="770" max="770" width="39.33203125" style="1" customWidth="1"/>
    <col min="771" max="771" width="15" style="1" customWidth="1"/>
    <col min="772" max="772" width="11" style="1" customWidth="1"/>
    <col min="773" max="773" width="11.109375" style="1" customWidth="1"/>
    <col min="774" max="774" width="12.88671875" style="1" customWidth="1"/>
    <col min="775" max="775" width="13.109375" style="1" customWidth="1"/>
    <col min="776" max="779" width="14.109375" style="1" customWidth="1"/>
    <col min="780" max="780" width="14.44140625" style="1" customWidth="1"/>
    <col min="781" max="781" width="9.6640625" style="1" customWidth="1"/>
    <col min="782" max="782" width="12.6640625" style="1" customWidth="1"/>
    <col min="783" max="785" width="13.5546875" style="1" customWidth="1"/>
    <col min="786" max="786" width="12.109375" style="1" customWidth="1"/>
    <col min="787" max="787" width="15" style="1" customWidth="1"/>
    <col min="788" max="1023" width="9.109375" style="1" customWidth="1"/>
    <col min="1024" max="1025" width="9.88671875" style="1" customWidth="1"/>
  </cols>
  <sheetData>
    <row r="1" spans="1:21" x14ac:dyDescent="0.3">
      <c r="A1" s="110"/>
      <c r="B1" s="97" t="str">
        <f>INSTRUÇÕES!B1</f>
        <v>Tribunal Regional Federal da 6ª Região</v>
      </c>
      <c r="D1" s="68"/>
      <c r="E1" s="68"/>
      <c r="F1" s="68"/>
      <c r="G1" s="68"/>
      <c r="H1" s="68"/>
      <c r="I1" s="68"/>
      <c r="J1" s="111"/>
      <c r="K1" s="111"/>
      <c r="L1" s="68"/>
      <c r="M1" s="68"/>
      <c r="N1" s="68"/>
    </row>
    <row r="2" spans="1:21" x14ac:dyDescent="0.3">
      <c r="A2" s="110"/>
      <c r="B2" s="97" t="str">
        <f>INSTRUÇÕES!B2</f>
        <v>Seção Judiciária de Minas Gerais</v>
      </c>
      <c r="D2" s="68"/>
      <c r="E2" s="68"/>
      <c r="F2" s="68"/>
      <c r="G2" s="68"/>
      <c r="H2" s="68"/>
      <c r="I2" s="68"/>
      <c r="J2" s="111"/>
      <c r="K2" s="111"/>
      <c r="L2" s="68"/>
      <c r="M2" s="68"/>
      <c r="N2" s="68"/>
    </row>
    <row r="3" spans="1:21" ht="18" x14ac:dyDescent="0.3">
      <c r="A3" s="110"/>
      <c r="B3" s="97" t="str">
        <f>INSTRUÇÕES!B3</f>
        <v>Subseção Judiciária de Passos</v>
      </c>
      <c r="D3" s="68"/>
      <c r="E3" s="112" t="s">
        <v>510</v>
      </c>
      <c r="F3" s="68"/>
      <c r="G3" s="68"/>
      <c r="H3" s="68"/>
      <c r="I3" s="68"/>
      <c r="J3" s="111"/>
      <c r="K3" s="111"/>
      <c r="L3" s="68"/>
      <c r="M3" s="68"/>
      <c r="N3" s="68"/>
      <c r="R3" s="68"/>
    </row>
    <row r="4" spans="1:21" s="17" customFormat="1" ht="24.75" customHeight="1" x14ac:dyDescent="0.3">
      <c r="A4" s="113" t="str">
        <f>CONCATENATE("Sindicato utilizado - ",E14,". Vigência: ",E16,". Sendo a data base da categoria ",E17,". Com número de registro no MTE ",E15,".")</f>
        <v>Sindicato utilizado - SINSERTH x SINTAPPI. Vigência: 2025/2026. Sendo a data base da categoria 01° de Abril. Com número de registro no MTE MG001973/2025.</v>
      </c>
      <c r="B4" s="113"/>
      <c r="C4" s="114"/>
      <c r="D4" s="1"/>
      <c r="E4" s="113"/>
      <c r="F4" s="115"/>
      <c r="G4" s="115"/>
      <c r="H4" s="115"/>
      <c r="I4" s="115"/>
      <c r="J4" s="115"/>
      <c r="K4" s="115"/>
      <c r="L4" s="115"/>
      <c r="M4" s="115"/>
      <c r="N4" s="115"/>
      <c r="O4" s="115"/>
      <c r="P4" s="115"/>
      <c r="Q4" s="115"/>
      <c r="R4" s="115"/>
      <c r="S4" s="115"/>
    </row>
    <row r="5" spans="1:21" s="17" customFormat="1" ht="66.75" customHeight="1" x14ac:dyDescent="0.3">
      <c r="A5" s="611" t="s">
        <v>142</v>
      </c>
      <c r="B5" s="611" t="s">
        <v>143</v>
      </c>
      <c r="C5" s="611" t="s">
        <v>25</v>
      </c>
      <c r="D5" s="611" t="s">
        <v>144</v>
      </c>
      <c r="E5" s="611" t="s">
        <v>145</v>
      </c>
      <c r="F5" s="611" t="s">
        <v>146</v>
      </c>
      <c r="G5" s="611" t="s">
        <v>147</v>
      </c>
      <c r="H5" s="611" t="s">
        <v>148</v>
      </c>
      <c r="I5" s="611" t="s">
        <v>149</v>
      </c>
      <c r="J5" s="611" t="s">
        <v>150</v>
      </c>
      <c r="K5" s="611" t="s">
        <v>151</v>
      </c>
      <c r="L5" s="611" t="s">
        <v>152</v>
      </c>
      <c r="M5" s="599" t="s">
        <v>153</v>
      </c>
      <c r="N5" s="116" t="s">
        <v>154</v>
      </c>
      <c r="O5" s="116" t="s">
        <v>155</v>
      </c>
      <c r="P5" s="116" t="s">
        <v>156</v>
      </c>
      <c r="Q5" s="116" t="s">
        <v>500</v>
      </c>
      <c r="R5" s="116" t="s">
        <v>157</v>
      </c>
      <c r="S5" s="611" t="s">
        <v>158</v>
      </c>
      <c r="U5" s="118"/>
    </row>
    <row r="6" spans="1:21" s="17" customFormat="1" ht="28.8" x14ac:dyDescent="0.3">
      <c r="A6" s="611"/>
      <c r="B6" s="611"/>
      <c r="C6" s="611"/>
      <c r="D6" s="611"/>
      <c r="E6" s="611"/>
      <c r="F6" s="611"/>
      <c r="G6" s="611"/>
      <c r="H6" s="611"/>
      <c r="I6" s="611"/>
      <c r="J6" s="611"/>
      <c r="K6" s="611"/>
      <c r="L6" s="611"/>
      <c r="M6" s="599"/>
      <c r="N6" s="119" t="s">
        <v>159</v>
      </c>
      <c r="O6" s="120">
        <f>B7+B8</f>
        <v>2</v>
      </c>
      <c r="P6" s="120">
        <f>B8</f>
        <v>1</v>
      </c>
      <c r="Q6" s="120"/>
      <c r="R6" s="120"/>
      <c r="S6" s="611"/>
      <c r="U6" s="118"/>
    </row>
    <row r="7" spans="1:21" s="17" customFormat="1" ht="24.75" customHeight="1" x14ac:dyDescent="0.3">
      <c r="A7" s="612">
        <v>333903702</v>
      </c>
      <c r="B7" s="120">
        <v>1</v>
      </c>
      <c r="C7" s="121" t="s">
        <v>668</v>
      </c>
      <c r="D7" s="120">
        <v>200</v>
      </c>
      <c r="E7" s="122">
        <v>1633.68</v>
      </c>
      <c r="F7" s="123">
        <f>ROUND(((E7/220)*D7),2)</f>
        <v>1485.16</v>
      </c>
      <c r="G7" s="124">
        <v>0.4</v>
      </c>
      <c r="H7" s="123">
        <f>G7*G27</f>
        <v>607.20000000000005</v>
      </c>
      <c r="I7" s="36">
        <v>0</v>
      </c>
      <c r="J7" s="36">
        <v>0</v>
      </c>
      <c r="K7" s="36"/>
      <c r="L7" s="36">
        <v>0</v>
      </c>
      <c r="M7" s="125">
        <f>F7+H7+L7</f>
        <v>2092.36</v>
      </c>
      <c r="N7" s="123">
        <f>Uniformes!H14</f>
        <v>32.619999999999997</v>
      </c>
      <c r="O7" s="123">
        <f>ROUND((Insumos!K44/$O$6),2)</f>
        <v>498.73</v>
      </c>
      <c r="P7" s="123"/>
      <c r="Q7" s="123">
        <f>EPI!F9/(B7+B8)</f>
        <v>4.9400000000000004</v>
      </c>
      <c r="R7" s="123">
        <f>Equipamentos!G15/(B7+B8)</f>
        <v>6.73</v>
      </c>
      <c r="S7" s="126">
        <v>2</v>
      </c>
      <c r="U7" s="118"/>
    </row>
    <row r="8" spans="1:21" s="17" customFormat="1" ht="21" customHeight="1" x14ac:dyDescent="0.3">
      <c r="A8" s="613"/>
      <c r="B8" s="120">
        <v>1</v>
      </c>
      <c r="C8" s="121" t="s">
        <v>667</v>
      </c>
      <c r="D8" s="120">
        <v>200</v>
      </c>
      <c r="E8" s="122">
        <v>1633.68</v>
      </c>
      <c r="F8" s="123">
        <f>ROUND(((E8/220)*D8),2)</f>
        <v>1485.16</v>
      </c>
      <c r="G8" s="127">
        <v>0</v>
      </c>
      <c r="H8" s="36">
        <v>0</v>
      </c>
      <c r="I8" s="128">
        <v>0.12</v>
      </c>
      <c r="J8" s="128">
        <v>0.25</v>
      </c>
      <c r="K8" s="122">
        <f>F8</f>
        <v>1485.16</v>
      </c>
      <c r="L8" s="129">
        <f>ROUND((K8*I8*J8),2)</f>
        <v>44.55</v>
      </c>
      <c r="M8" s="125">
        <f>F8+H8+L8</f>
        <v>1529.71</v>
      </c>
      <c r="N8" s="123">
        <f>Uniformes!H14+Uniformes!H20</f>
        <v>41.94</v>
      </c>
      <c r="O8" s="123">
        <f>ROUND((Insumos!K44/$O$6),2)</f>
        <v>498.73</v>
      </c>
      <c r="P8" s="123">
        <f>Insumos!K60/P6</f>
        <v>159.595</v>
      </c>
      <c r="Q8" s="123">
        <f>EPI!F9/(B7+B8)</f>
        <v>4.9400000000000004</v>
      </c>
      <c r="R8" s="123">
        <f>Equipamentos!G15/(B7+B8)+Equipamentos!G19</f>
        <v>7.7200000000000006</v>
      </c>
      <c r="S8" s="126">
        <v>2</v>
      </c>
      <c r="U8" s="118"/>
    </row>
    <row r="9" spans="1:21" ht="21" customHeight="1" x14ac:dyDescent="0.3">
      <c r="A9" s="612">
        <v>333903701</v>
      </c>
      <c r="B9" s="120">
        <v>3</v>
      </c>
      <c r="C9" s="121" t="s">
        <v>515</v>
      </c>
      <c r="D9" s="120">
        <v>150</v>
      </c>
      <c r="E9" s="122">
        <v>2048</v>
      </c>
      <c r="F9" s="123">
        <f>ROUND(((E9/220)*D9),2)</f>
        <v>1396.36</v>
      </c>
      <c r="G9" s="127">
        <v>0</v>
      </c>
      <c r="H9" s="36">
        <v>0</v>
      </c>
      <c r="I9" s="419"/>
      <c r="J9" s="419"/>
      <c r="K9" s="420"/>
      <c r="L9" s="421"/>
      <c r="M9" s="125">
        <f>F9+H9+L9</f>
        <v>1396.36</v>
      </c>
      <c r="N9" s="123">
        <f>Uniformes!H27</f>
        <v>49.96</v>
      </c>
      <c r="O9" s="130"/>
      <c r="P9" s="123"/>
      <c r="Q9" s="123"/>
      <c r="R9" s="123"/>
      <c r="S9" s="126">
        <v>2</v>
      </c>
    </row>
    <row r="10" spans="1:21" ht="24.75" customHeight="1" x14ac:dyDescent="0.3">
      <c r="A10" s="614"/>
      <c r="B10" s="120">
        <v>1</v>
      </c>
      <c r="C10" s="121" t="s">
        <v>515</v>
      </c>
      <c r="D10" s="120">
        <v>200</v>
      </c>
      <c r="E10" s="122">
        <v>2048</v>
      </c>
      <c r="F10" s="123">
        <f>ROUND(((E10/220)*D10),2)</f>
        <v>1861.82</v>
      </c>
      <c r="G10" s="127">
        <v>0</v>
      </c>
      <c r="H10" s="36">
        <v>0</v>
      </c>
      <c r="I10" s="419"/>
      <c r="J10" s="419"/>
      <c r="K10" s="420"/>
      <c r="L10" s="503"/>
      <c r="M10" s="125">
        <f>F10+H10+L10</f>
        <v>1861.82</v>
      </c>
      <c r="N10" s="123">
        <f>Uniformes!H27</f>
        <v>49.96</v>
      </c>
      <c r="O10" s="123"/>
      <c r="P10" s="123"/>
      <c r="Q10" s="123"/>
      <c r="R10" s="123"/>
      <c r="S10" s="126">
        <v>1</v>
      </c>
    </row>
    <row r="11" spans="1:21" ht="34.5" customHeight="1" x14ac:dyDescent="0.3">
      <c r="A11" s="131" t="s">
        <v>160</v>
      </c>
      <c r="B11" s="2"/>
      <c r="C11" s="2"/>
      <c r="D11" s="131"/>
      <c r="F11" s="131"/>
      <c r="G11" s="131" t="s">
        <v>161</v>
      </c>
      <c r="H11" s="131"/>
      <c r="I11" s="131"/>
      <c r="J11" s="131"/>
      <c r="K11" s="113"/>
      <c r="L11" s="132" t="s">
        <v>162</v>
      </c>
      <c r="M11" s="133">
        <f>SUM(M7:M10)</f>
        <v>6880.25</v>
      </c>
      <c r="N11" s="113"/>
      <c r="O11" s="113"/>
      <c r="P11" s="113"/>
      <c r="Q11" s="113"/>
      <c r="R11" s="113"/>
      <c r="S11" s="113"/>
    </row>
    <row r="12" spans="1:21" ht="24.75" customHeight="1" x14ac:dyDescent="0.3">
      <c r="A12" s="605" t="s">
        <v>163</v>
      </c>
      <c r="B12" s="605"/>
      <c r="C12" s="605"/>
      <c r="D12" s="605"/>
      <c r="E12" s="605"/>
      <c r="F12" s="605"/>
      <c r="G12" s="605"/>
      <c r="N12" s="113"/>
      <c r="O12" s="113"/>
      <c r="P12" s="113"/>
      <c r="Q12" s="113"/>
      <c r="R12" s="113"/>
      <c r="S12" s="113"/>
    </row>
    <row r="13" spans="1:21" ht="24" customHeight="1" x14ac:dyDescent="0.3">
      <c r="A13" s="135">
        <v>1</v>
      </c>
      <c r="B13" s="602" t="s">
        <v>164</v>
      </c>
      <c r="C13" s="602"/>
      <c r="D13" s="602"/>
      <c r="E13" s="606" t="s">
        <v>646</v>
      </c>
      <c r="F13" s="606"/>
      <c r="G13" s="606"/>
      <c r="H13" s="515" t="s">
        <v>647</v>
      </c>
      <c r="N13" s="113"/>
      <c r="O13" s="113"/>
      <c r="P13" s="113"/>
      <c r="Q13" s="113"/>
      <c r="R13" s="113"/>
      <c r="S13" s="57"/>
    </row>
    <row r="14" spans="1:21" ht="24" customHeight="1" x14ac:dyDescent="0.3">
      <c r="A14" s="135">
        <v>2</v>
      </c>
      <c r="B14" s="602" t="s">
        <v>165</v>
      </c>
      <c r="C14" s="602"/>
      <c r="D14" s="602"/>
      <c r="E14" s="606" t="s">
        <v>648</v>
      </c>
      <c r="F14" s="606"/>
      <c r="G14" s="606"/>
      <c r="H14" s="14" t="s">
        <v>166</v>
      </c>
      <c r="N14" s="113"/>
      <c r="O14" s="113"/>
      <c r="P14" s="113"/>
      <c r="Q14" s="113"/>
      <c r="R14" s="113"/>
      <c r="S14" s="57"/>
    </row>
    <row r="15" spans="1:21" ht="24" customHeight="1" x14ac:dyDescent="0.3">
      <c r="A15" s="135">
        <v>3</v>
      </c>
      <c r="B15" s="602" t="s">
        <v>167</v>
      </c>
      <c r="C15" s="602"/>
      <c r="D15" s="602"/>
      <c r="E15" s="609" t="s">
        <v>672</v>
      </c>
      <c r="F15" s="609"/>
      <c r="G15" s="609"/>
      <c r="H15" s="14" t="s">
        <v>649</v>
      </c>
      <c r="N15" s="113"/>
      <c r="O15" s="113"/>
      <c r="P15" s="113"/>
      <c r="Q15" s="113"/>
      <c r="R15" s="113"/>
      <c r="S15" s="57"/>
    </row>
    <row r="16" spans="1:21" ht="24" customHeight="1" x14ac:dyDescent="0.3">
      <c r="A16" s="135">
        <v>4</v>
      </c>
      <c r="B16" s="602" t="s">
        <v>168</v>
      </c>
      <c r="C16" s="602"/>
      <c r="D16" s="602"/>
      <c r="E16" s="610" t="s">
        <v>650</v>
      </c>
      <c r="F16" s="606"/>
      <c r="G16" s="606"/>
      <c r="H16" s="14" t="s">
        <v>651</v>
      </c>
      <c r="N16" s="113"/>
      <c r="O16" s="113"/>
      <c r="P16" s="113"/>
      <c r="Q16" s="113"/>
      <c r="R16" s="113"/>
      <c r="S16" s="57"/>
    </row>
    <row r="17" spans="1:19" ht="24" customHeight="1" x14ac:dyDescent="0.3">
      <c r="A17" s="135">
        <v>5</v>
      </c>
      <c r="B17" s="602" t="s">
        <v>169</v>
      </c>
      <c r="C17" s="602"/>
      <c r="D17" s="602"/>
      <c r="E17" s="606" t="s">
        <v>620</v>
      </c>
      <c r="F17" s="606"/>
      <c r="G17" s="606"/>
      <c r="H17" s="14" t="s">
        <v>652</v>
      </c>
      <c r="N17" s="113"/>
      <c r="O17" s="113"/>
      <c r="P17" s="113"/>
      <c r="Q17" s="113"/>
      <c r="R17" s="113"/>
      <c r="S17" s="57"/>
    </row>
    <row r="18" spans="1:19" s="1" customFormat="1" ht="12.75" customHeight="1" x14ac:dyDescent="0.3">
      <c r="A18" s="136"/>
      <c r="H18" s="14"/>
    </row>
    <row r="19" spans="1:19" s="57" customFormat="1" ht="24.75" customHeight="1" x14ac:dyDescent="0.3">
      <c r="A19" s="605" t="s">
        <v>170</v>
      </c>
      <c r="B19" s="605"/>
      <c r="C19" s="605"/>
      <c r="D19" s="605"/>
      <c r="E19" s="605"/>
      <c r="F19" s="605"/>
      <c r="G19" s="605"/>
      <c r="H19" s="14"/>
      <c r="I19" s="113"/>
      <c r="J19" s="113"/>
      <c r="K19" s="113"/>
      <c r="L19" s="113"/>
      <c r="M19" s="113"/>
      <c r="N19" s="113"/>
      <c r="O19" s="113"/>
      <c r="P19" s="113"/>
      <c r="Q19" s="113"/>
      <c r="R19" s="113"/>
    </row>
    <row r="20" spans="1:19" s="1" customFormat="1" ht="24" customHeight="1" x14ac:dyDescent="0.3">
      <c r="A20" s="135" t="s">
        <v>171</v>
      </c>
      <c r="B20" s="602" t="s">
        <v>172</v>
      </c>
      <c r="C20" s="602"/>
      <c r="D20" s="602"/>
      <c r="E20" s="602"/>
      <c r="F20" s="602"/>
      <c r="G20" s="124">
        <f>Encargos!C57</f>
        <v>0.76400000000000001</v>
      </c>
      <c r="H20" s="14"/>
    </row>
    <row r="21" spans="1:19" s="1" customFormat="1" ht="12.75" customHeight="1" x14ac:dyDescent="0.3">
      <c r="A21" s="136"/>
      <c r="G21" s="2"/>
      <c r="H21" s="14"/>
    </row>
    <row r="22" spans="1:19" s="1" customFormat="1" ht="24.75" customHeight="1" x14ac:dyDescent="0.3">
      <c r="A22" s="91">
        <v>1</v>
      </c>
      <c r="B22" s="602" t="s">
        <v>173</v>
      </c>
      <c r="C22" s="602"/>
      <c r="D22" s="602"/>
      <c r="E22" s="602"/>
      <c r="F22" s="602"/>
      <c r="G22" s="137">
        <f>G23*G24</f>
        <v>0.06</v>
      </c>
      <c r="H22" s="14"/>
    </row>
    <row r="23" spans="1:19" s="1" customFormat="1" ht="24.75" customHeight="1" x14ac:dyDescent="0.3">
      <c r="A23" s="91">
        <v>2</v>
      </c>
      <c r="B23" s="602" t="s">
        <v>174</v>
      </c>
      <c r="C23" s="602"/>
      <c r="D23" s="602"/>
      <c r="E23" s="602"/>
      <c r="F23" s="602"/>
      <c r="G23" s="128">
        <v>0.03</v>
      </c>
      <c r="H23" s="14" t="s">
        <v>175</v>
      </c>
    </row>
    <row r="24" spans="1:19" s="1" customFormat="1" ht="24.75" customHeight="1" x14ac:dyDescent="0.3">
      <c r="A24" s="91">
        <v>3</v>
      </c>
      <c r="B24" s="602" t="s">
        <v>176</v>
      </c>
      <c r="C24" s="602"/>
      <c r="D24" s="602"/>
      <c r="E24" s="602"/>
      <c r="F24" s="602"/>
      <c r="G24" s="138">
        <v>2</v>
      </c>
      <c r="H24" s="14" t="s">
        <v>177</v>
      </c>
    </row>
    <row r="25" spans="1:19" s="1" customFormat="1" ht="12.75" customHeight="1" x14ac:dyDescent="0.3">
      <c r="A25" s="136"/>
      <c r="B25" s="113"/>
      <c r="C25" s="113"/>
      <c r="D25" s="113"/>
      <c r="E25" s="113"/>
      <c r="F25" s="113"/>
      <c r="H25" s="14"/>
    </row>
    <row r="26" spans="1:19" s="1" customFormat="1" ht="24.75" customHeight="1" x14ac:dyDescent="0.3">
      <c r="A26" s="605" t="s">
        <v>178</v>
      </c>
      <c r="B26" s="605"/>
      <c r="C26" s="605"/>
      <c r="D26" s="605"/>
      <c r="E26" s="605"/>
      <c r="F26" s="605"/>
      <c r="G26" s="605"/>
      <c r="H26" s="14"/>
    </row>
    <row r="27" spans="1:19" s="1" customFormat="1" ht="24.75" customHeight="1" x14ac:dyDescent="0.3">
      <c r="A27" s="91">
        <v>1</v>
      </c>
      <c r="B27" s="602" t="s">
        <v>495</v>
      </c>
      <c r="C27" s="602"/>
      <c r="D27" s="602"/>
      <c r="E27" s="602"/>
      <c r="F27" s="602"/>
      <c r="G27" s="122">
        <v>1518</v>
      </c>
      <c r="H27" s="14" t="s">
        <v>179</v>
      </c>
    </row>
    <row r="28" spans="1:19" s="1" customFormat="1" ht="12.75" customHeight="1" x14ac:dyDescent="0.3">
      <c r="A28" s="139"/>
      <c r="B28" s="140"/>
      <c r="C28" s="140"/>
      <c r="D28" s="140"/>
      <c r="E28" s="140"/>
      <c r="F28" s="140"/>
      <c r="G28" s="141"/>
      <c r="H28" s="14"/>
    </row>
    <row r="29" spans="1:19" s="57" customFormat="1" ht="24.75" customHeight="1" x14ac:dyDescent="0.3">
      <c r="A29" s="605" t="s">
        <v>180</v>
      </c>
      <c r="B29" s="605"/>
      <c r="C29" s="605"/>
      <c r="D29" s="605"/>
      <c r="E29" s="605"/>
      <c r="F29" s="605"/>
      <c r="G29" s="605"/>
      <c r="H29" s="14"/>
      <c r="I29" s="1"/>
      <c r="J29" s="1"/>
      <c r="K29" s="113"/>
      <c r="L29" s="113"/>
      <c r="M29" s="113"/>
      <c r="N29" s="113"/>
      <c r="O29" s="113"/>
      <c r="P29" s="113"/>
      <c r="Q29" s="113"/>
      <c r="R29" s="113"/>
    </row>
    <row r="30" spans="1:19" s="1" customFormat="1" ht="26.25" customHeight="1" x14ac:dyDescent="0.3">
      <c r="A30" s="135">
        <v>1</v>
      </c>
      <c r="B30" s="602" t="s">
        <v>181</v>
      </c>
      <c r="C30" s="602"/>
      <c r="D30" s="602"/>
      <c r="E30" s="602"/>
      <c r="F30" s="602"/>
      <c r="G30" s="138">
        <v>5.27</v>
      </c>
      <c r="H30" s="14" t="s">
        <v>182</v>
      </c>
    </row>
    <row r="31" spans="1:19" s="1" customFormat="1" ht="26.25" customHeight="1" x14ac:dyDescent="0.3">
      <c r="A31" s="142">
        <v>2</v>
      </c>
      <c r="B31" s="602" t="s">
        <v>183</v>
      </c>
      <c r="C31" s="602"/>
      <c r="D31" s="602"/>
      <c r="E31" s="602"/>
      <c r="F31" s="602"/>
      <c r="G31" s="138">
        <v>0</v>
      </c>
      <c r="H31" s="14" t="s">
        <v>182</v>
      </c>
    </row>
    <row r="32" spans="1:19" s="1" customFormat="1" ht="26.25" customHeight="1" x14ac:dyDescent="0.3">
      <c r="A32" s="601">
        <v>3</v>
      </c>
      <c r="B32" s="607" t="s">
        <v>184</v>
      </c>
      <c r="C32" s="607"/>
      <c r="D32" s="602" t="s">
        <v>185</v>
      </c>
      <c r="E32" s="602"/>
      <c r="F32" s="602"/>
      <c r="G32" s="143">
        <v>3.9</v>
      </c>
      <c r="H32" s="14" t="s">
        <v>186</v>
      </c>
      <c r="I32" s="113"/>
      <c r="O32" s="59"/>
    </row>
    <row r="33" spans="1:18" s="1" customFormat="1" ht="26.25" customHeight="1" x14ac:dyDescent="0.3">
      <c r="A33" s="601"/>
      <c r="B33" s="607"/>
      <c r="C33" s="607"/>
      <c r="D33" s="602" t="s">
        <v>187</v>
      </c>
      <c r="E33" s="602"/>
      <c r="F33" s="602"/>
      <c r="G33" s="143">
        <v>2</v>
      </c>
      <c r="H33" s="14" t="s">
        <v>188</v>
      </c>
      <c r="I33" s="113"/>
      <c r="O33" s="59"/>
    </row>
    <row r="34" spans="1:18" s="1" customFormat="1" ht="26.25" customHeight="1" x14ac:dyDescent="0.3">
      <c r="A34" s="601"/>
      <c r="B34" s="607"/>
      <c r="C34" s="607"/>
      <c r="D34" s="602" t="s">
        <v>189</v>
      </c>
      <c r="E34" s="602"/>
      <c r="F34" s="602"/>
      <c r="G34" s="144">
        <v>22</v>
      </c>
      <c r="H34" s="14" t="s">
        <v>190</v>
      </c>
      <c r="I34" s="113"/>
      <c r="O34" s="59"/>
    </row>
    <row r="35" spans="1:18" ht="26.25" customHeight="1" x14ac:dyDescent="0.3">
      <c r="A35" s="601"/>
      <c r="B35" s="607"/>
      <c r="C35" s="607"/>
      <c r="D35" s="608" t="s">
        <v>191</v>
      </c>
      <c r="E35" s="608"/>
      <c r="F35" s="608"/>
      <c r="G35" s="145">
        <v>0.06</v>
      </c>
      <c r="H35" s="14" t="s">
        <v>192</v>
      </c>
      <c r="O35" s="59"/>
    </row>
    <row r="36" spans="1:18" s="1" customFormat="1" ht="26.25" customHeight="1" x14ac:dyDescent="0.3">
      <c r="A36" s="601">
        <v>4</v>
      </c>
      <c r="B36" s="607" t="s">
        <v>193</v>
      </c>
      <c r="C36" s="607"/>
      <c r="D36" s="602" t="s">
        <v>194</v>
      </c>
      <c r="E36" s="602"/>
      <c r="F36" s="602"/>
      <c r="G36" s="138">
        <v>29</v>
      </c>
      <c r="H36" s="14" t="s">
        <v>195</v>
      </c>
      <c r="I36" s="113"/>
    </row>
    <row r="37" spans="1:18" ht="26.25" customHeight="1" x14ac:dyDescent="0.3">
      <c r="A37" s="601"/>
      <c r="B37" s="607"/>
      <c r="C37" s="607"/>
      <c r="D37" s="602" t="s">
        <v>189</v>
      </c>
      <c r="E37" s="602"/>
      <c r="F37" s="602"/>
      <c r="G37" s="144">
        <f>G34</f>
        <v>22</v>
      </c>
      <c r="H37" s="14" t="s">
        <v>190</v>
      </c>
      <c r="I37" s="146"/>
      <c r="J37" s="146"/>
      <c r="K37" s="113"/>
      <c r="O37" s="59"/>
    </row>
    <row r="38" spans="1:18" s="1" customFormat="1" ht="26.25" customHeight="1" x14ac:dyDescent="0.3">
      <c r="A38" s="601"/>
      <c r="B38" s="607"/>
      <c r="C38" s="607"/>
      <c r="D38" s="608" t="s">
        <v>191</v>
      </c>
      <c r="E38" s="608"/>
      <c r="F38" s="608"/>
      <c r="G38" s="128">
        <v>0.2</v>
      </c>
      <c r="H38" s="14" t="s">
        <v>192</v>
      </c>
      <c r="O38" s="59"/>
    </row>
    <row r="39" spans="1:18" s="1" customFormat="1" ht="26.25" customHeight="1" x14ac:dyDescent="0.3">
      <c r="A39" s="135">
        <v>5</v>
      </c>
      <c r="B39" s="604" t="s">
        <v>196</v>
      </c>
      <c r="C39" s="604"/>
      <c r="D39" s="604"/>
      <c r="E39" s="604"/>
      <c r="F39" s="604"/>
      <c r="G39" s="138">
        <v>0</v>
      </c>
      <c r="H39" s="14" t="s">
        <v>197</v>
      </c>
      <c r="O39" s="59"/>
    </row>
    <row r="40" spans="1:18" s="1" customFormat="1" ht="26.25" customHeight="1" x14ac:dyDescent="0.3">
      <c r="A40" s="135">
        <v>6</v>
      </c>
      <c r="B40" s="604" t="s">
        <v>196</v>
      </c>
      <c r="C40" s="604"/>
      <c r="D40" s="604"/>
      <c r="E40" s="604"/>
      <c r="F40" s="604"/>
      <c r="G40" s="138">
        <v>0</v>
      </c>
      <c r="H40" s="14" t="s">
        <v>197</v>
      </c>
    </row>
    <row r="41" spans="1:18" s="1" customFormat="1" ht="12.75" customHeight="1" x14ac:dyDescent="0.3">
      <c r="H41" s="14"/>
    </row>
    <row r="42" spans="1:18" s="57" customFormat="1" ht="24.75" customHeight="1" x14ac:dyDescent="0.3">
      <c r="A42" s="605" t="s">
        <v>198</v>
      </c>
      <c r="B42" s="605"/>
      <c r="C42" s="605"/>
      <c r="D42" s="605"/>
      <c r="E42" s="605"/>
      <c r="F42" s="605"/>
      <c r="G42" s="605"/>
      <c r="H42" s="14"/>
      <c r="I42" s="113"/>
      <c r="J42" s="113"/>
      <c r="K42" s="113"/>
      <c r="L42" s="113"/>
      <c r="M42" s="113"/>
      <c r="N42" s="113"/>
      <c r="O42" s="113"/>
      <c r="P42" s="113"/>
      <c r="Q42" s="113"/>
      <c r="R42" s="113"/>
    </row>
    <row r="43" spans="1:18" s="1" customFormat="1" ht="24.75" customHeight="1" x14ac:dyDescent="0.3">
      <c r="A43" s="135">
        <v>1</v>
      </c>
      <c r="B43" s="602" t="s">
        <v>199</v>
      </c>
      <c r="C43" s="602"/>
      <c r="D43" s="602"/>
      <c r="E43" s="602"/>
      <c r="F43" s="602"/>
      <c r="G43" s="128">
        <v>0.03</v>
      </c>
      <c r="H43" s="14" t="s">
        <v>200</v>
      </c>
    </row>
    <row r="44" spans="1:18" s="1" customFormat="1" ht="24.75" customHeight="1" x14ac:dyDescent="0.3">
      <c r="A44" s="135">
        <v>2</v>
      </c>
      <c r="B44" s="602" t="s">
        <v>201</v>
      </c>
      <c r="C44" s="602"/>
      <c r="D44" s="602"/>
      <c r="E44" s="602"/>
      <c r="F44" s="602"/>
      <c r="G44" s="128">
        <v>6.7900000000000002E-2</v>
      </c>
      <c r="H44" s="14" t="s">
        <v>200</v>
      </c>
    </row>
    <row r="45" spans="1:18" s="1" customFormat="1" ht="12.75" customHeight="1" x14ac:dyDescent="0.3">
      <c r="H45" s="14"/>
    </row>
    <row r="46" spans="1:18" s="57" customFormat="1" ht="24.75" customHeight="1" x14ac:dyDescent="0.3">
      <c r="A46" s="605" t="s">
        <v>202</v>
      </c>
      <c r="B46" s="605"/>
      <c r="C46" s="605"/>
      <c r="D46" s="605"/>
      <c r="E46" s="605"/>
      <c r="F46" s="605"/>
      <c r="G46" s="605"/>
      <c r="H46" s="14"/>
      <c r="I46" s="113"/>
      <c r="J46" s="113"/>
      <c r="K46" s="113"/>
      <c r="L46" s="113"/>
      <c r="M46" s="113"/>
      <c r="N46" s="113"/>
      <c r="O46" s="113"/>
      <c r="P46" s="113"/>
      <c r="Q46" s="113"/>
      <c r="R46" s="113"/>
    </row>
    <row r="47" spans="1:18" s="57" customFormat="1" ht="24.75" customHeight="1" x14ac:dyDescent="0.3">
      <c r="A47" s="599" t="s">
        <v>203</v>
      </c>
      <c r="B47" s="599" t="str">
        <f>IF(F50="LUCRO REAL","INFORMAR ALÍQUOTAS MÉDIAS DE RECOLHIMENTO DOS ÚLTIMOS 12 (DOZE) MESES.",IF(F50="LUCRO PRESUMIDO","ALÍQUOTAS FIXAS - PIS: 0,65%; COFINS: 3,00%.",IF(F50="SIMPLES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7" s="599"/>
      <c r="D47" s="599"/>
      <c r="E47" s="599"/>
      <c r="F47" s="599"/>
      <c r="G47" s="599"/>
      <c r="H47" s="14"/>
      <c r="I47" s="113"/>
      <c r="J47" s="113"/>
      <c r="K47" s="113"/>
      <c r="L47" s="113"/>
      <c r="M47" s="113"/>
      <c r="N47" s="113"/>
      <c r="O47" s="113"/>
      <c r="P47" s="113"/>
      <c r="Q47" s="113"/>
      <c r="R47" s="113"/>
    </row>
    <row r="48" spans="1:18" s="57" customFormat="1" ht="24.75" customHeight="1" x14ac:dyDescent="0.3">
      <c r="A48" s="599"/>
      <c r="B48" s="599"/>
      <c r="C48" s="599"/>
      <c r="D48" s="599"/>
      <c r="E48" s="599"/>
      <c r="F48" s="599"/>
      <c r="G48" s="599"/>
      <c r="H48" s="14"/>
      <c r="I48" s="113"/>
      <c r="J48" s="113"/>
      <c r="K48" s="113"/>
      <c r="L48" s="113"/>
      <c r="M48" s="113"/>
      <c r="N48" s="113"/>
      <c r="O48" s="113"/>
      <c r="P48" s="113"/>
      <c r="Q48" s="113"/>
      <c r="R48" s="113"/>
    </row>
    <row r="49" spans="1:18" s="57" customFormat="1" ht="24.75" customHeight="1" x14ac:dyDescent="0.3">
      <c r="A49" s="599"/>
      <c r="B49" s="599"/>
      <c r="C49" s="599"/>
      <c r="D49" s="599"/>
      <c r="E49" s="599"/>
      <c r="F49" s="599"/>
      <c r="G49" s="599"/>
      <c r="H49" s="14"/>
      <c r="I49" s="113"/>
      <c r="J49" s="113"/>
      <c r="K49" s="113"/>
      <c r="L49" s="113"/>
      <c r="M49" s="113"/>
      <c r="N49" s="113"/>
      <c r="O49" s="113"/>
      <c r="P49" s="113"/>
      <c r="Q49" s="113"/>
      <c r="R49" s="113"/>
    </row>
    <row r="50" spans="1:18" s="1" customFormat="1" ht="24" customHeight="1" x14ac:dyDescent="0.3">
      <c r="A50" s="135">
        <v>1</v>
      </c>
      <c r="B50" s="602" t="s">
        <v>204</v>
      </c>
      <c r="C50" s="602"/>
      <c r="D50" s="602"/>
      <c r="E50" s="602"/>
      <c r="F50" s="606" t="s">
        <v>205</v>
      </c>
      <c r="G50" s="606"/>
      <c r="H50" s="14" t="s">
        <v>206</v>
      </c>
      <c r="R50" s="147"/>
    </row>
    <row r="51" spans="1:18" s="1" customFormat="1" ht="24" customHeight="1" x14ac:dyDescent="0.3">
      <c r="A51" s="135">
        <v>2</v>
      </c>
      <c r="B51" s="602" t="s">
        <v>207</v>
      </c>
      <c r="C51" s="602"/>
      <c r="D51" s="602"/>
      <c r="E51" s="602"/>
      <c r="F51" s="602"/>
      <c r="G51" s="128">
        <v>7.5999999999999998E-2</v>
      </c>
      <c r="H51" s="14" t="s">
        <v>208</v>
      </c>
    </row>
    <row r="52" spans="1:18" s="1" customFormat="1" ht="24" customHeight="1" x14ac:dyDescent="0.3">
      <c r="A52" s="135">
        <v>3</v>
      </c>
      <c r="B52" s="602" t="s">
        <v>209</v>
      </c>
      <c r="C52" s="602"/>
      <c r="D52" s="602"/>
      <c r="E52" s="602"/>
      <c r="F52" s="602"/>
      <c r="G52" s="128">
        <v>1.6500000000000001E-2</v>
      </c>
      <c r="H52" s="14" t="s">
        <v>208</v>
      </c>
    </row>
    <row r="53" spans="1:18" s="1" customFormat="1" ht="24" customHeight="1" x14ac:dyDescent="0.3">
      <c r="A53" s="135">
        <v>4</v>
      </c>
      <c r="B53" s="602" t="s">
        <v>210</v>
      </c>
      <c r="C53" s="602"/>
      <c r="D53" s="602"/>
      <c r="E53" s="602"/>
      <c r="F53" s="602"/>
      <c r="G53" s="128">
        <v>0.03</v>
      </c>
      <c r="H53" s="14" t="s">
        <v>211</v>
      </c>
    </row>
    <row r="54" spans="1:18" s="1" customFormat="1" ht="24" customHeight="1" x14ac:dyDescent="0.3">
      <c r="A54" s="135">
        <v>5</v>
      </c>
      <c r="B54" s="604" t="s">
        <v>196</v>
      </c>
      <c r="C54" s="604"/>
      <c r="D54" s="604"/>
      <c r="E54" s="604"/>
      <c r="F54" s="604"/>
      <c r="G54" s="128">
        <v>0</v>
      </c>
      <c r="H54" s="14" t="s">
        <v>212</v>
      </c>
    </row>
    <row r="55" spans="1:18" s="1" customFormat="1" ht="21.75" customHeight="1" x14ac:dyDescent="0.3">
      <c r="A55" s="135">
        <v>6</v>
      </c>
      <c r="B55" s="602" t="s">
        <v>213</v>
      </c>
      <c r="C55" s="602"/>
      <c r="D55" s="602"/>
      <c r="E55" s="602"/>
      <c r="F55" s="602"/>
      <c r="G55" s="124">
        <f>SUM(G51:G54)</f>
        <v>0.1225</v>
      </c>
      <c r="H55" s="14"/>
    </row>
    <row r="56" spans="1:18" ht="12.75" customHeight="1" x14ac:dyDescent="0.3"/>
    <row r="57" spans="1:18" s="1" customFormat="1" x14ac:dyDescent="0.3"/>
    <row r="59" spans="1:18" ht="66.75" hidden="1" customHeight="1" x14ac:dyDescent="0.3">
      <c r="A59" s="599" t="s">
        <v>214</v>
      </c>
      <c r="B59" s="599"/>
      <c r="C59" s="599"/>
      <c r="D59" s="599"/>
      <c r="E59" s="599"/>
      <c r="F59" s="599"/>
      <c r="G59" s="599"/>
      <c r="H59" s="599"/>
      <c r="I59" s="134" t="s">
        <v>215</v>
      </c>
      <c r="J59" s="117" t="s">
        <v>216</v>
      </c>
      <c r="K59" s="134" t="s">
        <v>217</v>
      </c>
      <c r="L59" s="134" t="s">
        <v>215</v>
      </c>
      <c r="M59" s="134" t="s">
        <v>218</v>
      </c>
      <c r="N59" s="599" t="s">
        <v>219</v>
      </c>
      <c r="O59" s="599"/>
      <c r="P59" s="117" t="s">
        <v>220</v>
      </c>
      <c r="Q59" s="117"/>
      <c r="R59" s="117" t="s">
        <v>221</v>
      </c>
    </row>
    <row r="60" spans="1:18" ht="15" hidden="1" customHeight="1" x14ac:dyDescent="0.3">
      <c r="A60" s="601" t="s">
        <v>222</v>
      </c>
      <c r="B60" s="601"/>
      <c r="C60" s="135" t="s">
        <v>223</v>
      </c>
      <c r="D60" s="148">
        <f>IPCA!G23</f>
        <v>0</v>
      </c>
      <c r="E60" s="602" t="s">
        <v>224</v>
      </c>
      <c r="F60" s="602"/>
      <c r="G60" s="602"/>
      <c r="H60" s="602"/>
      <c r="I60" s="149" t="s">
        <v>225</v>
      </c>
      <c r="J60" s="149" t="s">
        <v>225</v>
      </c>
      <c r="K60" s="149" t="s">
        <v>225</v>
      </c>
      <c r="L60" s="149" t="s">
        <v>225</v>
      </c>
      <c r="M60" s="149" t="s">
        <v>225</v>
      </c>
      <c r="N60" s="603">
        <f>ROUND((100%+D60),2)</f>
        <v>1</v>
      </c>
      <c r="O60" s="603"/>
      <c r="P60" s="418"/>
      <c r="Q60" s="418"/>
      <c r="R60" s="150"/>
    </row>
    <row r="61" spans="1:18" ht="15" hidden="1" customHeight="1" x14ac:dyDescent="0.3">
      <c r="A61" s="601" t="s">
        <v>226</v>
      </c>
      <c r="B61" s="601"/>
      <c r="C61" s="135" t="s">
        <v>223</v>
      </c>
      <c r="D61" s="148">
        <f>IPCA!N23</f>
        <v>0</v>
      </c>
      <c r="E61" s="602" t="s">
        <v>224</v>
      </c>
      <c r="F61" s="602"/>
      <c r="G61" s="602"/>
      <c r="H61" s="602"/>
      <c r="I61" s="149" t="s">
        <v>225</v>
      </c>
      <c r="J61" s="149" t="s">
        <v>225</v>
      </c>
      <c r="K61" s="149" t="s">
        <v>225</v>
      </c>
      <c r="L61" s="149" t="s">
        <v>225</v>
      </c>
      <c r="M61" s="149" t="s">
        <v>225</v>
      </c>
      <c r="N61" s="603">
        <f>ROUND((100%+D61),2)</f>
        <v>1</v>
      </c>
      <c r="O61" s="603"/>
      <c r="P61" s="418"/>
      <c r="Q61" s="418"/>
      <c r="R61" s="150"/>
    </row>
    <row r="62" spans="1:18" ht="15" hidden="1" customHeight="1" x14ac:dyDescent="0.3">
      <c r="A62" s="601" t="s">
        <v>227</v>
      </c>
      <c r="B62" s="601"/>
      <c r="C62" s="135" t="s">
        <v>223</v>
      </c>
      <c r="D62" s="148">
        <f>IPCA!U23</f>
        <v>0</v>
      </c>
      <c r="E62" s="602" t="s">
        <v>224</v>
      </c>
      <c r="F62" s="602"/>
      <c r="G62" s="602"/>
      <c r="H62" s="602"/>
      <c r="I62" s="149" t="s">
        <v>225</v>
      </c>
      <c r="J62" s="149" t="s">
        <v>225</v>
      </c>
      <c r="K62" s="149" t="s">
        <v>225</v>
      </c>
      <c r="L62" s="149" t="s">
        <v>225</v>
      </c>
      <c r="M62" s="149" t="s">
        <v>225</v>
      </c>
      <c r="N62" s="603">
        <f>ROUND((100%+D62),2)</f>
        <v>1</v>
      </c>
      <c r="O62" s="603"/>
      <c r="P62" s="418"/>
      <c r="Q62" s="418"/>
      <c r="R62" s="150"/>
    </row>
    <row r="63" spans="1:18" ht="15" hidden="1" customHeight="1" x14ac:dyDescent="0.3">
      <c r="A63" s="601" t="s">
        <v>228</v>
      </c>
      <c r="B63" s="601"/>
      <c r="C63" s="135" t="s">
        <v>223</v>
      </c>
      <c r="D63" s="148">
        <f>IPCA!AB23</f>
        <v>0</v>
      </c>
      <c r="E63" s="602" t="s">
        <v>224</v>
      </c>
      <c r="F63" s="602"/>
      <c r="G63" s="602"/>
      <c r="H63" s="602"/>
      <c r="I63" s="149" t="s">
        <v>225</v>
      </c>
      <c r="J63" s="149" t="s">
        <v>225</v>
      </c>
      <c r="K63" s="149" t="s">
        <v>225</v>
      </c>
      <c r="L63" s="149" t="s">
        <v>225</v>
      </c>
      <c r="M63" s="149" t="s">
        <v>225</v>
      </c>
      <c r="N63" s="603">
        <f>ROUND((100%+D63),2)</f>
        <v>1</v>
      </c>
      <c r="O63" s="603"/>
      <c r="P63" s="418"/>
      <c r="Q63" s="418"/>
      <c r="R63" s="150"/>
    </row>
    <row r="64" spans="1:18" ht="15" hidden="1" customHeight="1" x14ac:dyDescent="0.3">
      <c r="A64" s="601" t="s">
        <v>229</v>
      </c>
      <c r="B64" s="601"/>
      <c r="C64" s="135" t="s">
        <v>223</v>
      </c>
      <c r="D64" s="148">
        <f>IPCA!AI23</f>
        <v>0</v>
      </c>
      <c r="E64" s="602" t="s">
        <v>224</v>
      </c>
      <c r="F64" s="602"/>
      <c r="G64" s="602"/>
      <c r="H64" s="602"/>
      <c r="I64" s="149" t="s">
        <v>225</v>
      </c>
      <c r="J64" s="149" t="s">
        <v>225</v>
      </c>
      <c r="K64" s="149" t="s">
        <v>225</v>
      </c>
      <c r="L64" s="149" t="s">
        <v>225</v>
      </c>
      <c r="M64" s="149" t="s">
        <v>225</v>
      </c>
      <c r="N64" s="603">
        <f>ROUND((100%+D64),2)</f>
        <v>1</v>
      </c>
      <c r="O64" s="603"/>
      <c r="P64" s="418"/>
      <c r="Q64" s="418"/>
      <c r="R64" s="150"/>
    </row>
    <row r="65" spans="1:11" hidden="1" x14ac:dyDescent="0.3">
      <c r="B65" s="151"/>
      <c r="C65" s="151"/>
      <c r="D65" s="151"/>
      <c r="E65" s="151"/>
    </row>
    <row r="66" spans="1:11" ht="30" hidden="1" customHeight="1" x14ac:dyDescent="0.3">
      <c r="A66" s="599" t="s">
        <v>230</v>
      </c>
      <c r="B66" s="599"/>
      <c r="C66" s="599"/>
      <c r="D66" s="117" t="s">
        <v>231</v>
      </c>
      <c r="E66" s="151"/>
    </row>
    <row r="67" spans="1:11" ht="15.75" hidden="1" customHeight="1" x14ac:dyDescent="0.3">
      <c r="A67" s="599"/>
      <c r="B67" s="599"/>
      <c r="C67" s="599"/>
      <c r="D67" s="149" t="s">
        <v>232</v>
      </c>
      <c r="E67" s="151"/>
    </row>
    <row r="68" spans="1:11" ht="30" hidden="1" customHeight="1" x14ac:dyDescent="0.3">
      <c r="A68" s="599" t="s">
        <v>233</v>
      </c>
      <c r="B68" s="599"/>
      <c r="C68" s="599"/>
      <c r="D68" s="117" t="s">
        <v>231</v>
      </c>
      <c r="E68" s="151"/>
    </row>
    <row r="69" spans="1:11" ht="15.75" hidden="1" customHeight="1" x14ac:dyDescent="0.3">
      <c r="A69" s="599"/>
      <c r="B69" s="599"/>
      <c r="C69" s="599"/>
      <c r="D69" s="149" t="s">
        <v>232</v>
      </c>
      <c r="E69" s="151"/>
    </row>
    <row r="70" spans="1:11" ht="30" hidden="1" customHeight="1" x14ac:dyDescent="0.3">
      <c r="A70" s="599" t="s">
        <v>234</v>
      </c>
      <c r="B70" s="599"/>
      <c r="C70" s="599"/>
      <c r="D70" s="117" t="s">
        <v>231</v>
      </c>
      <c r="E70" s="151"/>
    </row>
    <row r="71" spans="1:11" ht="15.75" hidden="1" customHeight="1" x14ac:dyDescent="0.3">
      <c r="A71" s="599"/>
      <c r="B71" s="599"/>
      <c r="C71" s="599"/>
      <c r="D71" s="149" t="s">
        <v>232</v>
      </c>
      <c r="E71" s="151"/>
    </row>
    <row r="72" spans="1:11" ht="42.75" hidden="1" customHeight="1" x14ac:dyDescent="0.3">
      <c r="A72" s="599" t="s">
        <v>235</v>
      </c>
      <c r="B72" s="599"/>
      <c r="C72" s="599"/>
      <c r="D72" s="117" t="s">
        <v>231</v>
      </c>
      <c r="E72" s="152" t="s">
        <v>236</v>
      </c>
      <c r="F72" s="117" t="s">
        <v>237</v>
      </c>
      <c r="G72" s="117" t="s">
        <v>238</v>
      </c>
      <c r="H72" s="117" t="s">
        <v>239</v>
      </c>
      <c r="I72" s="117" t="s">
        <v>240</v>
      </c>
      <c r="J72" s="117" t="s">
        <v>241</v>
      </c>
      <c r="K72" s="151"/>
    </row>
    <row r="73" spans="1:11" ht="15.75" hidden="1" customHeight="1" x14ac:dyDescent="0.3">
      <c r="A73" s="599"/>
      <c r="B73" s="599"/>
      <c r="C73" s="599"/>
      <c r="D73" s="149" t="s">
        <v>232</v>
      </c>
      <c r="E73" s="149">
        <v>1.55</v>
      </c>
      <c r="F73" s="135">
        <f>ROUND(IF(Dados!$M$60="SIM",E73*Dados!$N$60,E73),2)</f>
        <v>1.55</v>
      </c>
      <c r="G73" s="135">
        <f>ROUND(IF(Dados!$M$61="SIM",F73*Dados!$N$61,F73),2)</f>
        <v>1.55</v>
      </c>
      <c r="H73" s="135">
        <f>ROUND(IF(Dados!$M$62="SIM",G73*Dados!$N$62,G73),2)</f>
        <v>1.55</v>
      </c>
      <c r="I73" s="135">
        <f>ROUND(IF(Dados!$M$63="SIM",H73*Dados!$N$63,H73),2)</f>
        <v>1.55</v>
      </c>
      <c r="J73" s="135">
        <f>ROUND(IF(Dados!$M$64="SIM",I73*Dados!$N$64,I73),2)</f>
        <v>1.55</v>
      </c>
    </row>
    <row r="74" spans="1:11" hidden="1" x14ac:dyDescent="0.3">
      <c r="E74" s="151"/>
    </row>
    <row r="75" spans="1:11" ht="15.75" hidden="1" customHeight="1" x14ac:dyDescent="0.3">
      <c r="A75" s="600" t="s">
        <v>242</v>
      </c>
      <c r="B75" s="600"/>
      <c r="C75" s="600"/>
      <c r="D75" s="600"/>
      <c r="E75" s="600"/>
      <c r="F75" s="600"/>
      <c r="G75" s="600"/>
      <c r="H75" s="600"/>
    </row>
    <row r="76" spans="1:11" hidden="1" x14ac:dyDescent="0.3">
      <c r="A76" s="597" t="s">
        <v>243</v>
      </c>
      <c r="B76" s="597"/>
      <c r="C76" s="597"/>
      <c r="D76" s="597"/>
      <c r="E76" s="597"/>
      <c r="F76" s="595" t="s">
        <v>244</v>
      </c>
      <c r="G76" s="595"/>
      <c r="H76" s="153"/>
    </row>
    <row r="77" spans="1:11" ht="43.5" hidden="1" customHeight="1" x14ac:dyDescent="0.3">
      <c r="A77" s="596" t="s">
        <v>245</v>
      </c>
      <c r="B77" s="596"/>
      <c r="C77" s="596"/>
      <c r="D77" s="596"/>
      <c r="E77" s="596"/>
      <c r="F77" s="596"/>
      <c r="G77" s="596"/>
      <c r="H77" s="596"/>
    </row>
    <row r="78" spans="1:11" hidden="1" x14ac:dyDescent="0.3">
      <c r="A78" s="597" t="s">
        <v>246</v>
      </c>
      <c r="B78" s="597"/>
      <c r="C78" s="597"/>
      <c r="D78" s="597"/>
      <c r="E78" s="597"/>
      <c r="F78" s="595" t="s">
        <v>244</v>
      </c>
      <c r="G78" s="595"/>
      <c r="H78" s="153"/>
    </row>
    <row r="79" spans="1:11" ht="43.5" hidden="1" customHeight="1" x14ac:dyDescent="0.3">
      <c r="A79" s="598" t="s">
        <v>247</v>
      </c>
      <c r="B79" s="598"/>
      <c r="C79" s="598"/>
      <c r="D79" s="598"/>
      <c r="E79" s="598"/>
      <c r="F79" s="598"/>
      <c r="G79" s="598"/>
      <c r="H79" s="598"/>
    </row>
    <row r="80" spans="1:11" hidden="1" x14ac:dyDescent="0.3">
      <c r="A80" s="597" t="s">
        <v>248</v>
      </c>
      <c r="B80" s="597"/>
      <c r="C80" s="597"/>
      <c r="D80" s="597"/>
      <c r="E80" s="597"/>
      <c r="F80" s="595" t="s">
        <v>244</v>
      </c>
      <c r="G80" s="595"/>
      <c r="H80" s="153"/>
    </row>
    <row r="81" spans="1:8" ht="43.5" hidden="1" customHeight="1" x14ac:dyDescent="0.3">
      <c r="A81" s="596" t="s">
        <v>249</v>
      </c>
      <c r="B81" s="596"/>
      <c r="C81" s="596"/>
      <c r="D81" s="596"/>
      <c r="E81" s="596"/>
      <c r="F81" s="596"/>
      <c r="G81" s="596"/>
      <c r="H81" s="596"/>
    </row>
    <row r="82" spans="1:8" hidden="1" x14ac:dyDescent="0.3">
      <c r="A82" s="594" t="s">
        <v>250</v>
      </c>
      <c r="B82" s="594"/>
      <c r="C82" s="594"/>
      <c r="D82" s="594"/>
      <c r="E82" s="594"/>
      <c r="F82" s="595" t="s">
        <v>244</v>
      </c>
      <c r="G82" s="595"/>
      <c r="H82" s="154"/>
    </row>
    <row r="83" spans="1:8" ht="43.5" hidden="1" customHeight="1" x14ac:dyDescent="0.3">
      <c r="A83" s="596" t="s">
        <v>251</v>
      </c>
      <c r="B83" s="596"/>
      <c r="C83" s="596"/>
      <c r="D83" s="596"/>
      <c r="E83" s="596"/>
      <c r="F83" s="596"/>
      <c r="G83" s="596"/>
      <c r="H83" s="596"/>
    </row>
    <row r="84" spans="1:8" hidden="1" x14ac:dyDescent="0.3"/>
    <row r="85" spans="1:8" hidden="1" x14ac:dyDescent="0.3"/>
    <row r="86" spans="1:8" hidden="1" x14ac:dyDescent="0.3"/>
    <row r="87" spans="1:8" hidden="1" x14ac:dyDescent="0.3"/>
    <row r="88" spans="1:8" hidden="1" x14ac:dyDescent="0.3"/>
    <row r="89" spans="1:8" hidden="1" x14ac:dyDescent="0.3"/>
    <row r="90" spans="1:8" hidden="1" x14ac:dyDescent="0.3"/>
    <row r="91" spans="1:8" hidden="1" x14ac:dyDescent="0.3"/>
    <row r="92" spans="1:8" hidden="1" x14ac:dyDescent="0.3"/>
    <row r="93" spans="1:8" hidden="1" x14ac:dyDescent="0.3"/>
    <row r="94" spans="1:8" hidden="1" x14ac:dyDescent="0.3"/>
    <row r="95" spans="1:8" hidden="1" x14ac:dyDescent="0.3"/>
    <row r="96" spans="1:8"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sheetData>
  <sheetProtection algorithmName="SHA-512" hashValue="Z1e7PRKZBuyNU9JckwjRZuM+seFx9OEb2lojd72PzeuYlreLYi8QDUMLzg4yA3rdm2U7l9gVY4D99nyRwjQfWg==" saltValue="n/VI7C3Xx94C/OojmC+zKw==" spinCount="100000" sheet="1" objects="1" scenarios="1"/>
  <mergeCells count="97">
    <mergeCell ref="A9:A10"/>
    <mergeCell ref="J5:J6"/>
    <mergeCell ref="K5:K6"/>
    <mergeCell ref="L5:L6"/>
    <mergeCell ref="M5:M6"/>
    <mergeCell ref="S5:S6"/>
    <mergeCell ref="H5:H6"/>
    <mergeCell ref="I5:I6"/>
    <mergeCell ref="B14:D14"/>
    <mergeCell ref="E14:G14"/>
    <mergeCell ref="A12:G12"/>
    <mergeCell ref="B13:D13"/>
    <mergeCell ref="E13:G13"/>
    <mergeCell ref="A5:A6"/>
    <mergeCell ref="B5:B6"/>
    <mergeCell ref="C5:C6"/>
    <mergeCell ref="D5:D6"/>
    <mergeCell ref="E5:E6"/>
    <mergeCell ref="F5:F6"/>
    <mergeCell ref="G5:G6"/>
    <mergeCell ref="A7:A8"/>
    <mergeCell ref="B15:D15"/>
    <mergeCell ref="E15:G15"/>
    <mergeCell ref="B16:D16"/>
    <mergeCell ref="E16:G16"/>
    <mergeCell ref="B17:D17"/>
    <mergeCell ref="E17:G17"/>
    <mergeCell ref="A19:G19"/>
    <mergeCell ref="B20:F20"/>
    <mergeCell ref="B22:F22"/>
    <mergeCell ref="B23:F23"/>
    <mergeCell ref="B24:F24"/>
    <mergeCell ref="A26:G26"/>
    <mergeCell ref="B27:F27"/>
    <mergeCell ref="A29:G29"/>
    <mergeCell ref="B30:F30"/>
    <mergeCell ref="B31:F31"/>
    <mergeCell ref="A32:A35"/>
    <mergeCell ref="B32:C35"/>
    <mergeCell ref="D32:F32"/>
    <mergeCell ref="D33:F33"/>
    <mergeCell ref="D34:F34"/>
    <mergeCell ref="D35:F35"/>
    <mergeCell ref="A36:A38"/>
    <mergeCell ref="B36:C38"/>
    <mergeCell ref="D36:F36"/>
    <mergeCell ref="D37:F37"/>
    <mergeCell ref="D38:F38"/>
    <mergeCell ref="B39:F39"/>
    <mergeCell ref="B40:F40"/>
    <mergeCell ref="A42:G42"/>
    <mergeCell ref="B43:F43"/>
    <mergeCell ref="B44:F44"/>
    <mergeCell ref="A46:G46"/>
    <mergeCell ref="A47:A49"/>
    <mergeCell ref="B47:G49"/>
    <mergeCell ref="B50:E50"/>
    <mergeCell ref="F50:G50"/>
    <mergeCell ref="B51:F51"/>
    <mergeCell ref="B52:F52"/>
    <mergeCell ref="B53:F53"/>
    <mergeCell ref="B54:F54"/>
    <mergeCell ref="B55:F55"/>
    <mergeCell ref="A59:H59"/>
    <mergeCell ref="N59:O59"/>
    <mergeCell ref="A60:B60"/>
    <mergeCell ref="E60:H60"/>
    <mergeCell ref="N60:O60"/>
    <mergeCell ref="A61:B61"/>
    <mergeCell ref="E61:H61"/>
    <mergeCell ref="N61:O61"/>
    <mergeCell ref="A62:B62"/>
    <mergeCell ref="E62:H62"/>
    <mergeCell ref="N62:O62"/>
    <mergeCell ref="A63:B63"/>
    <mergeCell ref="E63:H63"/>
    <mergeCell ref="N63:O63"/>
    <mergeCell ref="A64:B64"/>
    <mergeCell ref="E64:H64"/>
    <mergeCell ref="N64:O64"/>
    <mergeCell ref="A66:C67"/>
    <mergeCell ref="A68:C69"/>
    <mergeCell ref="A70:C71"/>
    <mergeCell ref="A72:C73"/>
    <mergeCell ref="A75:H75"/>
    <mergeCell ref="A82:E82"/>
    <mergeCell ref="F82:G82"/>
    <mergeCell ref="A83:H83"/>
    <mergeCell ref="A76:E76"/>
    <mergeCell ref="F76:G76"/>
    <mergeCell ref="A77:H77"/>
    <mergeCell ref="A78:E78"/>
    <mergeCell ref="F78:G78"/>
    <mergeCell ref="A79:H79"/>
    <mergeCell ref="A80:E80"/>
    <mergeCell ref="F80:G80"/>
    <mergeCell ref="A81:H81"/>
  </mergeCells>
  <dataValidations disablePrompts="1" count="3">
    <dataValidation type="list" allowBlank="1" showInputMessage="1" showErrorMessage="1" sqref="F50" xr:uid="{00000000-0002-0000-0200-000000000000}">
      <formula1>"LUCRO REAL,LUCRO PRESUMIDO,SIMPLES NACIONAL,OUTRO"</formula1>
      <formula2>0</formula2>
    </dataValidation>
    <dataValidation type="list" allowBlank="1" showInputMessage="1" showErrorMessage="1" sqref="I60:M64" xr:uid="{00000000-0002-0000-0200-000001000000}">
      <formula1>"NÃO,SIM"</formula1>
      <formula2>0</formula2>
    </dataValidation>
    <dataValidation type="list" allowBlank="1" showInputMessage="1" showErrorMessage="1" sqref="D67 D73 D71 D69" xr:uid="{00000000-0002-0000-0200-000002000000}">
      <formula1>"INICIAL,1º IPCA,2º IPCA,3º IPCA,4º IPCA,5º IPCA"</formula1>
      <formula2>0</formula2>
    </dataValidation>
  </dataValidations>
  <hyperlinks>
    <hyperlink ref="E15" r:id="rId1" display="https://sintappimg.org.br/novosite/wp-content/uploads/2025/04/CCT-SINTAPPIMG-X-SINSERHT-MG-25_26.pdf" xr:uid="{CF316041-5370-411F-BF7B-0F090BB95332}"/>
    <hyperlink ref="E15:G15" r:id="rId2" display="CCT ASSINADA - LINK " xr:uid="{3ED99F75-4EB6-4E1A-9FBA-12E0016EE7CB}"/>
  </hyperlinks>
  <printOptions horizontalCentered="1" verticalCentered="1"/>
  <pageMargins left="0.51180555555555596" right="0.51180555555555596" top="0.78749999999999998" bottom="0.78749999999999998" header="0.511811023622047" footer="0.511811023622047"/>
  <pageSetup paperSize="9" scale="31" fitToHeight="2"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61"/>
  <sheetViews>
    <sheetView showGridLines="0" view="pageBreakPreview" zoomScale="50" zoomScaleNormal="100" zoomScaleSheetLayoutView="50" zoomScalePageLayoutView="140" workbookViewId="0">
      <selection activeCell="B11" sqref="B11"/>
    </sheetView>
  </sheetViews>
  <sheetFormatPr defaultColWidth="8.6640625" defaultRowHeight="14.4" x14ac:dyDescent="0.3"/>
  <cols>
    <col min="1" max="1" width="9" customWidth="1"/>
    <col min="2" max="2" width="55.5546875" customWidth="1"/>
    <col min="3" max="3" width="13.109375" customWidth="1"/>
    <col min="4" max="4" width="4.88671875" customWidth="1"/>
    <col min="5" max="5" width="41.6640625" customWidth="1"/>
    <col min="6" max="8" width="11" customWidth="1"/>
    <col min="9" max="257" width="9" customWidth="1"/>
    <col min="258" max="258" width="55.5546875" customWidth="1"/>
    <col min="259" max="259" width="13.109375" customWidth="1"/>
    <col min="260" max="260" width="9" customWidth="1"/>
    <col min="261" max="261" width="35.109375" customWidth="1"/>
    <col min="262" max="264" width="11" customWidth="1"/>
    <col min="265" max="513" width="9" customWidth="1"/>
    <col min="514" max="514" width="55.5546875" customWidth="1"/>
    <col min="515" max="515" width="13.109375" customWidth="1"/>
    <col min="516" max="516" width="9" customWidth="1"/>
    <col min="517" max="517" width="35.109375" customWidth="1"/>
    <col min="518" max="520" width="11" customWidth="1"/>
    <col min="521" max="769" width="9" customWidth="1"/>
    <col min="770" max="770" width="55.5546875" customWidth="1"/>
    <col min="771" max="771" width="13.109375" customWidth="1"/>
    <col min="772" max="772" width="9" customWidth="1"/>
    <col min="773" max="773" width="35.109375" customWidth="1"/>
    <col min="774" max="776" width="11" customWidth="1"/>
    <col min="777" max="1025" width="9" customWidth="1"/>
  </cols>
  <sheetData>
    <row r="1" spans="1:4" x14ac:dyDescent="0.3">
      <c r="A1" s="155"/>
      <c r="B1" s="95" t="str">
        <f>INSTRUÇÕES!B1</f>
        <v>Tribunal Regional Federal da 6ª Região</v>
      </c>
      <c r="C1" s="156"/>
    </row>
    <row r="2" spans="1:4" x14ac:dyDescent="0.3">
      <c r="A2" s="157"/>
      <c r="B2" s="97" t="str">
        <f>INSTRUÇÕES!B2</f>
        <v>Seção Judiciária de Minas Gerais</v>
      </c>
      <c r="C2" s="158"/>
    </row>
    <row r="3" spans="1:4" x14ac:dyDescent="0.3">
      <c r="A3" s="159"/>
      <c r="B3" s="97" t="str">
        <f>INSTRUÇÕES!B3</f>
        <v>Subseção Judiciária de Passos</v>
      </c>
      <c r="C3" s="158"/>
    </row>
    <row r="4" spans="1:4" ht="21.75" customHeight="1" x14ac:dyDescent="0.3">
      <c r="A4" s="628" t="s">
        <v>252</v>
      </c>
      <c r="B4" s="628"/>
      <c r="C4" s="628"/>
    </row>
    <row r="5" spans="1:4" ht="21.75" customHeight="1" x14ac:dyDescent="0.3">
      <c r="A5" s="628" t="s">
        <v>507</v>
      </c>
      <c r="B5" s="628"/>
      <c r="C5" s="628"/>
    </row>
    <row r="6" spans="1:4" ht="26.25" customHeight="1" x14ac:dyDescent="0.3">
      <c r="A6" s="629" t="s">
        <v>253</v>
      </c>
      <c r="B6" s="629"/>
      <c r="C6" s="629"/>
    </row>
    <row r="7" spans="1:4" x14ac:dyDescent="0.3">
      <c r="A7" s="630" t="s">
        <v>254</v>
      </c>
      <c r="B7" s="630"/>
      <c r="C7" s="630"/>
    </row>
    <row r="8" spans="1:4" ht="15.75" customHeight="1" x14ac:dyDescent="0.3">
      <c r="A8" s="160" t="s">
        <v>59</v>
      </c>
      <c r="B8" s="161" t="s">
        <v>255</v>
      </c>
      <c r="C8" s="162" t="s">
        <v>256</v>
      </c>
    </row>
    <row r="9" spans="1:4" ht="15.75" customHeight="1" x14ac:dyDescent="0.3">
      <c r="A9" s="163" t="s">
        <v>257</v>
      </c>
      <c r="B9" s="623" t="s">
        <v>258</v>
      </c>
      <c r="C9" s="623"/>
    </row>
    <row r="10" spans="1:4" ht="15.75" customHeight="1" x14ac:dyDescent="0.3">
      <c r="A10" s="164">
        <v>1</v>
      </c>
      <c r="B10" s="165" t="s">
        <v>259</v>
      </c>
      <c r="C10" s="166">
        <v>0.2</v>
      </c>
    </row>
    <row r="11" spans="1:4" ht="15.75" customHeight="1" x14ac:dyDescent="0.3">
      <c r="A11" s="164">
        <v>2</v>
      </c>
      <c r="B11" s="165" t="s">
        <v>260</v>
      </c>
      <c r="C11" s="166">
        <v>1.4999999999999999E-2</v>
      </c>
    </row>
    <row r="12" spans="1:4" ht="15.75" customHeight="1" x14ac:dyDescent="0.3">
      <c r="A12" s="164">
        <v>3</v>
      </c>
      <c r="B12" s="165" t="s">
        <v>261</v>
      </c>
      <c r="C12" s="166">
        <v>0.01</v>
      </c>
    </row>
    <row r="13" spans="1:4" ht="15.75" customHeight="1" x14ac:dyDescent="0.3">
      <c r="A13" s="164">
        <v>4</v>
      </c>
      <c r="B13" s="165" t="s">
        <v>262</v>
      </c>
      <c r="C13" s="166">
        <v>2E-3</v>
      </c>
    </row>
    <row r="14" spans="1:4" ht="15.75" customHeight="1" x14ac:dyDescent="0.3">
      <c r="A14" s="164">
        <v>5</v>
      </c>
      <c r="B14" s="165" t="s">
        <v>263</v>
      </c>
      <c r="C14" s="166">
        <v>2.5000000000000001E-2</v>
      </c>
    </row>
    <row r="15" spans="1:4" ht="15.75" customHeight="1" x14ac:dyDescent="0.3">
      <c r="A15" s="164">
        <v>6</v>
      </c>
      <c r="B15" s="165" t="s">
        <v>264</v>
      </c>
      <c r="C15" s="166">
        <v>0.08</v>
      </c>
    </row>
    <row r="16" spans="1:4" ht="15.75" customHeight="1" x14ac:dyDescent="0.3">
      <c r="A16" s="164">
        <v>7</v>
      </c>
      <c r="B16" s="165" t="s">
        <v>265</v>
      </c>
      <c r="C16" s="167">
        <f>Dados!G22</f>
        <v>0.06</v>
      </c>
      <c r="D16" s="168" t="s">
        <v>266</v>
      </c>
    </row>
    <row r="17" spans="1:3" ht="15.75" customHeight="1" x14ac:dyDescent="0.3">
      <c r="A17" s="164">
        <v>8</v>
      </c>
      <c r="B17" s="165" t="s">
        <v>267</v>
      </c>
      <c r="C17" s="166">
        <v>6.0000000000000001E-3</v>
      </c>
    </row>
    <row r="18" spans="1:3" ht="15.75" customHeight="1" x14ac:dyDescent="0.3">
      <c r="A18" s="626" t="s">
        <v>268</v>
      </c>
      <c r="B18" s="626"/>
      <c r="C18" s="169">
        <f>SUM(C10:C17)</f>
        <v>0.39800000000000008</v>
      </c>
    </row>
    <row r="19" spans="1:3" ht="15.75" customHeight="1" x14ac:dyDescent="0.3">
      <c r="A19" s="627" t="s">
        <v>269</v>
      </c>
      <c r="B19" s="627"/>
      <c r="C19" s="627"/>
    </row>
    <row r="20" spans="1:3" ht="15.75" customHeight="1" x14ac:dyDescent="0.3">
      <c r="A20" s="627" t="s">
        <v>270</v>
      </c>
      <c r="B20" s="627"/>
      <c r="C20" s="627"/>
    </row>
    <row r="21" spans="1:3" ht="15.75" customHeight="1" x14ac:dyDescent="0.3">
      <c r="A21" s="164">
        <v>9</v>
      </c>
      <c r="B21" s="170" t="s">
        <v>271</v>
      </c>
      <c r="C21" s="171">
        <f>ROUND((100%/11),4)</f>
        <v>9.0899999999999995E-2</v>
      </c>
    </row>
    <row r="22" spans="1:3" ht="15.75" customHeight="1" x14ac:dyDescent="0.3">
      <c r="A22" s="164">
        <v>10</v>
      </c>
      <c r="B22" s="170" t="s">
        <v>272</v>
      </c>
      <c r="C22" s="171">
        <f>ROUND((C21/3),4)</f>
        <v>3.0300000000000001E-2</v>
      </c>
    </row>
    <row r="23" spans="1:3" ht="15.75" customHeight="1" x14ac:dyDescent="0.3">
      <c r="A23" s="624" t="s">
        <v>273</v>
      </c>
      <c r="B23" s="624"/>
      <c r="C23" s="172">
        <f>SUM(C21:C22)</f>
        <v>0.1212</v>
      </c>
    </row>
    <row r="24" spans="1:3" ht="15.75" customHeight="1" x14ac:dyDescent="0.3">
      <c r="A24" s="625" t="s">
        <v>274</v>
      </c>
      <c r="B24" s="625"/>
      <c r="C24" s="167">
        <f>(C18*C23)</f>
        <v>4.8237600000000012E-2</v>
      </c>
    </row>
    <row r="25" spans="1:3" ht="15.75" customHeight="1" x14ac:dyDescent="0.3">
      <c r="A25" s="624" t="s">
        <v>275</v>
      </c>
      <c r="B25" s="624"/>
      <c r="C25" s="172">
        <f>SUM(C23:C24)</f>
        <v>0.16943760000000002</v>
      </c>
    </row>
    <row r="26" spans="1:3" ht="15.75" customHeight="1" x14ac:dyDescent="0.3">
      <c r="A26" s="163" t="s">
        <v>276</v>
      </c>
      <c r="B26" s="623" t="s">
        <v>277</v>
      </c>
      <c r="C26" s="623"/>
    </row>
    <row r="27" spans="1:3" ht="15.75" customHeight="1" x14ac:dyDescent="0.3">
      <c r="A27" s="164">
        <v>11</v>
      </c>
      <c r="B27" s="165" t="s">
        <v>278</v>
      </c>
      <c r="C27" s="166">
        <f>ROUND((0.0144*0.1*0.4509*6/12),4)</f>
        <v>2.9999999999999997E-4</v>
      </c>
    </row>
    <row r="28" spans="1:3" ht="15.75" customHeight="1" x14ac:dyDescent="0.3">
      <c r="A28" s="625" t="s">
        <v>279</v>
      </c>
      <c r="B28" s="625"/>
      <c r="C28" s="173">
        <f>C18*C27</f>
        <v>1.1940000000000002E-4</v>
      </c>
    </row>
    <row r="29" spans="1:3" ht="15.75" customHeight="1" x14ac:dyDescent="0.3">
      <c r="A29" s="624" t="s">
        <v>280</v>
      </c>
      <c r="B29" s="624"/>
      <c r="C29" s="174">
        <f>SUM(C27:C28)</f>
        <v>4.194E-4</v>
      </c>
    </row>
    <row r="30" spans="1:3" ht="15.75" customHeight="1" x14ac:dyDescent="0.3">
      <c r="A30" s="163" t="s">
        <v>281</v>
      </c>
      <c r="B30" s="623" t="s">
        <v>282</v>
      </c>
      <c r="C30" s="623"/>
    </row>
    <row r="31" spans="1:3" ht="15.75" customHeight="1" x14ac:dyDescent="0.3">
      <c r="A31" s="164">
        <v>12</v>
      </c>
      <c r="B31" s="165" t="s">
        <v>283</v>
      </c>
      <c r="C31" s="166">
        <f>ROUND((100%/12)*5%,4)</f>
        <v>4.1999999999999997E-3</v>
      </c>
    </row>
    <row r="32" spans="1:3" ht="15.75" customHeight="1" x14ac:dyDescent="0.3">
      <c r="A32" s="615" t="s">
        <v>284</v>
      </c>
      <c r="B32" s="615"/>
      <c r="C32" s="167">
        <f>C15*C31</f>
        <v>3.3599999999999998E-4</v>
      </c>
    </row>
    <row r="33" spans="1:8" ht="15.75" customHeight="1" x14ac:dyDescent="0.3">
      <c r="A33" s="164">
        <v>13</v>
      </c>
      <c r="B33" s="165" t="s">
        <v>285</v>
      </c>
      <c r="C33" s="171">
        <f>ROUND((C15*0.4*0.9*(1+1/11+1/11+(1/3*1/11))),5)</f>
        <v>3.4909999999999997E-2</v>
      </c>
    </row>
    <row r="34" spans="1:8" ht="15.75" customHeight="1" x14ac:dyDescent="0.3">
      <c r="A34" s="164">
        <v>14</v>
      </c>
      <c r="B34" s="165" t="s">
        <v>286</v>
      </c>
      <c r="C34" s="166">
        <v>4.0000000000000002E-4</v>
      </c>
    </row>
    <row r="35" spans="1:8" ht="15.75" customHeight="1" x14ac:dyDescent="0.3">
      <c r="A35" s="615" t="s">
        <v>287</v>
      </c>
      <c r="B35" s="615"/>
      <c r="C35" s="167">
        <f>ROUND((C34*C18),4)</f>
        <v>2.0000000000000001E-4</v>
      </c>
    </row>
    <row r="36" spans="1:8" ht="15.75" customHeight="1" x14ac:dyDescent="0.3">
      <c r="A36" s="164">
        <v>15</v>
      </c>
      <c r="B36" s="165" t="s">
        <v>288</v>
      </c>
      <c r="C36" s="167">
        <f>(0.4*C15/100)</f>
        <v>3.2000000000000003E-4</v>
      </c>
    </row>
    <row r="37" spans="1:8" ht="15.75" customHeight="1" x14ac:dyDescent="0.3">
      <c r="A37" s="618" t="s">
        <v>289</v>
      </c>
      <c r="B37" s="618"/>
      <c r="C37" s="172">
        <f>SUM(C31:C36)</f>
        <v>4.0365999999999992E-2</v>
      </c>
    </row>
    <row r="38" spans="1:8" ht="15.75" customHeight="1" x14ac:dyDescent="0.3">
      <c r="A38" s="163" t="s">
        <v>290</v>
      </c>
      <c r="B38" s="623" t="s">
        <v>291</v>
      </c>
      <c r="C38" s="623"/>
    </row>
    <row r="39" spans="1:8" ht="15.75" customHeight="1" x14ac:dyDescent="0.3">
      <c r="A39" s="164">
        <v>16</v>
      </c>
      <c r="B39" s="165" t="s">
        <v>292</v>
      </c>
      <c r="C39" s="171">
        <f>ROUND((100%/11),4)</f>
        <v>9.0899999999999995E-2</v>
      </c>
    </row>
    <row r="40" spans="1:8" ht="15.75" customHeight="1" x14ac:dyDescent="0.3">
      <c r="A40" s="164">
        <v>17</v>
      </c>
      <c r="B40" s="165" t="s">
        <v>293</v>
      </c>
      <c r="C40" s="166">
        <v>1.66E-2</v>
      </c>
    </row>
    <row r="41" spans="1:8" ht="15.75" customHeight="1" x14ac:dyDescent="0.3">
      <c r="A41" s="164">
        <v>18</v>
      </c>
      <c r="B41" s="165" t="s">
        <v>294</v>
      </c>
      <c r="C41" s="166">
        <f>ROUND((5/30/12)*0.022,4)</f>
        <v>2.9999999999999997E-4</v>
      </c>
    </row>
    <row r="42" spans="1:8" ht="15.75" customHeight="1" x14ac:dyDescent="0.3">
      <c r="A42" s="164">
        <v>19</v>
      </c>
      <c r="B42" s="165" t="s">
        <v>295</v>
      </c>
      <c r="C42" s="166">
        <f>ROUND((1/30/12),4)</f>
        <v>2.8E-3</v>
      </c>
    </row>
    <row r="43" spans="1:8" ht="15.75" customHeight="1" x14ac:dyDescent="0.3">
      <c r="A43" s="164">
        <v>20</v>
      </c>
      <c r="B43" s="165" t="s">
        <v>296</v>
      </c>
      <c r="C43" s="166">
        <f>ROUND((15/30/12*0.0078),4)</f>
        <v>2.9999999999999997E-4</v>
      </c>
    </row>
    <row r="44" spans="1:8" ht="15.75" customHeight="1" x14ac:dyDescent="0.3">
      <c r="A44" s="618" t="s">
        <v>273</v>
      </c>
      <c r="B44" s="618"/>
      <c r="C44" s="172">
        <f>SUM(C39:C43)</f>
        <v>0.11089999999999998</v>
      </c>
      <c r="E44" s="620" t="s">
        <v>297</v>
      </c>
      <c r="F44" s="620"/>
      <c r="G44" s="620"/>
      <c r="H44" s="620"/>
    </row>
    <row r="45" spans="1:8" ht="15.75" customHeight="1" x14ac:dyDescent="0.3">
      <c r="A45" s="615" t="s">
        <v>298</v>
      </c>
      <c r="B45" s="615"/>
      <c r="C45" s="167">
        <f>C18*C44</f>
        <v>4.4138200000000002E-2</v>
      </c>
      <c r="E45" s="620"/>
      <c r="F45" s="620"/>
      <c r="G45" s="620"/>
      <c r="H45" s="620"/>
    </row>
    <row r="46" spans="1:8" ht="15" customHeight="1" x14ac:dyDescent="0.3">
      <c r="A46" s="618" t="s">
        <v>299</v>
      </c>
      <c r="B46" s="618"/>
      <c r="C46" s="172">
        <f>SUM(C44:C45)</f>
        <v>0.15503819999999999</v>
      </c>
      <c r="E46" s="621" t="s">
        <v>300</v>
      </c>
      <c r="F46" s="622" t="s">
        <v>301</v>
      </c>
      <c r="G46" s="622"/>
      <c r="H46" s="622"/>
    </row>
    <row r="47" spans="1:8" ht="15.75" customHeight="1" x14ac:dyDescent="0.3">
      <c r="A47" s="175" t="s">
        <v>302</v>
      </c>
      <c r="B47" s="176" t="s">
        <v>303</v>
      </c>
      <c r="C47" s="172" t="s">
        <v>171</v>
      </c>
      <c r="E47" s="621"/>
      <c r="F47" s="622" t="s">
        <v>304</v>
      </c>
      <c r="G47" s="622"/>
      <c r="H47" s="622"/>
    </row>
    <row r="48" spans="1:8" ht="15.75" customHeight="1" x14ac:dyDescent="0.3">
      <c r="A48" s="164">
        <v>21</v>
      </c>
      <c r="B48" s="165" t="s">
        <v>305</v>
      </c>
      <c r="C48" s="166">
        <f>1*1%/12</f>
        <v>8.3333333333333339E-4</v>
      </c>
      <c r="E48" s="177" t="s">
        <v>306</v>
      </c>
      <c r="F48" s="178" t="s">
        <v>307</v>
      </c>
      <c r="G48" s="178" t="s">
        <v>308</v>
      </c>
      <c r="H48" s="179" t="s">
        <v>309</v>
      </c>
    </row>
    <row r="49" spans="1:8" ht="15.75" customHeight="1" x14ac:dyDescent="0.3">
      <c r="A49" s="618" t="s">
        <v>310</v>
      </c>
      <c r="B49" s="618"/>
      <c r="C49" s="172">
        <f>SUM(C47:C48)</f>
        <v>8.3333333333333339E-4</v>
      </c>
      <c r="E49" s="177" t="s">
        <v>311</v>
      </c>
      <c r="F49" s="180">
        <v>0.34300000000000003</v>
      </c>
      <c r="G49" s="180">
        <v>0.39800000000000002</v>
      </c>
      <c r="H49" s="181">
        <f>$C$18</f>
        <v>0.39800000000000008</v>
      </c>
    </row>
    <row r="50" spans="1:8" ht="15.75" customHeight="1" x14ac:dyDescent="0.3">
      <c r="A50" s="619" t="s">
        <v>312</v>
      </c>
      <c r="B50" s="619"/>
      <c r="C50" s="619"/>
      <c r="E50" s="177" t="s">
        <v>313</v>
      </c>
      <c r="F50" s="180">
        <v>5.0000000000000001E-3</v>
      </c>
      <c r="G50" s="180">
        <v>0.06</v>
      </c>
      <c r="H50" s="181">
        <f>$C$16</f>
        <v>0.06</v>
      </c>
    </row>
    <row r="51" spans="1:8" ht="15.75" customHeight="1" x14ac:dyDescent="0.3">
      <c r="A51" s="615" t="s">
        <v>258</v>
      </c>
      <c r="B51" s="615"/>
      <c r="C51" s="167">
        <f>ROUND(C18,4)</f>
        <v>0.39800000000000002</v>
      </c>
      <c r="E51" s="182" t="s">
        <v>314</v>
      </c>
      <c r="F51" s="183">
        <f>$C$21</f>
        <v>9.0899999999999995E-2</v>
      </c>
      <c r="G51" s="183">
        <f>$F$51</f>
        <v>9.0899999999999995E-2</v>
      </c>
      <c r="H51" s="184">
        <f>$F$51</f>
        <v>9.0899999999999995E-2</v>
      </c>
    </row>
    <row r="52" spans="1:8" ht="15.75" customHeight="1" x14ac:dyDescent="0.3">
      <c r="A52" s="615" t="s">
        <v>315</v>
      </c>
      <c r="B52" s="615"/>
      <c r="C52" s="167">
        <f>ROUND(C25,4)</f>
        <v>0.1694</v>
      </c>
      <c r="E52" s="182" t="s">
        <v>316</v>
      </c>
      <c r="F52" s="183">
        <f>$C$39</f>
        <v>9.0899999999999995E-2</v>
      </c>
      <c r="G52" s="183">
        <f>$F$52</f>
        <v>9.0899999999999995E-2</v>
      </c>
      <c r="H52" s="184">
        <f>$F$52</f>
        <v>9.0899999999999995E-2</v>
      </c>
    </row>
    <row r="53" spans="1:8" ht="15.75" customHeight="1" x14ac:dyDescent="0.3">
      <c r="A53" s="615" t="s">
        <v>277</v>
      </c>
      <c r="B53" s="615"/>
      <c r="C53" s="167">
        <f>ROUND(C29,4)</f>
        <v>4.0000000000000002E-4</v>
      </c>
      <c r="E53" s="182" t="s">
        <v>317</v>
      </c>
      <c r="F53" s="183">
        <f>$C$22</f>
        <v>3.0300000000000001E-2</v>
      </c>
      <c r="G53" s="183">
        <f>$F$53</f>
        <v>3.0300000000000001E-2</v>
      </c>
      <c r="H53" s="184">
        <f>$F$53</f>
        <v>3.0300000000000001E-2</v>
      </c>
    </row>
    <row r="54" spans="1:8" ht="15.75" customHeight="1" x14ac:dyDescent="0.3">
      <c r="A54" s="615" t="s">
        <v>318</v>
      </c>
      <c r="B54" s="615"/>
      <c r="C54" s="167">
        <f>ROUND(C37,4)</f>
        <v>4.0399999999999998E-2</v>
      </c>
      <c r="E54" s="185" t="s">
        <v>273</v>
      </c>
      <c r="F54" s="186">
        <f>SUM(F51:F53)</f>
        <v>0.21209999999999998</v>
      </c>
      <c r="G54" s="186">
        <f>SUM(G51:G53)</f>
        <v>0.21209999999999998</v>
      </c>
      <c r="H54" s="187">
        <f>ROUND((SUM(H51:H53)),4)</f>
        <v>0.21210000000000001</v>
      </c>
    </row>
    <row r="55" spans="1:8" ht="15.75" customHeight="1" x14ac:dyDescent="0.3">
      <c r="A55" s="615" t="s">
        <v>319</v>
      </c>
      <c r="B55" s="615"/>
      <c r="C55" s="167">
        <f>ROUND(C46,4)</f>
        <v>0.155</v>
      </c>
      <c r="E55" s="182" t="s">
        <v>320</v>
      </c>
      <c r="F55" s="183">
        <f>F54*F49</f>
        <v>7.2750300000000004E-2</v>
      </c>
      <c r="G55" s="183">
        <f>G54*G49</f>
        <v>8.4415799999999999E-2</v>
      </c>
      <c r="H55" s="184">
        <f>ROUND((H54*H49),4)</f>
        <v>8.4400000000000003E-2</v>
      </c>
    </row>
    <row r="56" spans="1:8" ht="15.75" customHeight="1" x14ac:dyDescent="0.3">
      <c r="A56" s="615" t="s">
        <v>305</v>
      </c>
      <c r="B56" s="615"/>
      <c r="C56" s="167">
        <f>ROUND(C49,4)</f>
        <v>8.0000000000000004E-4</v>
      </c>
      <c r="E56" s="182" t="s">
        <v>321</v>
      </c>
      <c r="F56" s="183">
        <v>3.4909999999999997E-2</v>
      </c>
      <c r="G56" s="183">
        <v>3.4909999999999997E-2</v>
      </c>
      <c r="H56" s="188">
        <f>C33</f>
        <v>3.4909999999999997E-2</v>
      </c>
    </row>
    <row r="57" spans="1:8" ht="15.75" customHeight="1" x14ac:dyDescent="0.3">
      <c r="A57" s="616" t="s">
        <v>322</v>
      </c>
      <c r="B57" s="616"/>
      <c r="C57" s="169">
        <f>SUM(C51:C56)</f>
        <v>0.76400000000000001</v>
      </c>
      <c r="E57" s="189" t="s">
        <v>323</v>
      </c>
      <c r="F57" s="190">
        <f>SUM(F54:F56)</f>
        <v>0.3197603</v>
      </c>
      <c r="G57" s="190">
        <f>SUM(G54:G56)</f>
        <v>0.33142579999999999</v>
      </c>
      <c r="H57" s="191">
        <f>ROUND((SUM(H54:H56)),4)</f>
        <v>0.33139999999999997</v>
      </c>
    </row>
    <row r="58" spans="1:8" ht="24" x14ac:dyDescent="0.3">
      <c r="A58" s="192" t="s">
        <v>50</v>
      </c>
      <c r="B58" s="193"/>
      <c r="C58" s="194"/>
      <c r="E58" s="182" t="s">
        <v>324</v>
      </c>
      <c r="F58" s="183" t="s">
        <v>171</v>
      </c>
      <c r="G58" s="183" t="s">
        <v>171</v>
      </c>
      <c r="H58" s="184" t="s">
        <v>171</v>
      </c>
    </row>
    <row r="59" spans="1:8" ht="54.75" customHeight="1" x14ac:dyDescent="0.3">
      <c r="A59" s="617" t="s">
        <v>325</v>
      </c>
      <c r="B59" s="617"/>
      <c r="C59" s="617"/>
      <c r="E59" s="195" t="s">
        <v>326</v>
      </c>
      <c r="F59" s="196">
        <f>F57</f>
        <v>0.3197603</v>
      </c>
      <c r="G59" s="196">
        <f>G57</f>
        <v>0.33142579999999999</v>
      </c>
      <c r="H59" s="197">
        <f>ROUND((H57),4)</f>
        <v>0.33139999999999997</v>
      </c>
    </row>
    <row r="61" spans="1:8" ht="12.75" customHeight="1" x14ac:dyDescent="0.3"/>
  </sheetData>
  <sheetProtection algorithmName="SHA-512" hashValue="XDA2AuLw+t6XftKzddyhnzWPLLU70peyMTv5uoKXgWsIIfS6UUW5P0lBR2MKj/uyBOt6zb4om/M3U3OpzWrdOQ==" saltValue="DHaNhVuCnBSk6GAReMvsRg==" spinCount="100000" sheet="1" objects="1" scenarios="1"/>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rintOptions horizontalCentered="1" verticalCentered="1"/>
  <pageMargins left="0.51180555555555596" right="0.51180555555555596" top="0.78749999999999998" bottom="0.78749999999999998" header="0.511811023622047" footer="0.511811023622047"/>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V61"/>
  <sheetViews>
    <sheetView showGridLines="0" view="pageBreakPreview" topLeftCell="C45" zoomScale="50" zoomScaleNormal="100" zoomScaleSheetLayoutView="50" zoomScalePageLayoutView="140" workbookViewId="0">
      <selection activeCell="J12" sqref="J12"/>
    </sheetView>
  </sheetViews>
  <sheetFormatPr defaultColWidth="8.6640625" defaultRowHeight="14.4" x14ac:dyDescent="0.3"/>
  <cols>
    <col min="1" max="1" width="5" style="63" customWidth="1"/>
    <col min="2" max="2" width="69" style="68" customWidth="1"/>
    <col min="3" max="3" width="10.44140625" style="68" customWidth="1"/>
    <col min="4" max="7" width="18.44140625" style="68" customWidth="1"/>
    <col min="8" max="8" width="23.6640625" customWidth="1"/>
    <col min="9" max="9" width="4.33203125" customWidth="1"/>
    <col min="10" max="10" width="11.44140625" customWidth="1"/>
    <col min="11" max="11" width="12.44140625" style="68" customWidth="1"/>
    <col min="12" max="12" width="8.5546875" hidden="1" customWidth="1"/>
    <col min="13" max="13" width="9" customWidth="1"/>
    <col min="14" max="14" width="26.109375" hidden="1" customWidth="1"/>
    <col min="15" max="19" width="11.5546875" hidden="1" customWidth="1"/>
    <col min="20" max="256" width="9" customWidth="1"/>
    <col min="257" max="257" width="8.33203125" customWidth="1"/>
    <col min="258" max="258" width="44.5546875" customWidth="1"/>
    <col min="259" max="259" width="7.44140625" customWidth="1"/>
    <col min="260" max="260" width="13" customWidth="1"/>
    <col min="261" max="261" width="11.6640625" customWidth="1"/>
    <col min="262" max="262" width="10.5546875" customWidth="1"/>
    <col min="263" max="263" width="14.44140625" customWidth="1"/>
    <col min="264" max="264" width="35.44140625" customWidth="1"/>
    <col min="265" max="265" width="14" customWidth="1"/>
    <col min="266" max="266" width="11.6640625" customWidth="1"/>
    <col min="267" max="267" width="13.5546875" customWidth="1"/>
    <col min="268" max="512" width="9" customWidth="1"/>
    <col min="513" max="513" width="8.33203125" customWidth="1"/>
    <col min="514" max="514" width="44.5546875" customWidth="1"/>
    <col min="515" max="515" width="7.44140625" customWidth="1"/>
    <col min="516" max="516" width="13" customWidth="1"/>
    <col min="517" max="517" width="11.6640625" customWidth="1"/>
    <col min="518" max="518" width="10.5546875" customWidth="1"/>
    <col min="519" max="519" width="14.44140625" customWidth="1"/>
    <col min="520" max="520" width="35.44140625" customWidth="1"/>
    <col min="521" max="521" width="14" customWidth="1"/>
    <col min="522" max="522" width="11.6640625" customWidth="1"/>
    <col min="523" max="523" width="13.5546875" customWidth="1"/>
    <col min="524" max="768" width="9" customWidth="1"/>
    <col min="769" max="769" width="8.33203125" customWidth="1"/>
    <col min="770" max="770" width="44.5546875" customWidth="1"/>
    <col min="771" max="771" width="7.44140625" customWidth="1"/>
    <col min="772" max="772" width="13" customWidth="1"/>
    <col min="773" max="773" width="11.6640625" customWidth="1"/>
    <col min="774" max="774" width="10.5546875" customWidth="1"/>
    <col min="775" max="775" width="14.44140625" customWidth="1"/>
    <col min="776" max="776" width="35.44140625" customWidth="1"/>
    <col min="777" max="777" width="14" customWidth="1"/>
    <col min="778" max="778" width="11.6640625" customWidth="1"/>
    <col min="779" max="779" width="13.5546875" customWidth="1"/>
    <col min="780" max="1025" width="9" customWidth="1"/>
  </cols>
  <sheetData>
    <row r="1" spans="1:22" s="68" customFormat="1" ht="15" customHeight="1" x14ac:dyDescent="0.3">
      <c r="A1" s="198"/>
      <c r="B1" s="95" t="str">
        <f>INSTRUÇÕES!B1</f>
        <v>Tribunal Regional Federal da 6ª Região</v>
      </c>
      <c r="C1" s="199"/>
      <c r="D1" s="199"/>
      <c r="E1" s="199"/>
      <c r="F1" s="199"/>
      <c r="G1" s="199"/>
      <c r="H1" s="200"/>
    </row>
    <row r="2" spans="1:22" s="68" customFormat="1" ht="17.25" customHeight="1" x14ac:dyDescent="0.3">
      <c r="A2" s="201"/>
      <c r="B2" s="97" t="str">
        <f>INSTRUÇÕES!B2</f>
        <v>Seção Judiciária de Minas Gerais</v>
      </c>
      <c r="H2" s="202"/>
    </row>
    <row r="3" spans="1:22" s="68" customFormat="1" ht="16.5" customHeight="1" x14ac:dyDescent="0.3">
      <c r="A3" s="201"/>
      <c r="B3" s="97" t="str">
        <f>INSTRUÇÕES!B3</f>
        <v>Subseção Judiciária de Passos</v>
      </c>
      <c r="H3" s="202"/>
      <c r="N3" s="1"/>
      <c r="O3" s="1"/>
      <c r="P3" s="1"/>
      <c r="Q3" s="1"/>
      <c r="R3" s="1"/>
      <c r="S3" s="1"/>
      <c r="T3" s="1"/>
    </row>
    <row r="4" spans="1:22" s="68" customFormat="1" ht="27.75" customHeight="1" x14ac:dyDescent="0.3">
      <c r="A4" s="637" t="s">
        <v>662</v>
      </c>
      <c r="B4" s="637"/>
      <c r="C4" s="637"/>
      <c r="D4" s="637"/>
      <c r="E4" s="637"/>
      <c r="F4" s="637"/>
      <c r="G4" s="637"/>
      <c r="H4" s="637"/>
      <c r="I4" s="203"/>
      <c r="J4" s="203"/>
      <c r="U4" s="1"/>
      <c r="V4" s="1"/>
    </row>
    <row r="5" spans="1:22" s="1" customFormat="1" ht="24" customHeight="1" x14ac:dyDescent="0.3">
      <c r="A5" s="638" t="s">
        <v>327</v>
      </c>
      <c r="B5" s="638"/>
      <c r="C5" s="638"/>
      <c r="D5" s="638"/>
      <c r="E5" s="638"/>
      <c r="F5" s="638"/>
      <c r="G5" s="638"/>
      <c r="H5" s="638"/>
      <c r="K5" s="204"/>
      <c r="N5" s="564" t="s">
        <v>328</v>
      </c>
      <c r="O5" s="564"/>
      <c r="P5" s="564"/>
      <c r="Q5" s="564"/>
      <c r="R5" s="564"/>
      <c r="S5" s="564"/>
      <c r="T5" s="68"/>
      <c r="U5" s="68"/>
      <c r="V5" s="68"/>
    </row>
    <row r="6" spans="1:22" s="68" customFormat="1" ht="15" customHeight="1" x14ac:dyDescent="0.3">
      <c r="A6" s="633" t="s">
        <v>59</v>
      </c>
      <c r="B6" s="634" t="s">
        <v>329</v>
      </c>
      <c r="C6" s="634"/>
      <c r="D6" s="634"/>
      <c r="E6" s="205"/>
      <c r="F6" s="205"/>
      <c r="G6" s="205"/>
      <c r="H6" s="635" t="s">
        <v>330</v>
      </c>
      <c r="I6" s="67"/>
      <c r="J6" s="67"/>
      <c r="N6" s="564"/>
      <c r="O6" s="564"/>
      <c r="P6" s="564"/>
      <c r="Q6" s="564"/>
      <c r="R6" s="564"/>
      <c r="S6" s="564"/>
    </row>
    <row r="7" spans="1:22" s="68" customFormat="1" ht="13.5" customHeight="1" x14ac:dyDescent="0.3">
      <c r="A7" s="633"/>
      <c r="B7" s="634"/>
      <c r="C7" s="634"/>
      <c r="D7" s="634"/>
      <c r="E7" s="205"/>
      <c r="F7" s="205"/>
      <c r="G7" s="205"/>
      <c r="H7" s="635"/>
      <c r="I7" s="67"/>
      <c r="J7" s="636" t="s">
        <v>331</v>
      </c>
      <c r="K7" s="636"/>
      <c r="L7" s="636"/>
      <c r="N7" s="564"/>
      <c r="O7" s="564"/>
      <c r="P7" s="564"/>
      <c r="Q7" s="564"/>
      <c r="R7" s="564"/>
      <c r="S7" s="564"/>
    </row>
    <row r="8" spans="1:22" s="68" customFormat="1" ht="41.4" x14ac:dyDescent="0.3">
      <c r="A8" s="633"/>
      <c r="B8" s="205" t="s">
        <v>64</v>
      </c>
      <c r="C8" s="207" t="s">
        <v>65</v>
      </c>
      <c r="D8" s="207" t="s">
        <v>66</v>
      </c>
      <c r="E8" s="208" t="s">
        <v>333</v>
      </c>
      <c r="F8" s="209" t="s">
        <v>71</v>
      </c>
      <c r="G8" s="207" t="s">
        <v>332</v>
      </c>
      <c r="H8" s="635"/>
      <c r="I8" s="67"/>
      <c r="J8" s="208" t="s">
        <v>69</v>
      </c>
      <c r="K8" s="209" t="s">
        <v>68</v>
      </c>
      <c r="L8" s="208" t="s">
        <v>334</v>
      </c>
      <c r="N8" s="210" t="s">
        <v>335</v>
      </c>
      <c r="O8" s="21" t="s">
        <v>237</v>
      </c>
      <c r="P8" s="21" t="s">
        <v>238</v>
      </c>
      <c r="Q8" s="21" t="s">
        <v>239</v>
      </c>
      <c r="R8" s="21" t="s">
        <v>240</v>
      </c>
      <c r="S8" s="23" t="s">
        <v>241</v>
      </c>
    </row>
    <row r="9" spans="1:22" s="68" customFormat="1" ht="27.6" x14ac:dyDescent="0.3">
      <c r="A9" s="502">
        <v>1</v>
      </c>
      <c r="B9" s="424" t="s">
        <v>524</v>
      </c>
      <c r="C9" s="81" t="s">
        <v>73</v>
      </c>
      <c r="D9" s="81" t="s">
        <v>525</v>
      </c>
      <c r="E9" s="500">
        <v>2</v>
      </c>
      <c r="F9" s="501" t="s">
        <v>526</v>
      </c>
      <c r="G9" s="211">
        <v>15.23</v>
      </c>
      <c r="H9" s="215"/>
      <c r="I9" s="67"/>
      <c r="J9" s="81">
        <f>'Ocorrências Mensais - FAT'!G26</f>
        <v>1</v>
      </c>
      <c r="K9" s="426">
        <f t="shared" ref="K9" si="0">G9*J9</f>
        <v>15.23</v>
      </c>
      <c r="L9" s="208"/>
      <c r="N9" s="210"/>
      <c r="O9" s="21"/>
      <c r="P9" s="21"/>
      <c r="Q9" s="21"/>
      <c r="R9" s="21"/>
      <c r="S9" s="23"/>
    </row>
    <row r="10" spans="1:22" s="68" customFormat="1" ht="69" x14ac:dyDescent="0.3">
      <c r="A10" s="80">
        <v>2</v>
      </c>
      <c r="B10" s="424" t="s">
        <v>336</v>
      </c>
      <c r="C10" s="81" t="s">
        <v>73</v>
      </c>
      <c r="D10" s="81" t="s">
        <v>527</v>
      </c>
      <c r="E10" s="500">
        <v>2</v>
      </c>
      <c r="F10" s="501" t="s">
        <v>528</v>
      </c>
      <c r="G10" s="211">
        <v>57.39</v>
      </c>
      <c r="H10" s="215"/>
      <c r="I10" s="67"/>
      <c r="J10" s="81">
        <f>'Ocorrências Mensais - FAT'!G27</f>
        <v>2</v>
      </c>
      <c r="K10" s="426">
        <f t="shared" ref="K10:K43" si="1">G10*J10</f>
        <v>114.78</v>
      </c>
      <c r="L10" s="38">
        <f t="shared" ref="L10:L43" si="2">IF(F10="MENSAL",1,IF(F10="BIMESTRAL",2,IF(F10="TRIMESTRAL",3,IF(F10="QUADRIMESTRAL",4,IF(F10="SEMESTRAL",6,IF(F10="ANUAL",12,IF(F10="BIENAL",24,"")))))))</f>
        <v>1</v>
      </c>
      <c r="N10" s="214">
        <v>6</v>
      </c>
      <c r="O10" s="38">
        <f>ROUND(IF(Dados!$J$56="SIM",N10*Dados!$N$56,N10),2)</f>
        <v>6</v>
      </c>
      <c r="P10" s="38">
        <f>ROUND(IF(Dados!$J$57="SIM",O10*Dados!$N$57,O10),2)</f>
        <v>6</v>
      </c>
      <c r="Q10" s="38">
        <f>ROUND(IF(Dados!$J$58="SIM",P10*Dados!$N$58,P10),2)</f>
        <v>6</v>
      </c>
      <c r="R10" s="38">
        <f>ROUND(IF(Dados!$J$59="SIM",Q10*Dados!$N$59,Q10),2)</f>
        <v>6</v>
      </c>
      <c r="S10" s="79">
        <f>ROUND(IF(Dados!$J$60="SIM",R10*Dados!$N$60,R10),2)</f>
        <v>6</v>
      </c>
    </row>
    <row r="11" spans="1:22" s="68" customFormat="1" ht="27.6" x14ac:dyDescent="0.3">
      <c r="A11" s="80">
        <v>3</v>
      </c>
      <c r="B11" s="424" t="s">
        <v>529</v>
      </c>
      <c r="C11" s="81" t="s">
        <v>81</v>
      </c>
      <c r="D11" s="81" t="s">
        <v>530</v>
      </c>
      <c r="E11" s="87">
        <v>4</v>
      </c>
      <c r="F11" s="78" t="s">
        <v>528</v>
      </c>
      <c r="G11" s="211">
        <v>7.38</v>
      </c>
      <c r="H11" s="215"/>
      <c r="I11" s="67"/>
      <c r="J11" s="81">
        <f>'Ocorrências Mensais - FAT'!G28</f>
        <v>4</v>
      </c>
      <c r="K11" s="426">
        <f t="shared" si="1"/>
        <v>29.52</v>
      </c>
      <c r="L11" s="38">
        <f t="shared" si="2"/>
        <v>1</v>
      </c>
      <c r="N11" s="214">
        <v>3.8</v>
      </c>
      <c r="O11" s="38">
        <f>ROUND(IF(Dados!$J$56="SIM",N11*Dados!$N$56,N11),2)</f>
        <v>3.8</v>
      </c>
      <c r="P11" s="38">
        <f>ROUND(IF(Dados!$J$57="SIM",O11*Dados!$N$57,O11),2)</f>
        <v>3.8</v>
      </c>
      <c r="Q11" s="38">
        <f>ROUND(IF(Dados!$J$58="SIM",P11*Dados!$N$58,P11),2)</f>
        <v>3.8</v>
      </c>
      <c r="R11" s="38">
        <f>ROUND(IF(Dados!$J$59="SIM",Q11*Dados!$N$59,Q11),2)</f>
        <v>3.8</v>
      </c>
      <c r="S11" s="79">
        <f>ROUND(IF(Dados!$J$60="SIM",R11*Dados!$N$60,R11),2)</f>
        <v>3.8</v>
      </c>
    </row>
    <row r="12" spans="1:22" s="68" customFormat="1" ht="41.4" x14ac:dyDescent="0.3">
      <c r="A12" s="502">
        <v>4</v>
      </c>
      <c r="B12" s="424" t="s">
        <v>531</v>
      </c>
      <c r="C12" s="81" t="s">
        <v>81</v>
      </c>
      <c r="D12" s="81" t="s">
        <v>513</v>
      </c>
      <c r="E12" s="87">
        <v>2</v>
      </c>
      <c r="F12" s="78" t="s">
        <v>532</v>
      </c>
      <c r="G12" s="211">
        <v>17.600000000000001</v>
      </c>
      <c r="H12" s="215"/>
      <c r="I12" s="67"/>
      <c r="J12" s="81">
        <f>'Ocorrências Mensais - FAT'!G29</f>
        <v>0.16666666666666666</v>
      </c>
      <c r="K12" s="426">
        <f t="shared" si="1"/>
        <v>2.9333333333333336</v>
      </c>
      <c r="L12" s="38">
        <f t="shared" si="2"/>
        <v>12</v>
      </c>
      <c r="N12" s="214">
        <v>4.1399999999999997</v>
      </c>
      <c r="O12" s="38">
        <f>ROUND(IF(Dados!$J$56="SIM",N12*Dados!$N$56,N12),2)</f>
        <v>4.1399999999999997</v>
      </c>
      <c r="P12" s="38">
        <f>ROUND(IF(Dados!$J$57="SIM",O12*Dados!$N$57,O12),2)</f>
        <v>4.1399999999999997</v>
      </c>
      <c r="Q12" s="38">
        <f>ROUND(IF(Dados!$J$58="SIM",P12*Dados!$N$58,P12),2)</f>
        <v>4.1399999999999997</v>
      </c>
      <c r="R12" s="38">
        <f>ROUND(IF(Dados!$J$59="SIM",Q12*Dados!$N$59,Q12),2)</f>
        <v>4.1399999999999997</v>
      </c>
      <c r="S12" s="79">
        <f>ROUND(IF(Dados!$J$60="SIM",R12*Dados!$N$60,R12),2)</f>
        <v>4.1399999999999997</v>
      </c>
    </row>
    <row r="13" spans="1:22" s="68" customFormat="1" ht="25.95" customHeight="1" x14ac:dyDescent="0.3">
      <c r="A13" s="80">
        <v>5</v>
      </c>
      <c r="B13" s="499" t="s">
        <v>533</v>
      </c>
      <c r="C13" s="81" t="s">
        <v>81</v>
      </c>
      <c r="D13" s="81" t="s">
        <v>534</v>
      </c>
      <c r="E13" s="87">
        <v>1</v>
      </c>
      <c r="F13" s="78" t="s">
        <v>532</v>
      </c>
      <c r="G13" s="211">
        <v>10.41</v>
      </c>
      <c r="H13" s="215"/>
      <c r="I13" s="67"/>
      <c r="J13" s="81">
        <f>'Ocorrências Mensais - FAT'!G30</f>
        <v>8.3333333333333329E-2</v>
      </c>
      <c r="K13" s="426">
        <f t="shared" si="1"/>
        <v>0.86749999999999994</v>
      </c>
      <c r="L13" s="38">
        <f t="shared" si="2"/>
        <v>12</v>
      </c>
      <c r="N13" s="214"/>
      <c r="O13" s="38"/>
      <c r="P13" s="38"/>
      <c r="Q13" s="38"/>
      <c r="R13" s="38"/>
      <c r="S13" s="79"/>
    </row>
    <row r="14" spans="1:22" s="68" customFormat="1" ht="27.6" x14ac:dyDescent="0.3">
      <c r="A14" s="80">
        <v>6</v>
      </c>
      <c r="B14" s="424" t="s">
        <v>535</v>
      </c>
      <c r="C14" s="81" t="s">
        <v>81</v>
      </c>
      <c r="D14" s="81" t="s">
        <v>536</v>
      </c>
      <c r="E14" s="87">
        <v>1</v>
      </c>
      <c r="F14" s="78" t="s">
        <v>532</v>
      </c>
      <c r="G14" s="211">
        <v>11.08</v>
      </c>
      <c r="H14" s="215"/>
      <c r="I14" s="67"/>
      <c r="J14" s="81">
        <f>'Ocorrências Mensais - FAT'!G31</f>
        <v>8.3333333333333329E-2</v>
      </c>
      <c r="K14" s="426">
        <f t="shared" si="1"/>
        <v>0.92333333333333334</v>
      </c>
      <c r="L14" s="38">
        <f t="shared" si="2"/>
        <v>12</v>
      </c>
      <c r="N14" s="214">
        <v>1.4</v>
      </c>
      <c r="O14" s="38">
        <f>ROUND(IF(Dados!$J$56="SIM",N14*Dados!$N$56,N14),2)</f>
        <v>1.4</v>
      </c>
      <c r="P14" s="38">
        <f>ROUND(IF(Dados!$J$57="SIM",O14*Dados!$N$57,O14),2)</f>
        <v>1.4</v>
      </c>
      <c r="Q14" s="38">
        <f>ROUND(IF(Dados!$J$58="SIM",P14*Dados!$N$58,P14),2)</f>
        <v>1.4</v>
      </c>
      <c r="R14" s="38">
        <f>ROUND(IF(Dados!$J$59="SIM",Q14*Dados!$N$59,Q14),2)</f>
        <v>1.4</v>
      </c>
      <c r="S14" s="79">
        <f>ROUND(IF(Dados!$J$60="SIM",R14*Dados!$N$60,R14),2)</f>
        <v>1.4</v>
      </c>
    </row>
    <row r="15" spans="1:22" s="68" customFormat="1" ht="13.8" x14ac:dyDescent="0.3">
      <c r="A15" s="502">
        <v>7</v>
      </c>
      <c r="B15" s="424" t="s">
        <v>537</v>
      </c>
      <c r="C15" s="81" t="s">
        <v>73</v>
      </c>
      <c r="D15" s="81" t="s">
        <v>538</v>
      </c>
      <c r="E15" s="87">
        <v>1</v>
      </c>
      <c r="F15" s="78" t="s">
        <v>528</v>
      </c>
      <c r="G15" s="211">
        <v>44.79</v>
      </c>
      <c r="H15" s="216"/>
      <c r="I15" s="67"/>
      <c r="J15" s="81">
        <f>'Ocorrências Mensais - FAT'!G32</f>
        <v>1</v>
      </c>
      <c r="K15" s="426">
        <f t="shared" si="1"/>
        <v>44.79</v>
      </c>
      <c r="L15" s="38">
        <f t="shared" si="2"/>
        <v>1</v>
      </c>
      <c r="N15" s="214">
        <v>3.2</v>
      </c>
      <c r="O15" s="38">
        <f>ROUND(IF(Dados!$J$56="SIM",N15*Dados!$N$56,N15),2)</f>
        <v>3.2</v>
      </c>
      <c r="P15" s="38">
        <f>ROUND(IF(Dados!$J$57="SIM",O15*Dados!$N$57,O15),2)</f>
        <v>3.2</v>
      </c>
      <c r="Q15" s="38">
        <f>ROUND(IF(Dados!$J$58="SIM",P15*Dados!$N$58,P15),2)</f>
        <v>3.2</v>
      </c>
      <c r="R15" s="38">
        <f>ROUND(IF(Dados!$J$59="SIM",Q15*Dados!$N$59,Q15),2)</f>
        <v>3.2</v>
      </c>
      <c r="S15" s="79">
        <f>ROUND(IF(Dados!$J$60="SIM",R15*Dados!$N$60,R15),2)</f>
        <v>3.2</v>
      </c>
    </row>
    <row r="16" spans="1:22" s="68" customFormat="1" ht="27.6" x14ac:dyDescent="0.3">
      <c r="A16" s="80">
        <v>8</v>
      </c>
      <c r="B16" s="424" t="s">
        <v>539</v>
      </c>
      <c r="C16" s="81" t="s">
        <v>81</v>
      </c>
      <c r="D16" s="81" t="s">
        <v>540</v>
      </c>
      <c r="E16" s="87">
        <v>1</v>
      </c>
      <c r="F16" s="78" t="s">
        <v>532</v>
      </c>
      <c r="G16" s="211">
        <v>5.57</v>
      </c>
      <c r="H16" s="216"/>
      <c r="I16" s="67"/>
      <c r="J16" s="81">
        <f>'Ocorrências Mensais - FAT'!G33</f>
        <v>8.3333333333333329E-2</v>
      </c>
      <c r="K16" s="426">
        <f t="shared" si="1"/>
        <v>0.46416666666666667</v>
      </c>
      <c r="L16" s="38">
        <f t="shared" si="2"/>
        <v>12</v>
      </c>
      <c r="N16" s="214">
        <v>4</v>
      </c>
      <c r="O16" s="38">
        <f>ROUND(IF(Dados!$J$56="SIM",N16*Dados!$N$56,N16),2)</f>
        <v>4</v>
      </c>
      <c r="P16" s="38">
        <f>ROUND(IF(Dados!$J$57="SIM",O16*Dados!$N$57,O16),2)</f>
        <v>4</v>
      </c>
      <c r="Q16" s="38">
        <f>ROUND(IF(Dados!$J$58="SIM",P16*Dados!$N$58,P16),2)</f>
        <v>4</v>
      </c>
      <c r="R16" s="38">
        <f>ROUND(IF(Dados!$J$59="SIM",Q16*Dados!$N$59,Q16),2)</f>
        <v>4</v>
      </c>
      <c r="S16" s="79">
        <f>ROUND(IF(Dados!$J$60="SIM",R16*Dados!$N$60,R16),2)</f>
        <v>4</v>
      </c>
    </row>
    <row r="17" spans="1:19" s="68" customFormat="1" ht="27.6" x14ac:dyDescent="0.3">
      <c r="A17" s="80">
        <v>9</v>
      </c>
      <c r="B17" s="424" t="s">
        <v>541</v>
      </c>
      <c r="C17" s="81" t="s">
        <v>81</v>
      </c>
      <c r="D17" s="81" t="s">
        <v>542</v>
      </c>
      <c r="E17" s="87">
        <v>2</v>
      </c>
      <c r="F17" s="78" t="s">
        <v>532</v>
      </c>
      <c r="G17" s="211">
        <v>16.11</v>
      </c>
      <c r="H17" s="216"/>
      <c r="I17" s="67"/>
      <c r="J17" s="81">
        <f>'Ocorrências Mensais - FAT'!G34</f>
        <v>0.16666666666666666</v>
      </c>
      <c r="K17" s="426">
        <f t="shared" si="1"/>
        <v>2.6849999999999996</v>
      </c>
      <c r="L17" s="38">
        <f t="shared" si="2"/>
        <v>12</v>
      </c>
      <c r="N17" s="214"/>
      <c r="O17" s="38"/>
      <c r="P17" s="38"/>
      <c r="Q17" s="38"/>
      <c r="R17" s="38"/>
      <c r="S17" s="79"/>
    </row>
    <row r="18" spans="1:19" s="68" customFormat="1" ht="55.2" x14ac:dyDescent="0.3">
      <c r="A18" s="502">
        <v>10</v>
      </c>
      <c r="B18" s="424" t="s">
        <v>543</v>
      </c>
      <c r="C18" s="81" t="s">
        <v>544</v>
      </c>
      <c r="D18" s="81" t="s">
        <v>545</v>
      </c>
      <c r="E18" s="87">
        <v>4</v>
      </c>
      <c r="F18" s="81" t="s">
        <v>528</v>
      </c>
      <c r="G18" s="211">
        <v>6.4</v>
      </c>
      <c r="H18" s="215"/>
      <c r="I18" s="67"/>
      <c r="J18" s="81">
        <f>'Ocorrências Mensais - FAT'!G35</f>
        <v>4</v>
      </c>
      <c r="K18" s="426">
        <f t="shared" si="1"/>
        <v>25.6</v>
      </c>
      <c r="L18" s="38">
        <f t="shared" si="2"/>
        <v>1</v>
      </c>
      <c r="N18" s="214">
        <v>1.2</v>
      </c>
      <c r="O18" s="38">
        <f>ROUND(IF(Dados!$J$56="SIM",N18*Dados!$N$56,N18),2)</f>
        <v>1.2</v>
      </c>
      <c r="P18" s="38">
        <f>ROUND(IF(Dados!$J$57="SIM",O18*Dados!$N$57,O18),2)</f>
        <v>1.2</v>
      </c>
      <c r="Q18" s="38">
        <f>ROUND(IF(Dados!$J$58="SIM",P18*Dados!$N$58,P18),2)</f>
        <v>1.2</v>
      </c>
      <c r="R18" s="38">
        <f>ROUND(IF(Dados!$J$59="SIM",Q18*Dados!$N$59,Q18),2)</f>
        <v>1.2</v>
      </c>
      <c r="S18" s="79">
        <f>ROUND(IF(Dados!$J$60="SIM",R18*Dados!$N$60,R18),2)</f>
        <v>1.2</v>
      </c>
    </row>
    <row r="19" spans="1:19" s="68" customFormat="1" ht="13.8" x14ac:dyDescent="0.3">
      <c r="A19" s="80">
        <v>11</v>
      </c>
      <c r="B19" s="424" t="s">
        <v>546</v>
      </c>
      <c r="C19" s="81" t="s">
        <v>81</v>
      </c>
      <c r="D19" s="81" t="s">
        <v>547</v>
      </c>
      <c r="E19" s="87">
        <v>2</v>
      </c>
      <c r="F19" s="78" t="s">
        <v>532</v>
      </c>
      <c r="G19" s="211">
        <v>16.989999999999998</v>
      </c>
      <c r="H19" s="215"/>
      <c r="I19" s="67"/>
      <c r="J19" s="81">
        <f>'Ocorrências Mensais - FAT'!G36</f>
        <v>0.16666666666666666</v>
      </c>
      <c r="K19" s="426">
        <f t="shared" si="1"/>
        <v>2.8316666666666661</v>
      </c>
      <c r="L19" s="38">
        <f t="shared" si="2"/>
        <v>12</v>
      </c>
      <c r="N19" s="214">
        <v>1.3</v>
      </c>
      <c r="O19" s="38">
        <f>ROUND(IF(Dados!$J$56="SIM",N19*Dados!$N$56,N19),2)</f>
        <v>1.3</v>
      </c>
      <c r="P19" s="38">
        <f>ROUND(IF(Dados!$J$57="SIM",O19*Dados!$N$57,O19),2)</f>
        <v>1.3</v>
      </c>
      <c r="Q19" s="38">
        <f>ROUND(IF(Dados!$J$58="SIM",P19*Dados!$N$58,P19),2)</f>
        <v>1.3</v>
      </c>
      <c r="R19" s="38">
        <f>ROUND(IF(Dados!$J$59="SIM",Q19*Dados!$N$59,Q19),2)</f>
        <v>1.3</v>
      </c>
      <c r="S19" s="79">
        <f>ROUND(IF(Dados!$J$60="SIM",R19*Dados!$N$60,R19),2)</f>
        <v>1.3</v>
      </c>
    </row>
    <row r="20" spans="1:19" s="68" customFormat="1" ht="41.4" x14ac:dyDescent="0.3">
      <c r="A20" s="80">
        <v>12</v>
      </c>
      <c r="B20" s="424" t="s">
        <v>548</v>
      </c>
      <c r="C20" s="81" t="s">
        <v>81</v>
      </c>
      <c r="D20" s="81" t="s">
        <v>549</v>
      </c>
      <c r="E20" s="87">
        <v>1</v>
      </c>
      <c r="F20" s="78" t="s">
        <v>532</v>
      </c>
      <c r="G20" s="211">
        <v>85.97</v>
      </c>
      <c r="H20" s="215"/>
      <c r="I20" s="67"/>
      <c r="J20" s="81">
        <f>'Ocorrências Mensais - FAT'!G37</f>
        <v>8.3333333333333329E-2</v>
      </c>
      <c r="K20" s="426">
        <f t="shared" si="1"/>
        <v>7.1641666666666666</v>
      </c>
      <c r="L20" s="38">
        <f t="shared" si="2"/>
        <v>12</v>
      </c>
      <c r="N20" s="214">
        <v>1.48</v>
      </c>
      <c r="O20" s="38">
        <f>ROUND(IF(Dados!$J$56="SIM",N20*Dados!$N$56,N20),2)</f>
        <v>1.48</v>
      </c>
      <c r="P20" s="38">
        <f>ROUND(IF(Dados!$J$57="SIM",O20*Dados!$N$57,O20),2)</f>
        <v>1.48</v>
      </c>
      <c r="Q20" s="38">
        <f>ROUND(IF(Dados!$J$58="SIM",P20*Dados!$N$58,P20),2)</f>
        <v>1.48</v>
      </c>
      <c r="R20" s="38">
        <f>ROUND(IF(Dados!$J$59="SIM",Q20*Dados!$N$59,Q20),2)</f>
        <v>1.48</v>
      </c>
      <c r="S20" s="79">
        <f>ROUND(IF(Dados!$J$60="SIM",R20*Dados!$N$60,R20),2)</f>
        <v>1.48</v>
      </c>
    </row>
    <row r="21" spans="1:19" s="68" customFormat="1" ht="89.25" customHeight="1" x14ac:dyDescent="0.3">
      <c r="A21" s="502">
        <v>13</v>
      </c>
      <c r="B21" s="424" t="s">
        <v>550</v>
      </c>
      <c r="C21" s="81" t="s">
        <v>81</v>
      </c>
      <c r="D21" s="81" t="s">
        <v>551</v>
      </c>
      <c r="E21" s="87">
        <v>3</v>
      </c>
      <c r="F21" s="78" t="s">
        <v>528</v>
      </c>
      <c r="G21" s="211">
        <v>4.28</v>
      </c>
      <c r="H21" s="215"/>
      <c r="I21" s="67"/>
      <c r="J21" s="81">
        <f>'Ocorrências Mensais - FAT'!G38</f>
        <v>3</v>
      </c>
      <c r="K21" s="426">
        <f t="shared" si="1"/>
        <v>12.84</v>
      </c>
      <c r="L21" s="38">
        <f t="shared" si="2"/>
        <v>1</v>
      </c>
      <c r="N21" s="214">
        <v>1</v>
      </c>
      <c r="O21" s="38">
        <f>ROUND(IF(Dados!$J$56="SIM",N21*Dados!$N$56,N21),2)</f>
        <v>1</v>
      </c>
      <c r="P21" s="38">
        <f>ROUND(IF(Dados!$J$57="SIM",O21*Dados!$N$57,O21),2)</f>
        <v>1</v>
      </c>
      <c r="Q21" s="38">
        <f>ROUND(IF(Dados!$J$58="SIM",P21*Dados!$N$58,P21),2)</f>
        <v>1</v>
      </c>
      <c r="R21" s="38">
        <f>ROUND(IF(Dados!$J$59="SIM",Q21*Dados!$N$59,Q21),2)</f>
        <v>1</v>
      </c>
      <c r="S21" s="79">
        <f>ROUND(IF(Dados!$J$60="SIM",R21*Dados!$N$60,R21),2)</f>
        <v>1</v>
      </c>
    </row>
    <row r="22" spans="1:19" s="68" customFormat="1" ht="27.6" x14ac:dyDescent="0.3">
      <c r="A22" s="80">
        <v>14</v>
      </c>
      <c r="B22" s="424" t="s">
        <v>552</v>
      </c>
      <c r="C22" s="81" t="s">
        <v>81</v>
      </c>
      <c r="D22" s="81" t="s">
        <v>553</v>
      </c>
      <c r="E22" s="87">
        <v>1</v>
      </c>
      <c r="F22" s="78" t="s">
        <v>554</v>
      </c>
      <c r="G22" s="211">
        <v>13.82</v>
      </c>
      <c r="H22" s="215"/>
      <c r="I22" s="67"/>
      <c r="J22" s="81">
        <f>'Ocorrências Mensais - FAT'!G39</f>
        <v>0.16666666666666666</v>
      </c>
      <c r="K22" s="426">
        <f t="shared" si="1"/>
        <v>2.3033333333333332</v>
      </c>
      <c r="L22" s="38">
        <f t="shared" si="2"/>
        <v>6</v>
      </c>
      <c r="N22" s="214">
        <v>1.4</v>
      </c>
      <c r="O22" s="38">
        <f>ROUND(IF(Dados!$J$56="SIM",N22*Dados!$N$56,N22),2)</f>
        <v>1.4</v>
      </c>
      <c r="P22" s="38">
        <f>ROUND(IF(Dados!$J$57="SIM",O22*Dados!$N$57,O22),2)</f>
        <v>1.4</v>
      </c>
      <c r="Q22" s="38">
        <f>ROUND(IF(Dados!$J$58="SIM",P22*Dados!$N$58,P22),2)</f>
        <v>1.4</v>
      </c>
      <c r="R22" s="38">
        <f>ROUND(IF(Dados!$J$59="SIM",Q22*Dados!$N$59,Q22),2)</f>
        <v>1.4</v>
      </c>
      <c r="S22" s="79">
        <f>ROUND(IF(Dados!$J$60="SIM",R22*Dados!$N$60,R22),2)</f>
        <v>1.4</v>
      </c>
    </row>
    <row r="23" spans="1:19" s="68" customFormat="1" ht="41.4" x14ac:dyDescent="0.3">
      <c r="A23" s="80">
        <v>15</v>
      </c>
      <c r="B23" s="424" t="s">
        <v>555</v>
      </c>
      <c r="C23" s="81" t="s">
        <v>81</v>
      </c>
      <c r="D23" s="81" t="s">
        <v>520</v>
      </c>
      <c r="E23" s="87">
        <v>1</v>
      </c>
      <c r="F23" s="78" t="s">
        <v>532</v>
      </c>
      <c r="G23" s="211">
        <v>165.65</v>
      </c>
      <c r="H23" s="215"/>
      <c r="I23" s="67"/>
      <c r="J23" s="81">
        <f>'Ocorrências Mensais - FAT'!G40</f>
        <v>8.3333333333333329E-2</v>
      </c>
      <c r="K23" s="426">
        <f t="shared" si="1"/>
        <v>13.804166666666667</v>
      </c>
      <c r="L23" s="38">
        <f t="shared" si="2"/>
        <v>12</v>
      </c>
      <c r="N23" s="214">
        <v>9.1</v>
      </c>
      <c r="O23" s="38">
        <f>ROUND(IF(Dados!$J$56="SIM",N23*Dados!$N$56,N23),2)</f>
        <v>9.1</v>
      </c>
      <c r="P23" s="38">
        <f>ROUND(IF(Dados!$J$57="SIM",O23*Dados!$N$57,O23),2)</f>
        <v>9.1</v>
      </c>
      <c r="Q23" s="38">
        <f>ROUND(IF(Dados!$J$58="SIM",P23*Dados!$N$58,P23),2)</f>
        <v>9.1</v>
      </c>
      <c r="R23" s="38">
        <f>ROUND(IF(Dados!$J$59="SIM",Q23*Dados!$N$59,Q23),2)</f>
        <v>9.1</v>
      </c>
      <c r="S23" s="79">
        <f>ROUND(IF(Dados!$J$60="SIM",R23*Dados!$N$60,R23),2)</f>
        <v>9.1</v>
      </c>
    </row>
    <row r="24" spans="1:19" s="68" customFormat="1" ht="13.8" x14ac:dyDescent="0.3">
      <c r="A24" s="502">
        <v>16</v>
      </c>
      <c r="B24" s="424" t="s">
        <v>556</v>
      </c>
      <c r="C24" s="81" t="s">
        <v>81</v>
      </c>
      <c r="D24" s="81" t="s">
        <v>557</v>
      </c>
      <c r="E24" s="87">
        <v>1</v>
      </c>
      <c r="F24" s="78" t="s">
        <v>528</v>
      </c>
      <c r="G24" s="211">
        <v>9.9</v>
      </c>
      <c r="H24" s="215"/>
      <c r="I24" s="67"/>
      <c r="J24" s="81">
        <f>'Ocorrências Mensais - FAT'!G41</f>
        <v>1</v>
      </c>
      <c r="K24" s="426">
        <f t="shared" si="1"/>
        <v>9.9</v>
      </c>
      <c r="L24" s="38">
        <f t="shared" si="2"/>
        <v>1</v>
      </c>
      <c r="N24" s="214">
        <v>1</v>
      </c>
      <c r="O24" s="38">
        <f>ROUND(IF(Dados!$J$56="SIM",N24*Dados!$N$56,N24),2)</f>
        <v>1</v>
      </c>
      <c r="P24" s="38">
        <f>ROUND(IF(Dados!$J$57="SIM",O24*Dados!$N$57,O24),2)</f>
        <v>1</v>
      </c>
      <c r="Q24" s="38">
        <f>ROUND(IF(Dados!$J$58="SIM",P24*Dados!$N$58,P24),2)</f>
        <v>1</v>
      </c>
      <c r="R24" s="38">
        <f>ROUND(IF(Dados!$J$59="SIM",Q24*Dados!$N$59,Q24),2)</f>
        <v>1</v>
      </c>
      <c r="S24" s="79">
        <f>ROUND(IF(Dados!$J$60="SIM",R24*Dados!$N$60,R24),2)</f>
        <v>1</v>
      </c>
    </row>
    <row r="25" spans="1:19" s="68" customFormat="1" ht="55.2" x14ac:dyDescent="0.3">
      <c r="A25" s="80">
        <v>17</v>
      </c>
      <c r="B25" s="424" t="s">
        <v>558</v>
      </c>
      <c r="C25" s="81" t="s">
        <v>73</v>
      </c>
      <c r="D25" s="81" t="s">
        <v>559</v>
      </c>
      <c r="E25" s="87">
        <v>1</v>
      </c>
      <c r="F25" s="78" t="s">
        <v>560</v>
      </c>
      <c r="G25" s="211">
        <v>58.35</v>
      </c>
      <c r="H25" s="215"/>
      <c r="I25" s="67"/>
      <c r="J25" s="81">
        <f>'Ocorrências Mensais - FAT'!G42</f>
        <v>0.33333333333333331</v>
      </c>
      <c r="K25" s="426">
        <f t="shared" si="1"/>
        <v>19.45</v>
      </c>
      <c r="L25" s="38">
        <f t="shared" si="2"/>
        <v>3</v>
      </c>
      <c r="N25" s="214">
        <v>1.59</v>
      </c>
      <c r="O25" s="38">
        <f>ROUND(IF(Dados!$J$56="SIM",N25*Dados!$N$56,N25),2)</f>
        <v>1.59</v>
      </c>
      <c r="P25" s="38">
        <f>ROUND(IF(Dados!$J$57="SIM",O25*Dados!$N$57,O25),2)</f>
        <v>1.59</v>
      </c>
      <c r="Q25" s="38">
        <f>ROUND(IF(Dados!$J$58="SIM",P25*Dados!$N$58,P25),2)</f>
        <v>1.59</v>
      </c>
      <c r="R25" s="38">
        <f>ROUND(IF(Dados!$J$59="SIM",Q25*Dados!$N$59,Q25),2)</f>
        <v>1.59</v>
      </c>
      <c r="S25" s="79">
        <f>ROUND(IF(Dados!$J$60="SIM",R25*Dados!$N$60,R25),2)</f>
        <v>1.59</v>
      </c>
    </row>
    <row r="26" spans="1:19" s="68" customFormat="1" ht="41.4" x14ac:dyDescent="0.3">
      <c r="A26" s="80">
        <v>18</v>
      </c>
      <c r="B26" s="424" t="s">
        <v>561</v>
      </c>
      <c r="C26" s="81" t="s">
        <v>81</v>
      </c>
      <c r="D26" s="81" t="s">
        <v>557</v>
      </c>
      <c r="E26" s="87">
        <v>2</v>
      </c>
      <c r="F26" s="78" t="s">
        <v>528</v>
      </c>
      <c r="G26" s="211">
        <v>7.5</v>
      </c>
      <c r="H26" s="216"/>
      <c r="I26" s="67"/>
      <c r="J26" s="81">
        <f>'Ocorrências Mensais - FAT'!G43</f>
        <v>2</v>
      </c>
      <c r="K26" s="426">
        <f t="shared" si="1"/>
        <v>15</v>
      </c>
      <c r="L26" s="38">
        <f t="shared" si="2"/>
        <v>1</v>
      </c>
      <c r="N26" s="214">
        <v>10.9</v>
      </c>
      <c r="O26" s="38">
        <f>ROUND(IF(Dados!$J$56="SIM",N26*Dados!$N$56,N26),2)</f>
        <v>10.9</v>
      </c>
      <c r="P26" s="38">
        <f>ROUND(IF(Dados!$J$57="SIM",O26*Dados!$N$57,O26),2)</f>
        <v>10.9</v>
      </c>
      <c r="Q26" s="38">
        <f>ROUND(IF(Dados!$J$58="SIM",P26*Dados!$N$58,P26),2)</f>
        <v>10.9</v>
      </c>
      <c r="R26" s="38">
        <f>ROUND(IF(Dados!$J$59="SIM",Q26*Dados!$N$59,Q26),2)</f>
        <v>10.9</v>
      </c>
      <c r="S26" s="79">
        <f>ROUND(IF(Dados!$J$60="SIM",R26*Dados!$N$60,R26),2)</f>
        <v>10.9</v>
      </c>
    </row>
    <row r="27" spans="1:19" s="68" customFormat="1" ht="55.2" x14ac:dyDescent="0.3">
      <c r="A27" s="502">
        <v>19</v>
      </c>
      <c r="B27" s="424" t="s">
        <v>665</v>
      </c>
      <c r="C27" s="81" t="s">
        <v>562</v>
      </c>
      <c r="D27" s="81" t="s">
        <v>563</v>
      </c>
      <c r="E27" s="87">
        <v>2</v>
      </c>
      <c r="F27" s="78" t="s">
        <v>528</v>
      </c>
      <c r="G27" s="211">
        <v>13.38</v>
      </c>
      <c r="H27" s="216"/>
      <c r="I27" s="67"/>
      <c r="J27" s="81">
        <f>'Ocorrências Mensais - FAT'!G44</f>
        <v>2</v>
      </c>
      <c r="K27" s="426">
        <f t="shared" si="1"/>
        <v>26.76</v>
      </c>
      <c r="L27" s="38">
        <f t="shared" si="2"/>
        <v>1</v>
      </c>
      <c r="N27" s="214">
        <v>3</v>
      </c>
      <c r="O27" s="38">
        <f>ROUND(IF(Dados!$J$56="SIM",N27*Dados!$N$56,N27),2)</f>
        <v>3</v>
      </c>
      <c r="P27" s="38">
        <f>ROUND(IF(Dados!$J$57="SIM",O27*Dados!$N$57,O27),2)</f>
        <v>3</v>
      </c>
      <c r="Q27" s="38">
        <f>ROUND(IF(Dados!$J$58="SIM",P27*Dados!$N$58,P27),2)</f>
        <v>3</v>
      </c>
      <c r="R27" s="38">
        <f>ROUND(IF(Dados!$J$59="SIM",Q27*Dados!$N$59,Q27),2)</f>
        <v>3</v>
      </c>
      <c r="S27" s="79">
        <f>ROUND(IF(Dados!$J$60="SIM",R27*Dados!$N$60,R27),2)</f>
        <v>3</v>
      </c>
    </row>
    <row r="28" spans="1:19" s="68" customFormat="1" ht="27.6" x14ac:dyDescent="0.3">
      <c r="A28" s="80">
        <v>20</v>
      </c>
      <c r="B28" s="424" t="s">
        <v>564</v>
      </c>
      <c r="C28" s="81" t="s">
        <v>81</v>
      </c>
      <c r="D28" s="81" t="s">
        <v>521</v>
      </c>
      <c r="E28" s="87">
        <v>1</v>
      </c>
      <c r="F28" s="78" t="s">
        <v>532</v>
      </c>
      <c r="G28" s="211">
        <v>148.99</v>
      </c>
      <c r="H28" s="216"/>
      <c r="I28" s="67"/>
      <c r="J28" s="81">
        <f>'Ocorrências Mensais - FAT'!G45</f>
        <v>8.3333333333333329E-2</v>
      </c>
      <c r="K28" s="426">
        <f t="shared" si="1"/>
        <v>12.415833333333333</v>
      </c>
      <c r="L28" s="38">
        <f t="shared" si="2"/>
        <v>12</v>
      </c>
      <c r="N28" s="214">
        <v>1</v>
      </c>
      <c r="O28" s="38">
        <f>ROUND(IF(Dados!$J$56="SIM",N28*Dados!$N$56,N28),2)</f>
        <v>1</v>
      </c>
      <c r="P28" s="38">
        <f>ROUND(IF(Dados!$J$57="SIM",O28*Dados!$N$57,O28),2)</f>
        <v>1</v>
      </c>
      <c r="Q28" s="38">
        <f>ROUND(IF(Dados!$J$58="SIM",P28*Dados!$N$58,P28),2)</f>
        <v>1</v>
      </c>
      <c r="R28" s="38">
        <f>ROUND(IF(Dados!$J$59="SIM",Q28*Dados!$N$59,Q28),2)</f>
        <v>1</v>
      </c>
      <c r="S28" s="79">
        <f>ROUND(IF(Dados!$J$60="SIM",R28*Dados!$N$60,R28),2)</f>
        <v>1</v>
      </c>
    </row>
    <row r="29" spans="1:19" s="68" customFormat="1" ht="15.75" customHeight="1" x14ac:dyDescent="0.3">
      <c r="A29" s="80">
        <v>21</v>
      </c>
      <c r="B29" s="424" t="s">
        <v>565</v>
      </c>
      <c r="C29" s="81" t="s">
        <v>81</v>
      </c>
      <c r="D29" s="81" t="s">
        <v>563</v>
      </c>
      <c r="E29" s="87">
        <v>1</v>
      </c>
      <c r="F29" s="78" t="s">
        <v>532</v>
      </c>
      <c r="G29" s="211">
        <v>13.09</v>
      </c>
      <c r="H29" s="215"/>
      <c r="I29" s="67"/>
      <c r="J29" s="81">
        <f>'Ocorrências Mensais - FAT'!G46</f>
        <v>8.3333333333333329E-2</v>
      </c>
      <c r="K29" s="426">
        <f t="shared" si="1"/>
        <v>1.0908333333333333</v>
      </c>
      <c r="L29" s="38">
        <f t="shared" si="2"/>
        <v>12</v>
      </c>
      <c r="N29" s="214">
        <v>2</v>
      </c>
      <c r="O29" s="38">
        <f>ROUND(IF(Dados!$J$56="SIM",N29*Dados!$N$56,N29),2)</f>
        <v>2</v>
      </c>
      <c r="P29" s="38">
        <f>ROUND(IF(Dados!$J$57="SIM",O29*Dados!$N$57,O29),2)</f>
        <v>2</v>
      </c>
      <c r="Q29" s="38">
        <f>ROUND(IF(Dados!$J$58="SIM",P29*Dados!$N$58,P29),2)</f>
        <v>2</v>
      </c>
      <c r="R29" s="38">
        <f>ROUND(IF(Dados!$J$59="SIM",Q29*Dados!$N$59,Q29),2)</f>
        <v>2</v>
      </c>
      <c r="S29" s="79">
        <f>ROUND(IF(Dados!$J$60="SIM",R29*Dados!$N$60,R29),2)</f>
        <v>2</v>
      </c>
    </row>
    <row r="30" spans="1:19" s="68" customFormat="1" ht="81.75" customHeight="1" x14ac:dyDescent="0.3">
      <c r="A30" s="502">
        <v>22</v>
      </c>
      <c r="B30" s="424" t="s">
        <v>566</v>
      </c>
      <c r="C30" s="81" t="s">
        <v>567</v>
      </c>
      <c r="D30" s="81" t="s">
        <v>523</v>
      </c>
      <c r="E30" s="87">
        <v>4</v>
      </c>
      <c r="F30" s="78" t="s">
        <v>526</v>
      </c>
      <c r="G30" s="211">
        <v>68.959999999999994</v>
      </c>
      <c r="H30" s="215"/>
      <c r="I30" s="67"/>
      <c r="J30" s="81">
        <f>'Ocorrências Mensais - FAT'!G47</f>
        <v>2</v>
      </c>
      <c r="K30" s="426">
        <f t="shared" si="1"/>
        <v>137.91999999999999</v>
      </c>
      <c r="L30" s="38">
        <f t="shared" si="2"/>
        <v>2</v>
      </c>
      <c r="N30" s="214">
        <v>20</v>
      </c>
      <c r="O30" s="38">
        <f>ROUND(IF(Dados!$J$56="SIM",N30*Dados!$N$56,N30),2)</f>
        <v>20</v>
      </c>
      <c r="P30" s="38">
        <f>ROUND(IF(Dados!$J$57="SIM",O30*Dados!$N$57,O30),2)</f>
        <v>20</v>
      </c>
      <c r="Q30" s="38">
        <f>ROUND(IF(Dados!$J$58="SIM",P30*Dados!$N$58,P30),2)</f>
        <v>20</v>
      </c>
      <c r="R30" s="38">
        <f>ROUND(IF(Dados!$J$59="SIM",Q30*Dados!$N$59,Q30),2)</f>
        <v>20</v>
      </c>
      <c r="S30" s="79">
        <f>ROUND(IF(Dados!$J$60="SIM",R30*Dados!$N$60,R30),2)</f>
        <v>20</v>
      </c>
    </row>
    <row r="31" spans="1:19" s="68" customFormat="1" ht="73.5" customHeight="1" x14ac:dyDescent="0.3">
      <c r="A31" s="80">
        <v>23</v>
      </c>
      <c r="B31" s="424" t="s">
        <v>568</v>
      </c>
      <c r="C31" s="81" t="s">
        <v>660</v>
      </c>
      <c r="D31" s="81" t="s">
        <v>523</v>
      </c>
      <c r="E31" s="87">
        <v>8</v>
      </c>
      <c r="F31" s="78" t="s">
        <v>569</v>
      </c>
      <c r="G31" s="211">
        <v>120.75</v>
      </c>
      <c r="H31" s="216"/>
      <c r="I31" s="67"/>
      <c r="J31" s="81">
        <f>'Ocorrências Mensais - FAT'!G48</f>
        <v>2</v>
      </c>
      <c r="K31" s="426">
        <f t="shared" si="1"/>
        <v>241.5</v>
      </c>
      <c r="L31" s="38">
        <f t="shared" si="2"/>
        <v>4</v>
      </c>
      <c r="N31" s="214">
        <v>6.3</v>
      </c>
      <c r="O31" s="38">
        <f>ROUND(IF(Dados!$J$56="SIM",N31*Dados!$N$56,N31),2)</f>
        <v>6.3</v>
      </c>
      <c r="P31" s="38">
        <f>ROUND(IF(Dados!$J$57="SIM",O31*Dados!$N$57,O31),2)</f>
        <v>6.3</v>
      </c>
      <c r="Q31" s="38">
        <f>ROUND(IF(Dados!$J$58="SIM",P31*Dados!$N$58,P31),2)</f>
        <v>6.3</v>
      </c>
      <c r="R31" s="38">
        <f>ROUND(IF(Dados!$J$59="SIM",Q31*Dados!$N$59,Q31),2)</f>
        <v>6.3</v>
      </c>
      <c r="S31" s="79">
        <f>ROUND(IF(Dados!$J$60="SIM",R31*Dados!$N$60,R31),2)</f>
        <v>6.3</v>
      </c>
    </row>
    <row r="32" spans="1:19" s="68" customFormat="1" ht="41.4" x14ac:dyDescent="0.3">
      <c r="A32" s="80">
        <v>24</v>
      </c>
      <c r="B32" s="424" t="s">
        <v>570</v>
      </c>
      <c r="C32" s="81" t="s">
        <v>81</v>
      </c>
      <c r="D32" s="81" t="s">
        <v>571</v>
      </c>
      <c r="E32" s="87">
        <v>2</v>
      </c>
      <c r="F32" s="78" t="s">
        <v>532</v>
      </c>
      <c r="G32" s="211">
        <v>25.67</v>
      </c>
      <c r="H32" s="216"/>
      <c r="I32" s="67"/>
      <c r="J32" s="81">
        <f>'Ocorrências Mensais - FAT'!G49</f>
        <v>0.16666666666666666</v>
      </c>
      <c r="K32" s="426">
        <f t="shared" si="1"/>
        <v>4.2783333333333333</v>
      </c>
      <c r="L32" s="38">
        <f t="shared" si="2"/>
        <v>12</v>
      </c>
      <c r="N32" s="214">
        <v>8.99</v>
      </c>
      <c r="O32" s="38">
        <f>ROUND(IF(Dados!$J$56="SIM",N32*Dados!$N$56,N32),2)</f>
        <v>8.99</v>
      </c>
      <c r="P32" s="38">
        <f>ROUND(IF(Dados!$J$57="SIM",O32*Dados!$N$57,O32),2)</f>
        <v>8.99</v>
      </c>
      <c r="Q32" s="38">
        <f>ROUND(IF(Dados!$J$58="SIM",P32*Dados!$N$58,P32),2)</f>
        <v>8.99</v>
      </c>
      <c r="R32" s="38">
        <f>ROUND(IF(Dados!$J$59="SIM",Q32*Dados!$N$59,Q32),2)</f>
        <v>8.99</v>
      </c>
      <c r="S32" s="79">
        <f>ROUND(IF(Dados!$J$60="SIM",R32*Dados!$N$60,R32),2)</f>
        <v>8.99</v>
      </c>
    </row>
    <row r="33" spans="1:19" s="68" customFormat="1" ht="14.25" customHeight="1" x14ac:dyDescent="0.3">
      <c r="A33" s="502">
        <v>25</v>
      </c>
      <c r="B33" s="424" t="s">
        <v>572</v>
      </c>
      <c r="C33" s="81" t="s">
        <v>544</v>
      </c>
      <c r="D33" s="81" t="s">
        <v>573</v>
      </c>
      <c r="E33" s="87">
        <v>4</v>
      </c>
      <c r="F33" s="78" t="s">
        <v>554</v>
      </c>
      <c r="G33" s="211">
        <v>12</v>
      </c>
      <c r="H33" s="215"/>
      <c r="I33" s="67"/>
      <c r="J33" s="81">
        <f>'Ocorrências Mensais - FAT'!G50</f>
        <v>0.66666666666666663</v>
      </c>
      <c r="K33" s="426">
        <f t="shared" si="1"/>
        <v>8</v>
      </c>
      <c r="L33" s="38">
        <f t="shared" si="2"/>
        <v>6</v>
      </c>
      <c r="N33" s="214">
        <v>5</v>
      </c>
      <c r="O33" s="38">
        <f>ROUND(IF(Dados!$J$56="SIM",N33*Dados!$N$56,N33),2)</f>
        <v>5</v>
      </c>
      <c r="P33" s="38">
        <f>ROUND(IF(Dados!$J$57="SIM",O33*Dados!$N$57,O33),2)</f>
        <v>5</v>
      </c>
      <c r="Q33" s="38">
        <f>ROUND(IF(Dados!$J$58="SIM",P33*Dados!$N$58,P33),2)</f>
        <v>5</v>
      </c>
      <c r="R33" s="38">
        <f>ROUND(IF(Dados!$J$59="SIM",Q33*Dados!$N$59,Q33),2)</f>
        <v>5</v>
      </c>
      <c r="S33" s="79">
        <f>ROUND(IF(Dados!$J$60="SIM",R33*Dados!$N$60,R33),2)</f>
        <v>5</v>
      </c>
    </row>
    <row r="34" spans="1:19" s="68" customFormat="1" ht="27.6" x14ac:dyDescent="0.3">
      <c r="A34" s="80">
        <v>26</v>
      </c>
      <c r="B34" s="424" t="s">
        <v>574</v>
      </c>
      <c r="C34" s="81" t="s">
        <v>522</v>
      </c>
      <c r="D34" s="81" t="s">
        <v>575</v>
      </c>
      <c r="E34" s="87">
        <v>1</v>
      </c>
      <c r="F34" s="78" t="s">
        <v>532</v>
      </c>
      <c r="G34" s="211">
        <v>15.6</v>
      </c>
      <c r="H34" s="215"/>
      <c r="I34" s="67"/>
      <c r="J34" s="81">
        <f>'Ocorrências Mensais - FAT'!G51</f>
        <v>8.3333333333333329E-2</v>
      </c>
      <c r="K34" s="426">
        <f t="shared" si="1"/>
        <v>1.2999999999999998</v>
      </c>
      <c r="L34" s="38">
        <f t="shared" si="2"/>
        <v>12</v>
      </c>
      <c r="N34" s="214">
        <v>1.5</v>
      </c>
      <c r="O34" s="38">
        <f>ROUND(IF(Dados!$J$56="SIM",N34*Dados!$N$56,N34),2)</f>
        <v>1.5</v>
      </c>
      <c r="P34" s="38">
        <f>ROUND(IF(Dados!$J$57="SIM",O34*Dados!$N$57,O34),2)</f>
        <v>1.5</v>
      </c>
      <c r="Q34" s="38">
        <f>ROUND(IF(Dados!$J$58="SIM",P34*Dados!$N$58,P34),2)</f>
        <v>1.5</v>
      </c>
      <c r="R34" s="38">
        <f>ROUND(IF(Dados!$J$59="SIM",Q34*Dados!$N$59,Q34),2)</f>
        <v>1.5</v>
      </c>
      <c r="S34" s="79">
        <f>ROUND(IF(Dados!$J$60="SIM",R34*Dados!$N$60,R34),2)</f>
        <v>1.5</v>
      </c>
    </row>
    <row r="35" spans="1:19" s="68" customFormat="1" ht="13.8" x14ac:dyDescent="0.3">
      <c r="A35" s="80">
        <v>27</v>
      </c>
      <c r="B35" s="424" t="s">
        <v>576</v>
      </c>
      <c r="C35" s="81" t="s">
        <v>80</v>
      </c>
      <c r="D35" s="81" t="s">
        <v>577</v>
      </c>
      <c r="E35" s="87">
        <v>1</v>
      </c>
      <c r="F35" s="78" t="s">
        <v>532</v>
      </c>
      <c r="G35" s="211">
        <v>6.24</v>
      </c>
      <c r="H35" s="215"/>
      <c r="I35" s="67"/>
      <c r="J35" s="81">
        <f>'Ocorrências Mensais - FAT'!G52</f>
        <v>8.3333333333333329E-2</v>
      </c>
      <c r="K35" s="426">
        <f t="shared" si="1"/>
        <v>0.52</v>
      </c>
      <c r="L35" s="38">
        <f t="shared" si="2"/>
        <v>12</v>
      </c>
      <c r="N35" s="214">
        <v>3.2</v>
      </c>
      <c r="O35" s="38">
        <f>ROUND(IF(Dados!$J$56="SIM",N35*Dados!$N$56,N35),2)</f>
        <v>3.2</v>
      </c>
      <c r="P35" s="38">
        <f>ROUND(IF(Dados!$J$57="SIM",O35*Dados!$N$57,O35),2)</f>
        <v>3.2</v>
      </c>
      <c r="Q35" s="38">
        <f>ROUND(IF(Dados!$J$58="SIM",P35*Dados!$N$58,P35),2)</f>
        <v>3.2</v>
      </c>
      <c r="R35" s="38">
        <f>ROUND(IF(Dados!$J$59="SIM",Q35*Dados!$N$59,Q35),2)</f>
        <v>3.2</v>
      </c>
      <c r="S35" s="79">
        <f>ROUND(IF(Dados!$J$60="SIM",R35*Dados!$N$60,R35),2)</f>
        <v>3.2</v>
      </c>
    </row>
    <row r="36" spans="1:19" s="68" customFormat="1" ht="27.6" x14ac:dyDescent="0.3">
      <c r="A36" s="502">
        <v>28</v>
      </c>
      <c r="B36" s="424" t="s">
        <v>578</v>
      </c>
      <c r="C36" s="81" t="s">
        <v>73</v>
      </c>
      <c r="D36" s="81" t="s">
        <v>579</v>
      </c>
      <c r="E36" s="87">
        <v>1</v>
      </c>
      <c r="F36" s="78" t="s">
        <v>526</v>
      </c>
      <c r="G36" s="211">
        <v>23.76</v>
      </c>
      <c r="H36" s="216"/>
      <c r="I36" s="67"/>
      <c r="J36" s="81">
        <f>'Ocorrências Mensais - FAT'!G53</f>
        <v>0.5</v>
      </c>
      <c r="K36" s="426">
        <f t="shared" si="1"/>
        <v>11.88</v>
      </c>
      <c r="L36" s="38">
        <f t="shared" si="2"/>
        <v>2</v>
      </c>
      <c r="N36" s="214">
        <v>3.99</v>
      </c>
      <c r="O36" s="38">
        <f>ROUND(IF(Dados!$J$56="SIM",N36*Dados!$N$56,N36),2)</f>
        <v>3.99</v>
      </c>
      <c r="P36" s="38">
        <f>ROUND(IF(Dados!$J$57="SIM",O36*Dados!$N$57,O36),2)</f>
        <v>3.99</v>
      </c>
      <c r="Q36" s="38">
        <f>ROUND(IF(Dados!$J$58="SIM",P36*Dados!$N$58,P36),2)</f>
        <v>3.99</v>
      </c>
      <c r="R36" s="38">
        <f>ROUND(IF(Dados!$J$59="SIM",Q36*Dados!$N$59,Q36),2)</f>
        <v>3.99</v>
      </c>
      <c r="S36" s="79">
        <f>ROUND(IF(Dados!$J$60="SIM",R36*Dados!$N$60,R36),2)</f>
        <v>3.99</v>
      </c>
    </row>
    <row r="37" spans="1:19" s="68" customFormat="1" ht="27.6" x14ac:dyDescent="0.3">
      <c r="A37" s="80">
        <v>29</v>
      </c>
      <c r="B37" s="424" t="s">
        <v>580</v>
      </c>
      <c r="C37" s="81" t="s">
        <v>81</v>
      </c>
      <c r="D37" s="81" t="s">
        <v>581</v>
      </c>
      <c r="E37" s="87">
        <v>10</v>
      </c>
      <c r="F37" s="78" t="s">
        <v>554</v>
      </c>
      <c r="G37" s="211">
        <v>8.23</v>
      </c>
      <c r="H37" s="216"/>
      <c r="I37" s="67"/>
      <c r="J37" s="81">
        <f>'Ocorrências Mensais - FAT'!G54</f>
        <v>1.6666666666666667</v>
      </c>
      <c r="K37" s="426">
        <f t="shared" si="1"/>
        <v>13.716666666666669</v>
      </c>
      <c r="L37" s="38">
        <f t="shared" si="2"/>
        <v>6</v>
      </c>
      <c r="N37" s="214">
        <v>1.4</v>
      </c>
      <c r="O37" s="38">
        <f>ROUND(IF(Dados!$J$56="SIM",N37*Dados!$N$56,N37),2)</f>
        <v>1.4</v>
      </c>
      <c r="P37" s="38">
        <f>ROUND(IF(Dados!$J$57="SIM",O37*Dados!$N$57,O37),2)</f>
        <v>1.4</v>
      </c>
      <c r="Q37" s="38">
        <f>ROUND(IF(Dados!$J$58="SIM",P37*Dados!$N$58,P37),2)</f>
        <v>1.4</v>
      </c>
      <c r="R37" s="38">
        <f>ROUND(IF(Dados!$J$59="SIM",Q37*Dados!$N$59,Q37),2)</f>
        <v>1.4</v>
      </c>
      <c r="S37" s="79">
        <f>ROUND(IF(Dados!$J$60="SIM",R37*Dados!$N$60,R37),2)</f>
        <v>1.4</v>
      </c>
    </row>
    <row r="38" spans="1:19" s="68" customFormat="1" ht="39.75" customHeight="1" x14ac:dyDescent="0.3">
      <c r="A38" s="80">
        <v>30</v>
      </c>
      <c r="B38" s="424" t="s">
        <v>582</v>
      </c>
      <c r="C38" s="81" t="s">
        <v>583</v>
      </c>
      <c r="D38" s="81" t="s">
        <v>584</v>
      </c>
      <c r="E38" s="87">
        <v>1</v>
      </c>
      <c r="F38" s="78" t="s">
        <v>528</v>
      </c>
      <c r="G38" s="211">
        <v>60.16</v>
      </c>
      <c r="H38" s="216"/>
      <c r="I38" s="67"/>
      <c r="J38" s="81">
        <f>'Ocorrências Mensais - FAT'!G55</f>
        <v>1</v>
      </c>
      <c r="K38" s="426">
        <f t="shared" si="1"/>
        <v>60.16</v>
      </c>
      <c r="L38" s="38">
        <f t="shared" si="2"/>
        <v>1</v>
      </c>
      <c r="N38" s="214"/>
      <c r="O38" s="38"/>
      <c r="P38" s="38"/>
      <c r="Q38" s="38"/>
      <c r="R38" s="38"/>
      <c r="S38" s="79"/>
    </row>
    <row r="39" spans="1:19" s="68" customFormat="1" ht="41.25" customHeight="1" x14ac:dyDescent="0.3">
      <c r="A39" s="502">
        <v>31</v>
      </c>
      <c r="B39" s="424" t="s">
        <v>585</v>
      </c>
      <c r="C39" s="81" t="s">
        <v>583</v>
      </c>
      <c r="D39" s="81" t="s">
        <v>586</v>
      </c>
      <c r="E39" s="87">
        <v>2</v>
      </c>
      <c r="F39" s="78" t="s">
        <v>528</v>
      </c>
      <c r="G39" s="211">
        <v>16.489999999999998</v>
      </c>
      <c r="H39" s="216"/>
      <c r="I39" s="67"/>
      <c r="J39" s="81">
        <f>'Ocorrências Mensais - FAT'!G56</f>
        <v>2</v>
      </c>
      <c r="K39" s="426">
        <f t="shared" si="1"/>
        <v>32.979999999999997</v>
      </c>
      <c r="L39" s="38"/>
      <c r="N39" s="214"/>
      <c r="O39" s="38"/>
      <c r="P39" s="38"/>
      <c r="Q39" s="38"/>
      <c r="R39" s="38"/>
      <c r="S39" s="79"/>
    </row>
    <row r="40" spans="1:19" s="68" customFormat="1" ht="27.6" x14ac:dyDescent="0.3">
      <c r="A40" s="80">
        <v>32</v>
      </c>
      <c r="B40" s="424" t="s">
        <v>587</v>
      </c>
      <c r="C40" s="81" t="s">
        <v>81</v>
      </c>
      <c r="D40" s="81" t="s">
        <v>534</v>
      </c>
      <c r="E40" s="87">
        <v>1</v>
      </c>
      <c r="F40" s="78" t="s">
        <v>532</v>
      </c>
      <c r="G40" s="211">
        <v>26.13</v>
      </c>
      <c r="H40" s="216"/>
      <c r="I40" s="67"/>
      <c r="J40" s="81">
        <f>'Ocorrências Mensais - FAT'!G57</f>
        <v>8.3333333333333329E-2</v>
      </c>
      <c r="K40" s="426">
        <f t="shared" si="1"/>
        <v>2.1774999999999998</v>
      </c>
      <c r="L40" s="38"/>
      <c r="N40" s="214"/>
      <c r="O40" s="38"/>
      <c r="P40" s="38"/>
      <c r="Q40" s="38"/>
      <c r="R40" s="38"/>
      <c r="S40" s="79"/>
    </row>
    <row r="41" spans="1:19" s="68" customFormat="1" ht="27.6" x14ac:dyDescent="0.3">
      <c r="A41" s="80">
        <v>33</v>
      </c>
      <c r="B41" s="424" t="s">
        <v>588</v>
      </c>
      <c r="C41" s="81" t="s">
        <v>81</v>
      </c>
      <c r="D41" s="81" t="s">
        <v>571</v>
      </c>
      <c r="E41" s="87">
        <v>1</v>
      </c>
      <c r="F41" s="78" t="s">
        <v>532</v>
      </c>
      <c r="G41" s="211">
        <v>18.22</v>
      </c>
      <c r="H41" s="216"/>
      <c r="I41" s="67"/>
      <c r="J41" s="81">
        <f>'Ocorrências Mensais - FAT'!G58</f>
        <v>8.3333333333333329E-2</v>
      </c>
      <c r="K41" s="426">
        <f t="shared" si="1"/>
        <v>1.5183333333333331</v>
      </c>
      <c r="L41" s="38"/>
      <c r="N41" s="214"/>
      <c r="O41" s="38"/>
      <c r="P41" s="38"/>
      <c r="Q41" s="38"/>
      <c r="R41" s="38"/>
      <c r="S41" s="79"/>
    </row>
    <row r="42" spans="1:19" s="68" customFormat="1" ht="26.25" customHeight="1" x14ac:dyDescent="0.3">
      <c r="A42" s="502">
        <v>34</v>
      </c>
      <c r="B42" s="424" t="s">
        <v>589</v>
      </c>
      <c r="C42" s="81" t="s">
        <v>81</v>
      </c>
      <c r="D42" s="81" t="s">
        <v>534</v>
      </c>
      <c r="E42" s="87">
        <v>1</v>
      </c>
      <c r="F42" s="78" t="s">
        <v>532</v>
      </c>
      <c r="G42" s="211">
        <v>16.46</v>
      </c>
      <c r="H42" s="216"/>
      <c r="I42" s="67"/>
      <c r="J42" s="81">
        <f>'Ocorrências Mensais - FAT'!G59</f>
        <v>8.3333333333333329E-2</v>
      </c>
      <c r="K42" s="426">
        <f t="shared" si="1"/>
        <v>1.3716666666666666</v>
      </c>
      <c r="L42" s="38"/>
      <c r="N42" s="214"/>
      <c r="O42" s="38"/>
      <c r="P42" s="38"/>
      <c r="Q42" s="38"/>
      <c r="R42" s="38"/>
      <c r="S42" s="79"/>
    </row>
    <row r="43" spans="1:19" s="68" customFormat="1" ht="75.75" customHeight="1" x14ac:dyDescent="0.3">
      <c r="A43" s="80">
        <v>35</v>
      </c>
      <c r="B43" s="424" t="s">
        <v>590</v>
      </c>
      <c r="C43" s="81" t="s">
        <v>81</v>
      </c>
      <c r="D43" s="81" t="s">
        <v>520</v>
      </c>
      <c r="E43" s="87">
        <v>2</v>
      </c>
      <c r="F43" s="78" t="s">
        <v>532</v>
      </c>
      <c r="G43" s="211">
        <v>712.7</v>
      </c>
      <c r="H43" s="216"/>
      <c r="I43" s="67"/>
      <c r="J43" s="81">
        <f>'Ocorrências Mensais - FAT'!G60</f>
        <v>0.16666666666666666</v>
      </c>
      <c r="K43" s="426">
        <f t="shared" si="1"/>
        <v>118.78333333333333</v>
      </c>
      <c r="L43" s="38">
        <f t="shared" si="2"/>
        <v>12</v>
      </c>
      <c r="N43" s="214">
        <v>2.04</v>
      </c>
      <c r="O43" s="38">
        <f>ROUND(IF(Dados!$J$56="SIM",N43*Dados!$N$56,N43),2)</f>
        <v>2.04</v>
      </c>
      <c r="P43" s="38">
        <f>ROUND(IF(Dados!$J$57="SIM",O43*Dados!$N$57,O43),2)</f>
        <v>2.04</v>
      </c>
      <c r="Q43" s="38">
        <f>ROUND(IF(Dados!$J$58="SIM",P43*Dados!$N$58,P43),2)</f>
        <v>2.04</v>
      </c>
      <c r="R43" s="38">
        <f>ROUND(IF(Dados!$J$59="SIM",Q43*Dados!$N$59,Q43),2)</f>
        <v>2.04</v>
      </c>
      <c r="S43" s="79">
        <f>ROUND(IF(Dados!$J$60="SIM",R43*Dados!$N$60,R43),2)</f>
        <v>2.04</v>
      </c>
    </row>
    <row r="44" spans="1:19" ht="16.2" thickBot="1" x14ac:dyDescent="0.35">
      <c r="A44" s="631"/>
      <c r="B44" s="631"/>
      <c r="C44" s="631"/>
      <c r="D44" s="631"/>
      <c r="E44" s="631"/>
      <c r="F44" s="631"/>
      <c r="G44" s="631"/>
      <c r="H44" s="514"/>
      <c r="I44" s="57"/>
      <c r="J44" s="430" t="s">
        <v>162</v>
      </c>
      <c r="K44" s="431">
        <f>SUM(K9:K43)</f>
        <v>997.45916666666653</v>
      </c>
      <c r="N44" s="217"/>
      <c r="O44" s="63"/>
      <c r="P44" s="63"/>
      <c r="Q44" s="63"/>
      <c r="R44" s="63"/>
      <c r="S44" s="63"/>
    </row>
    <row r="45" spans="1:19" x14ac:dyDescent="0.3">
      <c r="A45" s="218"/>
      <c r="N45" s="217"/>
      <c r="O45" s="63"/>
      <c r="P45" s="63"/>
      <c r="Q45" s="63"/>
      <c r="R45" s="63"/>
      <c r="S45" s="63"/>
    </row>
    <row r="46" spans="1:19" ht="27.75" customHeight="1" x14ac:dyDescent="0.3">
      <c r="A46" s="632" t="s">
        <v>663</v>
      </c>
      <c r="B46" s="632"/>
      <c r="C46" s="632"/>
      <c r="D46" s="632"/>
      <c r="E46" s="632"/>
      <c r="F46" s="632"/>
      <c r="G46" s="632"/>
      <c r="H46" s="632"/>
      <c r="I46" s="68"/>
      <c r="J46" s="68"/>
      <c r="L46" s="68"/>
      <c r="N46" s="564" t="s">
        <v>328</v>
      </c>
      <c r="O46" s="564"/>
      <c r="P46" s="564"/>
      <c r="Q46" s="564"/>
      <c r="R46" s="564"/>
      <c r="S46" s="564"/>
    </row>
    <row r="47" spans="1:19" ht="15" customHeight="1" x14ac:dyDescent="0.3">
      <c r="A47" s="219"/>
      <c r="B47" s="98"/>
      <c r="C47" s="98"/>
      <c r="D47" s="98"/>
      <c r="E47" s="98"/>
      <c r="F47" s="98"/>
      <c r="G47" s="98"/>
      <c r="H47" s="220"/>
      <c r="I47" s="68"/>
      <c r="J47" s="68"/>
      <c r="L47" s="68"/>
      <c r="N47" s="564"/>
      <c r="O47" s="564"/>
      <c r="P47" s="564"/>
      <c r="Q47" s="564"/>
      <c r="R47" s="564"/>
      <c r="S47" s="564"/>
    </row>
    <row r="48" spans="1:19" ht="15" customHeight="1" x14ac:dyDescent="0.3">
      <c r="A48" s="633" t="s">
        <v>59</v>
      </c>
      <c r="B48" s="634" t="s">
        <v>329</v>
      </c>
      <c r="C48" s="634"/>
      <c r="D48" s="634"/>
      <c r="E48" s="205"/>
      <c r="F48" s="205"/>
      <c r="G48" s="205"/>
      <c r="H48" s="635" t="s">
        <v>330</v>
      </c>
      <c r="I48" s="68"/>
      <c r="J48" s="636" t="s">
        <v>331</v>
      </c>
      <c r="K48" s="636"/>
      <c r="L48" s="636"/>
      <c r="N48" s="564"/>
      <c r="O48" s="564"/>
      <c r="P48" s="564"/>
      <c r="Q48" s="564"/>
      <c r="R48" s="564"/>
      <c r="S48" s="564"/>
    </row>
    <row r="49" spans="1:19" ht="41.4" x14ac:dyDescent="0.3">
      <c r="A49" s="633"/>
      <c r="B49" s="205" t="s">
        <v>64</v>
      </c>
      <c r="C49" s="207" t="s">
        <v>65</v>
      </c>
      <c r="D49" s="207" t="s">
        <v>337</v>
      </c>
      <c r="E49" s="208" t="s">
        <v>333</v>
      </c>
      <c r="F49" s="209" t="s">
        <v>71</v>
      </c>
      <c r="G49" s="207" t="s">
        <v>332</v>
      </c>
      <c r="H49" s="635"/>
      <c r="I49" s="68"/>
      <c r="J49" s="221" t="s">
        <v>69</v>
      </c>
      <c r="K49" s="221" t="s">
        <v>68</v>
      </c>
      <c r="L49" s="208" t="s">
        <v>334</v>
      </c>
      <c r="N49" s="210" t="s">
        <v>335</v>
      </c>
      <c r="O49" s="21" t="s">
        <v>237</v>
      </c>
      <c r="P49" s="21" t="s">
        <v>238</v>
      </c>
      <c r="Q49" s="21" t="s">
        <v>239</v>
      </c>
      <c r="R49" s="21" t="s">
        <v>240</v>
      </c>
      <c r="S49" s="23" t="s">
        <v>241</v>
      </c>
    </row>
    <row r="50" spans="1:19" ht="55.2" x14ac:dyDescent="0.3">
      <c r="A50" s="87">
        <v>1</v>
      </c>
      <c r="B50" s="422" t="s">
        <v>591</v>
      </c>
      <c r="C50" s="81" t="s">
        <v>81</v>
      </c>
      <c r="D50" s="81" t="s">
        <v>592</v>
      </c>
      <c r="E50" s="87">
        <v>1</v>
      </c>
      <c r="F50" s="81" t="s">
        <v>526</v>
      </c>
      <c r="G50" s="211">
        <v>9.99</v>
      </c>
      <c r="H50" s="213"/>
      <c r="I50" s="68"/>
      <c r="J50" s="81">
        <f>'Ocorrências Mensais - FAT'!G69</f>
        <v>0.5</v>
      </c>
      <c r="K50" s="426">
        <f t="shared" ref="K50" si="3">G50*J50</f>
        <v>4.9950000000000001</v>
      </c>
      <c r="L50" s="38">
        <f t="shared" ref="L50:L54" si="4">IF(F50="MENSAL",1,IF(F50="BIMESTRAL",2,IF(F50="TRIMESTRAL",3,IF(F50="QUADRIMESTRAL",4,IF(F50="SEMESTRAL",6,IF(F50="ANUAL",12,IF(F50="BIENAL",24,"")))))))</f>
        <v>2</v>
      </c>
      <c r="N50" s="222">
        <v>3.1</v>
      </c>
      <c r="O50" s="38">
        <f>ROUND(IF(Dados!$J$56="SIM",N50*Dados!$N$56,N50),2)</f>
        <v>3.1</v>
      </c>
      <c r="P50" s="38">
        <f>ROUND(IF(Dados!$J$57="SIM",O50*Dados!$N$57,O50),2)</f>
        <v>3.1</v>
      </c>
      <c r="Q50" s="38">
        <f>ROUND(IF(Dados!$J$58="SIM",P50*Dados!$N$58,P50),2)</f>
        <v>3.1</v>
      </c>
      <c r="R50" s="38">
        <f>ROUND(IF(Dados!$J$59="SIM",Q50*Dados!$N$59,Q50),2)</f>
        <v>3.1</v>
      </c>
      <c r="S50" s="79">
        <f>ROUND(IF(Dados!$J$60="SIM",R50*Dados!$N$60,R50),2)</f>
        <v>3.1</v>
      </c>
    </row>
    <row r="51" spans="1:19" ht="55.2" x14ac:dyDescent="0.3">
      <c r="A51" s="87">
        <v>2</v>
      </c>
      <c r="B51" s="422" t="s">
        <v>593</v>
      </c>
      <c r="C51" s="81" t="s">
        <v>81</v>
      </c>
      <c r="D51" s="81" t="s">
        <v>594</v>
      </c>
      <c r="E51" s="87">
        <v>5</v>
      </c>
      <c r="F51" s="81" t="s">
        <v>528</v>
      </c>
      <c r="G51" s="211">
        <v>2.99</v>
      </c>
      <c r="H51" s="213"/>
      <c r="I51" s="68"/>
      <c r="J51" s="81">
        <f>'Ocorrências Mensais - FAT'!G70</f>
        <v>5</v>
      </c>
      <c r="K51" s="426">
        <f t="shared" ref="K51:K55" si="5">G51*J51</f>
        <v>14.950000000000001</v>
      </c>
      <c r="L51" s="38">
        <f t="shared" si="4"/>
        <v>1</v>
      </c>
      <c r="N51" s="222">
        <v>4.04</v>
      </c>
      <c r="O51" s="38">
        <f>ROUND(IF(Dados!$J$56="SIM",N51*Dados!$N$56,N51),2)</f>
        <v>4.04</v>
      </c>
      <c r="P51" s="38">
        <f>ROUND(IF(Dados!$J$57="SIM",O51*Dados!$N$57,O51),2)</f>
        <v>4.04</v>
      </c>
      <c r="Q51" s="38">
        <f>ROUND(IF(Dados!$J$58="SIM",P51*Dados!$N$58,P51),2)</f>
        <v>4.04</v>
      </c>
      <c r="R51" s="38">
        <f>ROUND(IF(Dados!$J$59="SIM",Q51*Dados!$N$59,Q51),2)</f>
        <v>4.04</v>
      </c>
      <c r="S51" s="79">
        <f>ROUND(IF(Dados!$J$60="SIM",R51*Dados!$N$60,R51),2)</f>
        <v>4.04</v>
      </c>
    </row>
    <row r="52" spans="1:19" ht="52.5" customHeight="1" x14ac:dyDescent="0.3">
      <c r="A52" s="87">
        <v>3</v>
      </c>
      <c r="B52" s="424" t="s">
        <v>543</v>
      </c>
      <c r="C52" s="81" t="s">
        <v>583</v>
      </c>
      <c r="D52" s="81" t="s">
        <v>545</v>
      </c>
      <c r="E52" s="87">
        <v>1</v>
      </c>
      <c r="F52" s="81" t="s">
        <v>528</v>
      </c>
      <c r="G52" s="211">
        <v>6.4</v>
      </c>
      <c r="H52" s="213"/>
      <c r="I52" s="68"/>
      <c r="J52" s="81">
        <f>'Ocorrências Mensais - FAT'!G71</f>
        <v>1</v>
      </c>
      <c r="K52" s="426">
        <f t="shared" si="5"/>
        <v>6.4</v>
      </c>
      <c r="L52" s="38">
        <f t="shared" si="4"/>
        <v>1</v>
      </c>
      <c r="N52" s="222">
        <v>1.5</v>
      </c>
      <c r="O52" s="38">
        <f>ROUND(IF(Dados!$J$56="SIM",N52*Dados!$N$56,N52),2)</f>
        <v>1.5</v>
      </c>
      <c r="P52" s="38">
        <f>ROUND(IF(Dados!$J$57="SIM",O52*Dados!$N$57,O52),2)</f>
        <v>1.5</v>
      </c>
      <c r="Q52" s="38">
        <f>ROUND(IF(Dados!$J$58="SIM",P52*Dados!$N$58,P52),2)</f>
        <v>1.5</v>
      </c>
      <c r="R52" s="38">
        <f>ROUND(IF(Dados!$J$59="SIM",Q52*Dados!$N$59,Q52),2)</f>
        <v>1.5</v>
      </c>
      <c r="S52" s="79">
        <f>ROUND(IF(Dados!$J$60="SIM",R52*Dados!$N$60,R52),2)</f>
        <v>1.5</v>
      </c>
    </row>
    <row r="53" spans="1:19" ht="41.4" x14ac:dyDescent="0.3">
      <c r="A53" s="87">
        <v>4</v>
      </c>
      <c r="B53" s="424" t="s">
        <v>595</v>
      </c>
      <c r="C53" s="81" t="s">
        <v>583</v>
      </c>
      <c r="D53" s="81" t="s">
        <v>577</v>
      </c>
      <c r="E53" s="87">
        <v>1</v>
      </c>
      <c r="F53" s="81" t="s">
        <v>560</v>
      </c>
      <c r="G53" s="211">
        <v>2.94</v>
      </c>
      <c r="H53" s="213"/>
      <c r="I53" s="68"/>
      <c r="J53" s="81">
        <f>'Ocorrências Mensais - FAT'!G72</f>
        <v>0.33333333333333331</v>
      </c>
      <c r="K53" s="426">
        <f t="shared" si="5"/>
        <v>0.98</v>
      </c>
      <c r="L53" s="38">
        <f t="shared" si="4"/>
        <v>3</v>
      </c>
      <c r="N53" s="222">
        <v>1.2</v>
      </c>
      <c r="O53" s="38">
        <f>ROUND(IF(Dados!$J$56="SIM",N53*Dados!$N$56,N53),2)</f>
        <v>1.2</v>
      </c>
      <c r="P53" s="38">
        <f>ROUND(IF(Dados!$J$57="SIM",O53*Dados!$N$57,O53),2)</f>
        <v>1.2</v>
      </c>
      <c r="Q53" s="38">
        <f>ROUND(IF(Dados!$J$58="SIM",P53*Dados!$N$58,P53),2)</f>
        <v>1.2</v>
      </c>
      <c r="R53" s="38">
        <f>ROUND(IF(Dados!$J$59="SIM",Q53*Dados!$N$59,Q53),2)</f>
        <v>1.2</v>
      </c>
      <c r="S53" s="79">
        <f>ROUND(IF(Dados!$J$60="SIM",R53*Dados!$N$60,R53),2)</f>
        <v>1.2</v>
      </c>
    </row>
    <row r="54" spans="1:19" ht="62.25" customHeight="1" x14ac:dyDescent="0.3">
      <c r="A54" s="87">
        <v>5</v>
      </c>
      <c r="B54" s="424" t="s">
        <v>596</v>
      </c>
      <c r="C54" s="81" t="s">
        <v>583</v>
      </c>
      <c r="D54" s="81" t="s">
        <v>597</v>
      </c>
      <c r="E54" s="87">
        <v>8</v>
      </c>
      <c r="F54" s="81" t="s">
        <v>528</v>
      </c>
      <c r="G54" s="211">
        <v>6.48</v>
      </c>
      <c r="H54" s="213"/>
      <c r="I54" s="68"/>
      <c r="J54" s="81">
        <f>'Ocorrências Mensais - FAT'!G73</f>
        <v>8</v>
      </c>
      <c r="K54" s="426">
        <f t="shared" si="5"/>
        <v>51.84</v>
      </c>
      <c r="L54" s="38">
        <f t="shared" si="4"/>
        <v>1</v>
      </c>
      <c r="N54" s="222">
        <v>1.5</v>
      </c>
      <c r="O54" s="38">
        <f>ROUND(IF(Dados!$J$56="SIM",N54*Dados!$N$56,N54),2)</f>
        <v>1.5</v>
      </c>
      <c r="P54" s="38">
        <f>ROUND(IF(Dados!$J$57="SIM",O54*Dados!$N$57,O54),2)</f>
        <v>1.5</v>
      </c>
      <c r="Q54" s="38">
        <f>ROUND(IF(Dados!$J$58="SIM",P54*Dados!$N$58,P54),2)</f>
        <v>1.5</v>
      </c>
      <c r="R54" s="38">
        <f>ROUND(IF(Dados!$J$59="SIM",Q54*Dados!$N$59,Q54),2)</f>
        <v>1.5</v>
      </c>
      <c r="S54" s="79">
        <f>ROUND(IF(Dados!$J$60="SIM",R54*Dados!$N$60,R54),2)</f>
        <v>1.5</v>
      </c>
    </row>
    <row r="55" spans="1:19" x14ac:dyDescent="0.3">
      <c r="A55" s="87">
        <v>6</v>
      </c>
      <c r="B55" s="424" t="s">
        <v>598</v>
      </c>
      <c r="C55" s="81" t="s">
        <v>81</v>
      </c>
      <c r="D55" s="81" t="s">
        <v>599</v>
      </c>
      <c r="E55" s="87">
        <v>1</v>
      </c>
      <c r="F55" s="81" t="s">
        <v>526</v>
      </c>
      <c r="G55" s="211">
        <v>10</v>
      </c>
      <c r="H55" s="213"/>
      <c r="I55" s="68"/>
      <c r="J55" s="81">
        <f>'Ocorrências Mensais - FAT'!G74</f>
        <v>0.5</v>
      </c>
      <c r="K55" s="426">
        <f t="shared" si="5"/>
        <v>5</v>
      </c>
      <c r="L55" s="38"/>
      <c r="N55" s="222"/>
      <c r="O55" s="38"/>
      <c r="P55" s="38"/>
      <c r="Q55" s="38"/>
      <c r="R55" s="38"/>
      <c r="S55" s="79"/>
    </row>
    <row r="56" spans="1:19" x14ac:dyDescent="0.3">
      <c r="A56" s="87">
        <v>7</v>
      </c>
      <c r="B56" s="424" t="s">
        <v>572</v>
      </c>
      <c r="C56" s="81" t="s">
        <v>583</v>
      </c>
      <c r="D56" s="81" t="s">
        <v>573</v>
      </c>
      <c r="E56" s="87">
        <v>4</v>
      </c>
      <c r="F56" s="81" t="s">
        <v>554</v>
      </c>
      <c r="G56" s="211">
        <v>12</v>
      </c>
      <c r="H56" s="213"/>
      <c r="I56" s="68"/>
      <c r="J56" s="81">
        <f>'Ocorrências Mensais - FAT'!G75</f>
        <v>0.66666666666666663</v>
      </c>
      <c r="K56" s="426">
        <f t="shared" ref="K56:K59" si="6">G56*J56</f>
        <v>8</v>
      </c>
      <c r="L56" s="38"/>
      <c r="N56" s="222"/>
      <c r="O56" s="38"/>
      <c r="P56" s="38"/>
      <c r="Q56" s="38"/>
      <c r="R56" s="38"/>
      <c r="S56" s="79"/>
    </row>
    <row r="57" spans="1:19" ht="105.75" customHeight="1" x14ac:dyDescent="0.3">
      <c r="A57" s="87">
        <v>8</v>
      </c>
      <c r="B57" s="424" t="s">
        <v>653</v>
      </c>
      <c r="C57" s="81" t="s">
        <v>80</v>
      </c>
      <c r="D57" s="81" t="s">
        <v>654</v>
      </c>
      <c r="E57" s="510">
        <v>2</v>
      </c>
      <c r="F57" s="78" t="s">
        <v>664</v>
      </c>
      <c r="G57" s="211">
        <v>29.53</v>
      </c>
      <c r="H57" s="213"/>
      <c r="I57" s="68"/>
      <c r="J57" s="81">
        <f>'Ocorrências Mensais - FAT'!G76</f>
        <v>2</v>
      </c>
      <c r="K57" s="426">
        <f t="shared" si="6"/>
        <v>59.06</v>
      </c>
      <c r="L57" s="38"/>
      <c r="N57" s="222"/>
      <c r="O57" s="38"/>
      <c r="P57" s="38"/>
      <c r="Q57" s="38"/>
      <c r="R57" s="38"/>
      <c r="S57" s="79"/>
    </row>
    <row r="58" spans="1:19" ht="69" x14ac:dyDescent="0.3">
      <c r="A58" s="87">
        <v>9</v>
      </c>
      <c r="B58" s="424" t="s">
        <v>655</v>
      </c>
      <c r="C58" s="81" t="s">
        <v>80</v>
      </c>
      <c r="D58" s="81" t="s">
        <v>656</v>
      </c>
      <c r="E58" s="87">
        <v>4</v>
      </c>
      <c r="F58" s="78" t="s">
        <v>659</v>
      </c>
      <c r="G58" s="211">
        <v>19.170000000000002</v>
      </c>
      <c r="H58" s="213"/>
      <c r="I58" s="68"/>
      <c r="J58" s="81">
        <f>'Ocorrências Mensais - FAT'!G77</f>
        <v>0.33333333333333331</v>
      </c>
      <c r="K58" s="426">
        <f t="shared" si="6"/>
        <v>6.3900000000000006</v>
      </c>
      <c r="L58" s="38"/>
      <c r="N58" s="222"/>
      <c r="O58" s="38"/>
      <c r="P58" s="38"/>
      <c r="Q58" s="38"/>
      <c r="R58" s="38"/>
      <c r="S58" s="79"/>
    </row>
    <row r="59" spans="1:19" ht="96.6" x14ac:dyDescent="0.3">
      <c r="A59" s="87">
        <v>10</v>
      </c>
      <c r="B59" s="424" t="s">
        <v>657</v>
      </c>
      <c r="C59" s="81" t="s">
        <v>80</v>
      </c>
      <c r="D59" s="81" t="s">
        <v>658</v>
      </c>
      <c r="E59" s="510">
        <v>3</v>
      </c>
      <c r="F59" s="78" t="s">
        <v>659</v>
      </c>
      <c r="G59" s="211">
        <v>7.92</v>
      </c>
      <c r="H59" s="213"/>
      <c r="I59" s="68"/>
      <c r="J59" s="81">
        <f>'Ocorrências Mensais - FAT'!G78</f>
        <v>0.25</v>
      </c>
      <c r="K59" s="426">
        <f t="shared" si="6"/>
        <v>1.98</v>
      </c>
      <c r="L59" s="38"/>
      <c r="N59" s="222"/>
      <c r="O59" s="38"/>
      <c r="P59" s="38"/>
      <c r="Q59" s="38"/>
      <c r="R59" s="38"/>
      <c r="S59" s="79"/>
    </row>
    <row r="60" spans="1:19" ht="16.2" thickBot="1" x14ac:dyDescent="0.35">
      <c r="A60" s="631"/>
      <c r="B60" s="631"/>
      <c r="C60" s="631"/>
      <c r="D60" s="631"/>
      <c r="E60" s="631"/>
      <c r="F60" s="631"/>
      <c r="G60" s="631"/>
      <c r="H60" s="427"/>
      <c r="I60" s="68"/>
      <c r="J60" s="428" t="s">
        <v>162</v>
      </c>
      <c r="K60" s="429">
        <f>SUM(K50:K59)</f>
        <v>159.595</v>
      </c>
      <c r="L60" s="68"/>
      <c r="N60" s="3"/>
      <c r="O60" s="3"/>
      <c r="P60" s="3"/>
      <c r="Q60" s="3"/>
      <c r="R60" s="3"/>
      <c r="S60" s="3"/>
    </row>
    <row r="61" spans="1:19" x14ac:dyDescent="0.3">
      <c r="A61" s="218"/>
      <c r="N61" s="3"/>
      <c r="O61" s="3"/>
      <c r="P61" s="3"/>
      <c r="Q61" s="3"/>
      <c r="R61" s="3"/>
      <c r="S61" s="3"/>
    </row>
  </sheetData>
  <sheetProtection algorithmName="SHA-512" hashValue="L+ks8CmanJJ1zS3LKxCXs9d1Qp7UyvORtIHvh4pzammidKUe0Y2VtJmLqwqjXWc8n/kN9tI0kHYpzprXrG9GYA==" saltValue="1i8sCW9G4s5b+CZMDEjxSA==" spinCount="100000" sheet="1" objects="1" scenarios="1"/>
  <mergeCells count="15">
    <mergeCell ref="A4:H4"/>
    <mergeCell ref="A5:H5"/>
    <mergeCell ref="N5:S7"/>
    <mergeCell ref="A6:A8"/>
    <mergeCell ref="B6:D7"/>
    <mergeCell ref="H6:H8"/>
    <mergeCell ref="J7:L7"/>
    <mergeCell ref="A60:G60"/>
    <mergeCell ref="A44:G44"/>
    <mergeCell ref="A46:H46"/>
    <mergeCell ref="N46:S48"/>
    <mergeCell ref="A48:A49"/>
    <mergeCell ref="B48:D48"/>
    <mergeCell ref="H48:H49"/>
    <mergeCell ref="J48:L48"/>
  </mergeCells>
  <dataValidations count="1">
    <dataValidation type="list" allowBlank="1" showInputMessage="1" showErrorMessage="1" sqref="F11:F43 F50:F59" xr:uid="{00000000-0002-0000-0400-000000000000}">
      <formula1>"Mensal,Bimestral,Trimestral,Quadrimestral,Semestral,Anual,Bienal"</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32"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F9"/>
  <sheetViews>
    <sheetView showGridLines="0" view="pageBreakPreview" zoomScale="140" zoomScaleNormal="50" zoomScaleSheetLayoutView="140" zoomScalePageLayoutView="140" workbookViewId="0">
      <selection activeCell="D8" sqref="D8"/>
    </sheetView>
  </sheetViews>
  <sheetFormatPr defaultColWidth="8.6640625" defaultRowHeight="14.4" x14ac:dyDescent="0.3"/>
  <cols>
    <col min="1" max="1" width="5.5546875" style="68" customWidth="1"/>
    <col min="2" max="2" width="64.6640625" style="68" customWidth="1"/>
    <col min="3" max="3" width="7.88671875" style="68" customWidth="1"/>
    <col min="4" max="6" width="13.6640625" style="68" customWidth="1"/>
    <col min="7" max="255" width="9" customWidth="1"/>
    <col min="256" max="256" width="5.5546875" customWidth="1"/>
    <col min="257" max="257" width="45.109375" customWidth="1"/>
    <col min="258" max="258" width="6.33203125" customWidth="1"/>
    <col min="259" max="262" width="13.6640625" customWidth="1"/>
    <col min="263" max="511" width="9" customWidth="1"/>
    <col min="512" max="512" width="5.5546875" customWidth="1"/>
    <col min="513" max="513" width="45.109375" customWidth="1"/>
    <col min="514" max="514" width="6.33203125" customWidth="1"/>
    <col min="515" max="518" width="13.6640625" customWidth="1"/>
    <col min="519" max="767" width="9" customWidth="1"/>
    <col min="768" max="768" width="5.5546875" customWidth="1"/>
    <col min="769" max="769" width="45.109375" customWidth="1"/>
    <col min="770" max="770" width="6.33203125" customWidth="1"/>
    <col min="771" max="774" width="13.6640625" customWidth="1"/>
    <col min="775" max="1024" width="9" customWidth="1"/>
  </cols>
  <sheetData>
    <row r="1" spans="1:6" s="68" customFormat="1" ht="11.25" customHeight="1" x14ac:dyDescent="0.3">
      <c r="A1" s="155"/>
      <c r="B1" s="95" t="str">
        <f>INSTRUÇÕES!B1</f>
        <v>Tribunal Regional Federal da 6ª Região</v>
      </c>
      <c r="C1" s="223"/>
      <c r="D1" s="224"/>
      <c r="E1" s="224"/>
      <c r="F1" s="225"/>
    </row>
    <row r="2" spans="1:6" s="68" customFormat="1" ht="11.25" customHeight="1" x14ac:dyDescent="0.3">
      <c r="A2" s="157"/>
      <c r="B2" s="97" t="str">
        <f>INSTRUÇÕES!B2</f>
        <v>Seção Judiciária de Minas Gerais</v>
      </c>
      <c r="C2" s="226"/>
      <c r="D2" s="227"/>
      <c r="E2" s="227"/>
      <c r="F2" s="228"/>
    </row>
    <row r="3" spans="1:6" s="68" customFormat="1" ht="10.5" customHeight="1" x14ac:dyDescent="0.3">
      <c r="A3" s="159"/>
      <c r="B3" s="97" t="str">
        <f>INSTRUÇÕES!B3</f>
        <v>Subseção Judiciária de Passos</v>
      </c>
      <c r="C3" s="226"/>
      <c r="D3" s="227"/>
      <c r="E3" s="227"/>
      <c r="F3" s="228"/>
    </row>
    <row r="4" spans="1:6" s="68" customFormat="1" ht="21.75" customHeight="1" x14ac:dyDescent="0.3">
      <c r="A4" s="639" t="s">
        <v>504</v>
      </c>
      <c r="B4" s="639"/>
      <c r="C4" s="639"/>
      <c r="D4" s="639"/>
      <c r="E4" s="639"/>
      <c r="F4" s="639"/>
    </row>
    <row r="5" spans="1:6" s="68" customFormat="1" ht="26.25" customHeight="1" x14ac:dyDescent="0.3">
      <c r="A5" s="640" t="s">
        <v>327</v>
      </c>
      <c r="B5" s="640"/>
      <c r="C5" s="640"/>
      <c r="D5" s="640"/>
      <c r="E5" s="640"/>
      <c r="F5" s="640"/>
    </row>
    <row r="6" spans="1:6" s="68" customFormat="1" ht="15.6" x14ac:dyDescent="0.3">
      <c r="A6" s="229"/>
      <c r="B6" s="230"/>
      <c r="C6" s="230"/>
      <c r="D6" s="230" t="s">
        <v>339</v>
      </c>
      <c r="E6" s="230"/>
      <c r="F6" s="231"/>
    </row>
    <row r="7" spans="1:6" s="68" customFormat="1" ht="27.6" x14ac:dyDescent="0.3">
      <c r="A7" s="232" t="s">
        <v>340</v>
      </c>
      <c r="B7" s="205" t="s">
        <v>341</v>
      </c>
      <c r="C7" s="205" t="s">
        <v>342</v>
      </c>
      <c r="D7" s="233" t="s">
        <v>343</v>
      </c>
      <c r="E7" s="233" t="s">
        <v>344</v>
      </c>
      <c r="F7" s="234" t="s">
        <v>345</v>
      </c>
    </row>
    <row r="8" spans="1:6" s="68" customFormat="1" ht="41.25" customHeight="1" x14ac:dyDescent="0.3">
      <c r="A8" s="235">
        <v>1</v>
      </c>
      <c r="B8" s="423" t="s">
        <v>605</v>
      </c>
      <c r="C8" s="236">
        <v>2</v>
      </c>
      <c r="D8" s="240">
        <v>59.29</v>
      </c>
      <c r="E8" s="238">
        <f>ROUND((D8*C8),2)</f>
        <v>118.58</v>
      </c>
      <c r="F8" s="239">
        <f>ROUND(E8/12,2)</f>
        <v>9.8800000000000008</v>
      </c>
    </row>
    <row r="9" spans="1:6" s="68" customFormat="1" ht="15.75" customHeight="1" thickBot="1" x14ac:dyDescent="0.35">
      <c r="A9" s="641" t="s">
        <v>498</v>
      </c>
      <c r="B9" s="642"/>
      <c r="C9" s="642"/>
      <c r="D9" s="642"/>
      <c r="E9" s="643"/>
      <c r="F9" s="241">
        <f>F8</f>
        <v>9.8800000000000008</v>
      </c>
    </row>
  </sheetData>
  <sheetProtection algorithmName="SHA-512" hashValue="apJsqo5WO/f1MKujpaWqXuldG7SgBuqCXYGoFSUu67PJE64HyAbhvNiVDQNnwFPam2xuE2zDJjzXDtch/XEpkA==" saltValue="ULyc5wBgqJgCHBahLi4N2g==" spinCount="100000" sheet="1" objects="1" scenarios="1"/>
  <mergeCells count="3">
    <mergeCell ref="A4:F4"/>
    <mergeCell ref="A5:F5"/>
    <mergeCell ref="A9:E9"/>
  </mergeCells>
  <printOptions horizontalCentered="1" verticalCentered="1"/>
  <pageMargins left="0.51180555555555596" right="0.51180555555555596" top="0.78749999999999998" bottom="0.78749999999999998" header="0.511811023622047" footer="0.511811023622047"/>
  <pageSetup paperSize="9" scale="77" fitToHeight="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G19"/>
  <sheetViews>
    <sheetView showGridLines="0" view="pageBreakPreview" zoomScale="50" zoomScaleNormal="100" zoomScaleSheetLayoutView="50" zoomScalePageLayoutView="140" workbookViewId="0">
      <selection activeCell="G10" sqref="G10:G14"/>
    </sheetView>
  </sheetViews>
  <sheetFormatPr defaultColWidth="8.6640625" defaultRowHeight="14.4" x14ac:dyDescent="0.3"/>
  <cols>
    <col min="1" max="1" width="5.5546875" style="68" customWidth="1"/>
    <col min="2" max="2" width="72.44140625" style="68" customWidth="1"/>
    <col min="3" max="3" width="7.88671875" style="68" customWidth="1"/>
    <col min="4" max="7" width="13.6640625" style="68" customWidth="1"/>
    <col min="8" max="256" width="9" customWidth="1"/>
    <col min="257" max="257" width="5.5546875" customWidth="1"/>
    <col min="258" max="258" width="45.109375" customWidth="1"/>
    <col min="259" max="259" width="6.33203125" customWidth="1"/>
    <col min="260" max="263" width="13.6640625" customWidth="1"/>
    <col min="264" max="512" width="9" customWidth="1"/>
    <col min="513" max="513" width="5.5546875" customWidth="1"/>
    <col min="514" max="514" width="45.109375" customWidth="1"/>
    <col min="515" max="515" width="6.33203125" customWidth="1"/>
    <col min="516" max="519" width="13.6640625" customWidth="1"/>
    <col min="520" max="768" width="9" customWidth="1"/>
    <col min="769" max="769" width="5.5546875" customWidth="1"/>
    <col min="770" max="770" width="45.109375" customWidth="1"/>
    <col min="771" max="771" width="6.33203125" customWidth="1"/>
    <col min="772" max="775" width="13.6640625" customWidth="1"/>
    <col min="776" max="1025" width="9" customWidth="1"/>
  </cols>
  <sheetData>
    <row r="1" spans="1:7" s="68" customFormat="1" ht="11.25" customHeight="1" x14ac:dyDescent="0.3">
      <c r="A1" s="155"/>
      <c r="B1" s="95" t="str">
        <f>INSTRUÇÕES!B1</f>
        <v>Tribunal Regional Federal da 6ª Região</v>
      </c>
      <c r="C1" s="223"/>
      <c r="D1" s="224"/>
      <c r="E1" s="224"/>
      <c r="F1" s="224"/>
      <c r="G1" s="225"/>
    </row>
    <row r="2" spans="1:7" s="68" customFormat="1" ht="11.25" customHeight="1" x14ac:dyDescent="0.3">
      <c r="A2" s="157"/>
      <c r="B2" s="97" t="str">
        <f>INSTRUÇÕES!B2</f>
        <v>Seção Judiciária de Minas Gerais</v>
      </c>
      <c r="C2" s="226"/>
      <c r="D2" s="227"/>
      <c r="E2" s="227"/>
      <c r="F2" s="227"/>
      <c r="G2" s="228"/>
    </row>
    <row r="3" spans="1:7" s="68" customFormat="1" ht="10.5" customHeight="1" x14ac:dyDescent="0.3">
      <c r="A3" s="159"/>
      <c r="B3" s="97" t="str">
        <f>INSTRUÇÕES!B3</f>
        <v>Subseção Judiciária de Passos</v>
      </c>
      <c r="C3" s="226"/>
      <c r="D3" s="227"/>
      <c r="E3" s="227"/>
      <c r="F3" s="227"/>
      <c r="G3" s="228"/>
    </row>
    <row r="4" spans="1:7" s="68" customFormat="1" ht="21.75" customHeight="1" x14ac:dyDescent="0.3">
      <c r="A4" s="639" t="s">
        <v>505</v>
      </c>
      <c r="B4" s="639"/>
      <c r="C4" s="639"/>
      <c r="D4" s="639"/>
      <c r="E4" s="639"/>
      <c r="F4" s="639"/>
      <c r="G4" s="639"/>
    </row>
    <row r="5" spans="1:7" s="68" customFormat="1" ht="26.25" customHeight="1" x14ac:dyDescent="0.3">
      <c r="A5" s="640" t="s">
        <v>327</v>
      </c>
      <c r="B5" s="640"/>
      <c r="C5" s="640"/>
      <c r="D5" s="640"/>
      <c r="E5" s="640"/>
      <c r="F5" s="640"/>
      <c r="G5" s="640"/>
    </row>
    <row r="6" spans="1:7" s="68" customFormat="1" ht="15.6" x14ac:dyDescent="0.3">
      <c r="A6" s="229"/>
      <c r="B6" s="230"/>
      <c r="C6" s="230"/>
      <c r="D6" s="230" t="s">
        <v>339</v>
      </c>
      <c r="E6" s="230"/>
      <c r="G6" s="231">
        <v>0.1</v>
      </c>
    </row>
    <row r="7" spans="1:7" s="68" customFormat="1" ht="13.8" x14ac:dyDescent="0.3">
      <c r="A7" s="645" t="s">
        <v>497</v>
      </c>
      <c r="B7" s="645"/>
      <c r="C7" s="645"/>
      <c r="D7" s="645"/>
      <c r="E7" s="645"/>
      <c r="F7" s="645"/>
      <c r="G7" s="645"/>
    </row>
    <row r="8" spans="1:7" s="68" customFormat="1" ht="13.8" x14ac:dyDescent="0.3">
      <c r="A8" s="646" t="s">
        <v>516</v>
      </c>
      <c r="B8" s="647"/>
      <c r="C8" s="647"/>
      <c r="D8" s="647"/>
      <c r="E8" s="647"/>
      <c r="F8" s="647"/>
      <c r="G8" s="648"/>
    </row>
    <row r="9" spans="1:7" s="68" customFormat="1" ht="27.6" x14ac:dyDescent="0.3">
      <c r="A9" s="232" t="s">
        <v>340</v>
      </c>
      <c r="B9" s="205" t="s">
        <v>341</v>
      </c>
      <c r="C9" s="205" t="s">
        <v>342</v>
      </c>
      <c r="D9" s="233" t="s">
        <v>343</v>
      </c>
      <c r="E9" s="233" t="s">
        <v>344</v>
      </c>
      <c r="F9" s="233" t="s">
        <v>496</v>
      </c>
      <c r="G9" s="234" t="s">
        <v>345</v>
      </c>
    </row>
    <row r="10" spans="1:7" s="68" customFormat="1" ht="55.2" x14ac:dyDescent="0.3">
      <c r="A10" s="262">
        <v>1</v>
      </c>
      <c r="B10" s="508" t="s">
        <v>600</v>
      </c>
      <c r="C10" s="504">
        <v>1</v>
      </c>
      <c r="D10" s="237">
        <v>377.77</v>
      </c>
      <c r="E10" s="504">
        <f>ROUND((D10*C10),2)</f>
        <v>377.77</v>
      </c>
      <c r="F10" s="504">
        <f>ROUND(E10*$G$6,2)</f>
        <v>37.78</v>
      </c>
      <c r="G10" s="505">
        <f>ROUND(F10/12,2)</f>
        <v>3.15</v>
      </c>
    </row>
    <row r="11" spans="1:7" s="68" customFormat="1" ht="41.4" x14ac:dyDescent="0.3">
      <c r="A11" s="262">
        <v>2</v>
      </c>
      <c r="B11" s="508" t="s">
        <v>601</v>
      </c>
      <c r="C11" s="504">
        <v>1</v>
      </c>
      <c r="D11" s="237">
        <v>196.5</v>
      </c>
      <c r="E11" s="504">
        <f t="shared" ref="E11:E14" si="0">ROUND((D11*C11),2)</f>
        <v>196.5</v>
      </c>
      <c r="F11" s="504">
        <f t="shared" ref="F11:F14" si="1">ROUND(E11*$G$6,2)</f>
        <v>19.649999999999999</v>
      </c>
      <c r="G11" s="505">
        <f t="shared" ref="G11:G14" si="2">ROUND(F11/12,2)</f>
        <v>1.64</v>
      </c>
    </row>
    <row r="12" spans="1:7" s="68" customFormat="1" ht="13.8" x14ac:dyDescent="0.3">
      <c r="A12" s="262">
        <v>3</v>
      </c>
      <c r="B12" s="508" t="s">
        <v>602</v>
      </c>
      <c r="C12" s="504">
        <v>1</v>
      </c>
      <c r="D12" s="237">
        <v>37.39</v>
      </c>
      <c r="E12" s="504">
        <f t="shared" si="0"/>
        <v>37.39</v>
      </c>
      <c r="F12" s="504">
        <f t="shared" si="1"/>
        <v>3.74</v>
      </c>
      <c r="G12" s="505">
        <f t="shared" si="2"/>
        <v>0.31</v>
      </c>
    </row>
    <row r="13" spans="1:7" s="68" customFormat="1" ht="27.6" x14ac:dyDescent="0.3">
      <c r="A13" s="262">
        <v>4</v>
      </c>
      <c r="B13" s="508" t="s">
        <v>603</v>
      </c>
      <c r="C13" s="504">
        <v>1</v>
      </c>
      <c r="D13" s="237">
        <v>598.49</v>
      </c>
      <c r="E13" s="504">
        <f t="shared" si="0"/>
        <v>598.49</v>
      </c>
      <c r="F13" s="504">
        <f t="shared" si="1"/>
        <v>59.85</v>
      </c>
      <c r="G13" s="505">
        <f t="shared" si="2"/>
        <v>4.99</v>
      </c>
    </row>
    <row r="14" spans="1:7" s="68" customFormat="1" ht="55.2" x14ac:dyDescent="0.3">
      <c r="A14" s="262">
        <v>5</v>
      </c>
      <c r="B14" s="508" t="s">
        <v>604</v>
      </c>
      <c r="C14" s="504">
        <v>1</v>
      </c>
      <c r="D14" s="237">
        <v>404.5</v>
      </c>
      <c r="E14" s="504">
        <f t="shared" si="0"/>
        <v>404.5</v>
      </c>
      <c r="F14" s="504">
        <f t="shared" si="1"/>
        <v>40.450000000000003</v>
      </c>
      <c r="G14" s="505">
        <f t="shared" si="2"/>
        <v>3.37</v>
      </c>
    </row>
    <row r="15" spans="1:7" s="68" customFormat="1" ht="13.8" x14ac:dyDescent="0.3">
      <c r="A15" s="649" t="s">
        <v>517</v>
      </c>
      <c r="B15" s="650"/>
      <c r="C15" s="650"/>
      <c r="D15" s="650"/>
      <c r="E15" s="650"/>
      <c r="F15" s="651"/>
      <c r="G15" s="506">
        <f>SUM(G10:G14)</f>
        <v>13.46</v>
      </c>
    </row>
    <row r="17" spans="1:7" ht="27.6" x14ac:dyDescent="0.3">
      <c r="A17" s="232" t="s">
        <v>340</v>
      </c>
      <c r="B17" s="205" t="s">
        <v>341</v>
      </c>
      <c r="C17" s="205" t="s">
        <v>342</v>
      </c>
      <c r="D17" s="233" t="s">
        <v>343</v>
      </c>
      <c r="E17" s="233" t="s">
        <v>344</v>
      </c>
      <c r="F17" s="233" t="s">
        <v>496</v>
      </c>
      <c r="G17" s="234" t="s">
        <v>345</v>
      </c>
    </row>
    <row r="18" spans="1:7" ht="42" customHeight="1" x14ac:dyDescent="0.3">
      <c r="A18" s="511">
        <v>1</v>
      </c>
      <c r="B18" s="422" t="s">
        <v>661</v>
      </c>
      <c r="C18" s="512">
        <v>1</v>
      </c>
      <c r="D18" s="211">
        <v>118.15</v>
      </c>
      <c r="E18" s="512">
        <f>C18*D18</f>
        <v>118.15</v>
      </c>
      <c r="F18" s="512">
        <f>ROUND(E18*$G$6,2)</f>
        <v>11.82</v>
      </c>
      <c r="G18" s="512">
        <f>ROUND(F18/12,2)</f>
        <v>0.99</v>
      </c>
    </row>
    <row r="19" spans="1:7" x14ac:dyDescent="0.3">
      <c r="A19" s="644" t="s">
        <v>666</v>
      </c>
      <c r="B19" s="644"/>
      <c r="C19" s="644"/>
      <c r="D19" s="644"/>
      <c r="E19" s="644"/>
      <c r="F19" s="644"/>
      <c r="G19" s="513">
        <f>SUM(G18)</f>
        <v>0.99</v>
      </c>
    </row>
  </sheetData>
  <sheetProtection algorithmName="SHA-512" hashValue="K7HCkMcTTKB9FF90BZy1aLU9hNNiPFfD8E7t9PByDy4KiOy7eO4hiKiKztWzk5Y76sTd0mNs8wG8TDvPA1kAqQ==" saltValue="uJqgh+vOFCTPSo0aR0fqBw==" spinCount="100000" sheet="1" objects="1" scenarios="1"/>
  <mergeCells count="6">
    <mergeCell ref="A19:F19"/>
    <mergeCell ref="A4:G4"/>
    <mergeCell ref="A5:G5"/>
    <mergeCell ref="A7:G7"/>
    <mergeCell ref="A8:G8"/>
    <mergeCell ref="A15:F15"/>
  </mergeCells>
  <printOptions horizontalCentered="1" verticalCentered="1"/>
  <pageMargins left="0.51180555555555596" right="0.51180555555555596" top="0.78749999999999998" bottom="0.78749999999999998" header="0.511811023622047" footer="0.511811023622047"/>
  <pageSetup paperSize="9" scale="65"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27"/>
  <sheetViews>
    <sheetView showGridLines="0" view="pageBreakPreview" topLeftCell="B1" zoomScale="50" zoomScaleNormal="100" zoomScaleSheetLayoutView="50" zoomScalePageLayoutView="140" workbookViewId="0">
      <selection activeCell="G24" sqref="G24"/>
    </sheetView>
  </sheetViews>
  <sheetFormatPr defaultColWidth="8.6640625" defaultRowHeight="14.4" x14ac:dyDescent="0.3"/>
  <cols>
    <col min="1" max="1" width="20.44140625" style="3" customWidth="1"/>
    <col min="2" max="2" width="17.109375" style="2" customWidth="1"/>
    <col min="3" max="3" width="9.88671875" style="242" customWidth="1"/>
    <col min="4" max="4" width="76.44140625" style="527" customWidth="1"/>
    <col min="5" max="5" width="13.6640625" style="1" customWidth="1"/>
    <col min="6" max="6" width="14.88671875" style="242" customWidth="1"/>
    <col min="7" max="7" width="12.44140625" style="243" customWidth="1"/>
    <col min="8" max="8" width="12.88671875" style="552" customWidth="1"/>
    <col min="9" max="9" width="9" customWidth="1"/>
    <col min="10" max="10" width="16.44140625" style="244" hidden="1" customWidth="1"/>
    <col min="11" max="15" width="11.33203125" style="244" hidden="1" customWidth="1"/>
    <col min="16" max="254" width="9" customWidth="1"/>
    <col min="255" max="255" width="13.33203125" customWidth="1"/>
    <col min="256" max="256" width="7.6640625" customWidth="1"/>
    <col min="257" max="257" width="6.109375" customWidth="1"/>
    <col min="258" max="258" width="56.109375" customWidth="1"/>
    <col min="259" max="259" width="9.33203125" customWidth="1"/>
    <col min="260" max="261" width="12.44140625" customWidth="1"/>
    <col min="262" max="262" width="10.88671875" customWidth="1"/>
    <col min="263" max="265" width="9" customWidth="1"/>
    <col min="266" max="266" width="11.44140625" customWidth="1"/>
    <col min="267" max="271" width="11.33203125" customWidth="1"/>
    <col min="272" max="510" width="9" customWidth="1"/>
    <col min="511" max="511" width="13.33203125" customWidth="1"/>
    <col min="512" max="512" width="7.6640625" customWidth="1"/>
    <col min="513" max="513" width="6.109375" customWidth="1"/>
    <col min="514" max="514" width="56.109375" customWidth="1"/>
    <col min="515" max="515" width="9.33203125" customWidth="1"/>
    <col min="516" max="517" width="12.44140625" customWidth="1"/>
    <col min="518" max="518" width="10.88671875" customWidth="1"/>
    <col min="519" max="521" width="9" customWidth="1"/>
    <col min="522" max="522" width="11.44140625" customWidth="1"/>
    <col min="523" max="527" width="11.33203125" customWidth="1"/>
    <col min="528" max="766" width="9" customWidth="1"/>
    <col min="767" max="767" width="13.33203125" customWidth="1"/>
    <col min="768" max="768" width="7.6640625" customWidth="1"/>
    <col min="769" max="769" width="6.109375" customWidth="1"/>
    <col min="770" max="770" width="56.109375" customWidth="1"/>
    <col min="771" max="771" width="9.33203125" customWidth="1"/>
    <col min="772" max="773" width="12.44140625" customWidth="1"/>
    <col min="774" max="774" width="10.88671875" customWidth="1"/>
    <col min="775" max="777" width="9" customWidth="1"/>
    <col min="778" max="778" width="11.44140625" customWidth="1"/>
    <col min="779" max="783" width="11.33203125" customWidth="1"/>
    <col min="784" max="1022" width="9" customWidth="1"/>
    <col min="1023" max="1023" width="13.33203125" customWidth="1"/>
    <col min="1024" max="1025" width="7.6640625" customWidth="1"/>
  </cols>
  <sheetData>
    <row r="1" spans="1:16" s="1" customFormat="1" ht="12.75" customHeight="1" x14ac:dyDescent="0.3">
      <c r="A1" s="245"/>
      <c r="B1" s="246" t="str">
        <f>INSTRUÇÕES!B1</f>
        <v>Tribunal Regional Federal da 6ª Região</v>
      </c>
      <c r="C1" s="247"/>
      <c r="D1" s="526"/>
      <c r="E1" s="248"/>
      <c r="F1" s="249"/>
      <c r="G1" s="250"/>
      <c r="H1" s="540"/>
      <c r="J1" s="660" t="s">
        <v>328</v>
      </c>
      <c r="K1" s="660"/>
      <c r="L1" s="660"/>
      <c r="M1" s="660"/>
      <c r="N1" s="660"/>
      <c r="O1" s="660"/>
    </row>
    <row r="2" spans="1:16" s="1" customFormat="1" ht="12.75" customHeight="1" x14ac:dyDescent="0.3">
      <c r="A2" s="251"/>
      <c r="B2" s="252" t="str">
        <f>INSTRUÇÕES!B2</f>
        <v>Seção Judiciária de Minas Gerais</v>
      </c>
      <c r="C2" s="253"/>
      <c r="D2" s="527"/>
      <c r="F2" s="242"/>
      <c r="G2" s="243"/>
      <c r="H2" s="541"/>
      <c r="J2" s="660"/>
      <c r="K2" s="660"/>
      <c r="L2" s="660"/>
      <c r="M2" s="660"/>
      <c r="N2" s="660"/>
      <c r="O2" s="660"/>
    </row>
    <row r="3" spans="1:16" s="113" customFormat="1" x14ac:dyDescent="0.3">
      <c r="A3" s="251"/>
      <c r="B3" s="254" t="str">
        <f>INSTRUÇÕES!B3</f>
        <v>Subseção Judiciária de Passos</v>
      </c>
      <c r="C3" s="255"/>
      <c r="D3" s="528"/>
      <c r="F3" s="256"/>
      <c r="G3" s="257"/>
      <c r="H3" s="542"/>
      <c r="J3" s="660"/>
      <c r="K3" s="660"/>
      <c r="L3" s="660"/>
      <c r="M3" s="660"/>
      <c r="N3" s="660"/>
      <c r="O3" s="660"/>
    </row>
    <row r="4" spans="1:16" s="227" customFormat="1" ht="15.6" x14ac:dyDescent="0.3">
      <c r="A4" s="661" t="s">
        <v>506</v>
      </c>
      <c r="B4" s="661"/>
      <c r="C4" s="661"/>
      <c r="D4" s="661"/>
      <c r="E4" s="661"/>
      <c r="F4" s="661"/>
      <c r="G4" s="661"/>
      <c r="H4" s="661"/>
      <c r="J4" s="660"/>
      <c r="K4" s="660"/>
      <c r="L4" s="660"/>
      <c r="M4" s="660"/>
      <c r="N4" s="660"/>
      <c r="O4" s="660"/>
    </row>
    <row r="5" spans="1:16" s="1" customFormat="1" ht="27" customHeight="1" x14ac:dyDescent="0.3">
      <c r="A5" s="662" t="s">
        <v>327</v>
      </c>
      <c r="B5" s="662"/>
      <c r="C5" s="662"/>
      <c r="D5" s="662"/>
      <c r="E5" s="662"/>
      <c r="F5" s="662"/>
      <c r="G5" s="662"/>
      <c r="H5" s="662"/>
      <c r="J5" s="663" t="s">
        <v>335</v>
      </c>
      <c r="K5" s="564" t="s">
        <v>237</v>
      </c>
      <c r="L5" s="564" t="s">
        <v>238</v>
      </c>
      <c r="M5" s="564" t="s">
        <v>239</v>
      </c>
      <c r="N5" s="564" t="s">
        <v>240</v>
      </c>
      <c r="O5" s="564" t="s">
        <v>241</v>
      </c>
    </row>
    <row r="6" spans="1:16" s="1" customFormat="1" ht="15.75" customHeight="1" x14ac:dyDescent="0.3">
      <c r="A6" s="664" t="s">
        <v>346</v>
      </c>
      <c r="B6" s="664"/>
      <c r="C6" s="664"/>
      <c r="D6" s="664"/>
      <c r="E6" s="664"/>
      <c r="F6" s="664"/>
      <c r="G6" s="664"/>
      <c r="H6" s="664"/>
      <c r="J6" s="663"/>
      <c r="K6" s="564"/>
      <c r="L6" s="564"/>
      <c r="M6" s="564"/>
      <c r="N6" s="564"/>
      <c r="O6" s="564"/>
    </row>
    <row r="7" spans="1:16" s="1" customFormat="1" ht="15.75" customHeight="1" x14ac:dyDescent="0.3">
      <c r="A7" s="258"/>
      <c r="B7" s="259"/>
      <c r="C7" s="260"/>
      <c r="D7" s="529"/>
      <c r="E7" s="259"/>
      <c r="F7" s="260"/>
      <c r="G7" s="261"/>
      <c r="H7" s="543"/>
      <c r="J7" s="663"/>
      <c r="K7" s="564"/>
      <c r="L7" s="564"/>
      <c r="M7" s="564"/>
      <c r="N7" s="564"/>
      <c r="O7" s="564"/>
    </row>
    <row r="8" spans="1:16" s="1" customFormat="1" ht="27.6" x14ac:dyDescent="0.3">
      <c r="A8" s="516" t="s">
        <v>347</v>
      </c>
      <c r="B8" s="517" t="s">
        <v>215</v>
      </c>
      <c r="C8" s="518" t="s">
        <v>348</v>
      </c>
      <c r="D8" s="530" t="s">
        <v>349</v>
      </c>
      <c r="E8" s="517" t="s">
        <v>350</v>
      </c>
      <c r="F8" s="519" t="s">
        <v>351</v>
      </c>
      <c r="G8" s="520" t="s">
        <v>338</v>
      </c>
      <c r="H8" s="544" t="s">
        <v>162</v>
      </c>
      <c r="J8" s="663"/>
      <c r="K8" s="564"/>
      <c r="L8" s="564"/>
      <c r="M8" s="564"/>
      <c r="N8" s="564"/>
      <c r="O8" s="564"/>
      <c r="P8" s="151"/>
    </row>
    <row r="9" spans="1:16" s="113" customFormat="1" ht="99.75" customHeight="1" x14ac:dyDescent="0.3">
      <c r="A9" s="522" t="s">
        <v>352</v>
      </c>
      <c r="B9" s="38" t="s">
        <v>608</v>
      </c>
      <c r="C9" s="263">
        <v>1</v>
      </c>
      <c r="D9" s="531" t="s">
        <v>619</v>
      </c>
      <c r="E9" s="81" t="s">
        <v>607</v>
      </c>
      <c r="F9" s="264">
        <f>1*2</f>
        <v>2</v>
      </c>
      <c r="G9" s="265">
        <v>69.099999999999994</v>
      </c>
      <c r="H9" s="545">
        <f>ROUND(F9*G9,2)</f>
        <v>138.19999999999999</v>
      </c>
      <c r="J9" s="266">
        <v>25.8</v>
      </c>
      <c r="K9" s="38">
        <f>ROUND(IF(Dados!$I$60="SIM",J9*Dados!$N$60,J9),2)</f>
        <v>25.8</v>
      </c>
      <c r="L9" s="38">
        <f>ROUND(IF(Dados!$I$61="SIM",K9*Dados!$N$61,K9),2)</f>
        <v>25.8</v>
      </c>
      <c r="M9" s="38">
        <f>ROUND(IF(Dados!$I$62="SIM",L9*Dados!$N$62,L9),2)</f>
        <v>25.8</v>
      </c>
      <c r="N9" s="38">
        <f>ROUND(IF(Dados!$I$63="SIM",M9*Dados!$N$63,M9),2)</f>
        <v>25.8</v>
      </c>
      <c r="O9" s="38">
        <f>ROUND(IF(Dados!$I$64="SIM",N9*Dados!$N$64,N9),2)</f>
        <v>25.8</v>
      </c>
    </row>
    <row r="10" spans="1:16" s="113" customFormat="1" ht="37.5" customHeight="1" x14ac:dyDescent="0.3">
      <c r="A10" s="654" t="s">
        <v>353</v>
      </c>
      <c r="B10" s="38" t="s">
        <v>611</v>
      </c>
      <c r="C10" s="263">
        <v>2</v>
      </c>
      <c r="D10" s="532" t="s">
        <v>610</v>
      </c>
      <c r="E10" s="276" t="s">
        <v>359</v>
      </c>
      <c r="F10" s="264">
        <f>2*2</f>
        <v>4</v>
      </c>
      <c r="G10" s="265">
        <v>74.099999999999994</v>
      </c>
      <c r="H10" s="545">
        <f>ROUND(F10*G10,2)</f>
        <v>296.39999999999998</v>
      </c>
      <c r="J10" s="266">
        <v>19.989999999999998</v>
      </c>
      <c r="K10" s="38">
        <f>ROUND(IF(Dados!$I$60="SIM",J10*Dados!$N$60,J10),2)</f>
        <v>19.989999999999998</v>
      </c>
      <c r="L10" s="38">
        <f>ROUND(IF(Dados!$I$61="SIM",K10*Dados!$N$61,K10),2)</f>
        <v>19.989999999999998</v>
      </c>
      <c r="M10" s="38">
        <f>ROUND(IF(Dados!$I$62="SIM",L10*Dados!$N$62,L10),2)</f>
        <v>19.989999999999998</v>
      </c>
      <c r="N10" s="38">
        <f>ROUND(IF(Dados!$I$63="SIM",M10*Dados!$N$63,M10),2)</f>
        <v>19.989999999999998</v>
      </c>
      <c r="O10" s="38">
        <f>ROUND(IF(Dados!$I$64="SIM",N10*Dados!$N$64,N10),2)</f>
        <v>19.989999999999998</v>
      </c>
    </row>
    <row r="11" spans="1:16" s="113" customFormat="1" ht="27.75" customHeight="1" x14ac:dyDescent="0.3">
      <c r="A11" s="655"/>
      <c r="B11" s="38" t="s">
        <v>616</v>
      </c>
      <c r="C11" s="263">
        <v>1</v>
      </c>
      <c r="D11" s="532" t="s">
        <v>617</v>
      </c>
      <c r="E11" s="276" t="s">
        <v>358</v>
      </c>
      <c r="F11" s="264">
        <f>1*2</f>
        <v>2</v>
      </c>
      <c r="G11" s="265">
        <v>76.16</v>
      </c>
      <c r="H11" s="545">
        <f>ROUND(F11*G11,2)</f>
        <v>152.32</v>
      </c>
      <c r="J11" s="266"/>
      <c r="K11" s="38"/>
      <c r="L11" s="38"/>
      <c r="M11" s="38"/>
      <c r="N11" s="38"/>
      <c r="O11" s="38"/>
    </row>
    <row r="12" spans="1:16" s="113" customFormat="1" ht="37.5" customHeight="1" x14ac:dyDescent="0.3">
      <c r="A12" s="268">
        <f>Dados!B7+Dados!B8</f>
        <v>2</v>
      </c>
      <c r="B12" s="38" t="s">
        <v>614</v>
      </c>
      <c r="C12" s="263">
        <v>3</v>
      </c>
      <c r="D12" s="533" t="s">
        <v>613</v>
      </c>
      <c r="E12" s="81" t="s">
        <v>607</v>
      </c>
      <c r="F12" s="264">
        <f>3*2</f>
        <v>6</v>
      </c>
      <c r="G12" s="265">
        <v>32.65</v>
      </c>
      <c r="H12" s="545">
        <f>ROUND(F12*G12,2)</f>
        <v>195.9</v>
      </c>
      <c r="J12" s="266">
        <v>39.9</v>
      </c>
      <c r="K12" s="38">
        <f>ROUND(IF(Dados!$I$60="SIM",J12*Dados!$N$60,J12),2)</f>
        <v>39.9</v>
      </c>
      <c r="L12" s="38">
        <f>ROUND(IF(Dados!$I$61="SIM",K12*Dados!$N$61,K12),2)</f>
        <v>39.9</v>
      </c>
      <c r="M12" s="38">
        <f>ROUND(IF(Dados!$I$62="SIM",L12*Dados!$N$62,L12),2)</f>
        <v>39.9</v>
      </c>
      <c r="N12" s="38">
        <f>ROUND(IF(Dados!$I$63="SIM",M12*Dados!$N$63,M12),2)</f>
        <v>39.9</v>
      </c>
      <c r="O12" s="38">
        <f>ROUND(IF(Dados!$I$64="SIM",N12*Dados!$N$64,N12),2)</f>
        <v>39.9</v>
      </c>
    </row>
    <row r="13" spans="1:16" s="113" customFormat="1" x14ac:dyDescent="0.3">
      <c r="A13" s="656" t="s">
        <v>354</v>
      </c>
      <c r="B13" s="656"/>
      <c r="C13" s="656"/>
      <c r="D13" s="656"/>
      <c r="E13" s="656"/>
      <c r="F13" s="656"/>
      <c r="G13" s="656"/>
      <c r="H13" s="546">
        <f>SUM(H9:H12)</f>
        <v>782.81999999999994</v>
      </c>
      <c r="J13" s="3"/>
      <c r="K13" s="3"/>
      <c r="L13" s="3"/>
      <c r="M13" s="3"/>
      <c r="N13" s="3"/>
      <c r="O13" s="3"/>
    </row>
    <row r="14" spans="1:16" s="113" customFormat="1" ht="15.6" x14ac:dyDescent="0.3">
      <c r="A14" s="653" t="s">
        <v>355</v>
      </c>
      <c r="B14" s="653"/>
      <c r="C14" s="653"/>
      <c r="D14" s="653"/>
      <c r="E14" s="653"/>
      <c r="F14" s="653"/>
      <c r="G14" s="269"/>
      <c r="H14" s="547">
        <f>ROUND(H13/$A$12/12,2)</f>
        <v>32.619999999999997</v>
      </c>
      <c r="J14" s="3"/>
      <c r="K14" s="3"/>
      <c r="L14" s="3"/>
      <c r="M14" s="3"/>
      <c r="N14" s="3"/>
      <c r="O14" s="3"/>
    </row>
    <row r="15" spans="1:16" s="113" customFormat="1" ht="35.25" customHeight="1" x14ac:dyDescent="0.3">
      <c r="A15" s="270"/>
      <c r="B15" s="60"/>
      <c r="C15" s="271"/>
      <c r="D15" s="534"/>
      <c r="E15" s="272"/>
      <c r="F15" s="271"/>
      <c r="G15" s="273"/>
      <c r="H15" s="548"/>
      <c r="J15" s="3"/>
      <c r="K15" s="3"/>
      <c r="L15" s="3"/>
      <c r="M15" s="3"/>
      <c r="N15" s="3"/>
      <c r="O15" s="3"/>
    </row>
    <row r="16" spans="1:16" s="113" customFormat="1" ht="30.75" customHeight="1" x14ac:dyDescent="0.3">
      <c r="A16" s="516" t="s">
        <v>347</v>
      </c>
      <c r="B16" s="517" t="s">
        <v>215</v>
      </c>
      <c r="C16" s="518" t="s">
        <v>348</v>
      </c>
      <c r="D16" s="530" t="s">
        <v>349</v>
      </c>
      <c r="E16" s="517" t="s">
        <v>350</v>
      </c>
      <c r="F16" s="519" t="s">
        <v>351</v>
      </c>
      <c r="G16" s="520" t="s">
        <v>338</v>
      </c>
      <c r="H16" s="544" t="s">
        <v>162</v>
      </c>
      <c r="J16" s="274" t="s">
        <v>335</v>
      </c>
      <c r="K16" s="275" t="s">
        <v>237</v>
      </c>
      <c r="L16" s="275" t="s">
        <v>238</v>
      </c>
      <c r="M16" s="275" t="s">
        <v>239</v>
      </c>
      <c r="N16" s="275" t="s">
        <v>240</v>
      </c>
      <c r="O16" s="275" t="s">
        <v>241</v>
      </c>
    </row>
    <row r="17" spans="1:16" s="113" customFormat="1" ht="41.25" customHeight="1" x14ac:dyDescent="0.3">
      <c r="A17" s="523" t="s">
        <v>356</v>
      </c>
      <c r="B17" s="38" t="s">
        <v>518</v>
      </c>
      <c r="C17" s="263">
        <v>1</v>
      </c>
      <c r="D17" s="532" t="s">
        <v>615</v>
      </c>
      <c r="E17" s="276" t="s">
        <v>360</v>
      </c>
      <c r="F17" s="264">
        <v>1</v>
      </c>
      <c r="G17" s="265">
        <v>66.540000000000006</v>
      </c>
      <c r="H17" s="545">
        <f t="shared" ref="H17" si="0">ROUND(F17*G17,2)</f>
        <v>66.540000000000006</v>
      </c>
      <c r="J17" s="266">
        <v>29.9</v>
      </c>
      <c r="K17" s="38">
        <f>ROUND(IF(Dados!$I$60="SIM",J17*Dados!$N$60,J17),2)</f>
        <v>29.9</v>
      </c>
      <c r="L17" s="38">
        <f>ROUND(IF(Dados!$I$61="SIM",K17*Dados!$N$61,K17),2)</f>
        <v>29.9</v>
      </c>
      <c r="M17" s="38">
        <f>ROUND(IF(Dados!$I$62="SIM",L17*Dados!$N$62,L17),2)</f>
        <v>29.9</v>
      </c>
      <c r="N17" s="38">
        <f>ROUND(IF(Dados!$I$63="SIM",M17*Dados!$N$63,M17),2)</f>
        <v>29.9</v>
      </c>
      <c r="O17" s="38">
        <f>ROUND(IF(Dados!$I$64="SIM",N17*Dados!$N$64,N17),2)</f>
        <v>29.9</v>
      </c>
    </row>
    <row r="18" spans="1:16" s="113" customFormat="1" ht="24" x14ac:dyDescent="0.3">
      <c r="A18" s="509" t="s">
        <v>353</v>
      </c>
      <c r="B18" s="38" t="s">
        <v>357</v>
      </c>
      <c r="C18" s="263">
        <v>1</v>
      </c>
      <c r="D18" s="535" t="s">
        <v>618</v>
      </c>
      <c r="E18" s="276" t="s">
        <v>360</v>
      </c>
      <c r="F18" s="264">
        <v>1</v>
      </c>
      <c r="G18" s="265">
        <v>45.35</v>
      </c>
      <c r="H18" s="545">
        <f t="shared" ref="H18" si="1">ROUND(F18*G18,2)</f>
        <v>45.35</v>
      </c>
      <c r="J18" s="507"/>
      <c r="K18" s="63"/>
      <c r="L18" s="63"/>
      <c r="M18" s="63"/>
      <c r="N18" s="63"/>
      <c r="O18" s="63"/>
    </row>
    <row r="19" spans="1:16" s="113" customFormat="1" ht="21.75" customHeight="1" thickBot="1" x14ac:dyDescent="0.35">
      <c r="A19" s="524">
        <f>Dados!B8</f>
        <v>1</v>
      </c>
      <c r="B19" s="657" t="s">
        <v>354</v>
      </c>
      <c r="C19" s="658"/>
      <c r="D19" s="658"/>
      <c r="E19" s="658"/>
      <c r="F19" s="658"/>
      <c r="G19" s="659"/>
      <c r="H19" s="549">
        <f>SUM(H17:H18)</f>
        <v>111.89000000000001</v>
      </c>
      <c r="J19" s="3"/>
      <c r="K19" s="3"/>
      <c r="L19" s="3"/>
      <c r="M19" s="3"/>
      <c r="N19" s="3"/>
      <c r="O19" s="3"/>
    </row>
    <row r="20" spans="1:16" s="113" customFormat="1" ht="16.2" thickBot="1" x14ac:dyDescent="0.35">
      <c r="A20" s="653" t="s">
        <v>499</v>
      </c>
      <c r="B20" s="653"/>
      <c r="C20" s="653"/>
      <c r="D20" s="653"/>
      <c r="E20" s="653"/>
      <c r="F20" s="653"/>
      <c r="G20" s="269"/>
      <c r="H20" s="547">
        <f>ROUND(H19/A19/12,2)</f>
        <v>9.32</v>
      </c>
      <c r="J20" s="3"/>
      <c r="K20" s="3"/>
      <c r="L20" s="3"/>
      <c r="M20" s="3"/>
      <c r="N20" s="3"/>
      <c r="O20" s="3"/>
    </row>
    <row r="21" spans="1:16" s="113" customFormat="1" ht="32.25" customHeight="1" x14ac:dyDescent="0.3">
      <c r="A21" s="229"/>
      <c r="B21" s="277"/>
      <c r="C21" s="278"/>
      <c r="D21" s="536"/>
      <c r="E21" s="277"/>
      <c r="F21" s="278"/>
      <c r="G21" s="279"/>
      <c r="H21" s="550"/>
      <c r="J21" s="3"/>
      <c r="K21" s="3"/>
      <c r="L21" s="3"/>
      <c r="M21" s="3"/>
      <c r="N21" s="3"/>
      <c r="O21" s="3"/>
    </row>
    <row r="22" spans="1:16" ht="31.5" customHeight="1" x14ac:dyDescent="0.3">
      <c r="A22" s="516" t="s">
        <v>347</v>
      </c>
      <c r="B22" s="517" t="s">
        <v>215</v>
      </c>
      <c r="C22" s="518" t="s">
        <v>348</v>
      </c>
      <c r="D22" s="530" t="s">
        <v>349</v>
      </c>
      <c r="E22" s="517" t="s">
        <v>350</v>
      </c>
      <c r="F22" s="519" t="s">
        <v>351</v>
      </c>
      <c r="G22" s="521" t="s">
        <v>338</v>
      </c>
      <c r="H22" s="544" t="s">
        <v>162</v>
      </c>
      <c r="J22" s="274" t="s">
        <v>335</v>
      </c>
      <c r="K22" s="275" t="s">
        <v>237</v>
      </c>
      <c r="L22" s="275" t="s">
        <v>238</v>
      </c>
      <c r="M22" s="275" t="s">
        <v>239</v>
      </c>
      <c r="N22" s="275" t="s">
        <v>240</v>
      </c>
      <c r="O22" s="275" t="s">
        <v>241</v>
      </c>
    </row>
    <row r="23" spans="1:16" ht="207" customHeight="1" x14ac:dyDescent="0.3">
      <c r="A23" s="522" t="s">
        <v>515</v>
      </c>
      <c r="B23" s="38" t="s">
        <v>606</v>
      </c>
      <c r="C23" s="263">
        <v>3</v>
      </c>
      <c r="D23" s="537" t="s">
        <v>669</v>
      </c>
      <c r="E23" s="81" t="s">
        <v>607</v>
      </c>
      <c r="F23" s="264">
        <f>3*4</f>
        <v>12</v>
      </c>
      <c r="G23" s="265">
        <v>102.59</v>
      </c>
      <c r="H23" s="545">
        <f>ROUND(F23*G23,2)</f>
        <v>1231.08</v>
      </c>
      <c r="J23" s="266">
        <v>39.9</v>
      </c>
      <c r="K23" s="38">
        <f>ROUND(IF(Dados!$I$60="SIM",J23*Dados!$N$60,J23),2)</f>
        <v>39.9</v>
      </c>
      <c r="L23" s="38">
        <f>ROUND(IF(Dados!$I$61="SIM",K23*Dados!$N$61,K23),2)</f>
        <v>39.9</v>
      </c>
      <c r="M23" s="38">
        <f>ROUND(IF(Dados!$I$62="SIM",L23*Dados!$N$62,L23),2)</f>
        <v>39.9</v>
      </c>
      <c r="N23" s="38">
        <f>ROUND(IF(Dados!$I$63="SIM",M23*Dados!$N$63,M23),2)</f>
        <v>39.9</v>
      </c>
      <c r="O23" s="38">
        <f>ROUND(IF(Dados!$I$64="SIM",N23*Dados!$N$64,N23),2)</f>
        <v>39.9</v>
      </c>
    </row>
    <row r="24" spans="1:16" ht="190.5" customHeight="1" x14ac:dyDescent="0.3">
      <c r="A24" s="267" t="s">
        <v>353</v>
      </c>
      <c r="B24" s="38" t="s">
        <v>609</v>
      </c>
      <c r="C24" s="263">
        <v>2</v>
      </c>
      <c r="D24" s="538" t="s">
        <v>670</v>
      </c>
      <c r="E24" s="276" t="s">
        <v>359</v>
      </c>
      <c r="F24" s="264">
        <f>2*4</f>
        <v>8</v>
      </c>
      <c r="G24" s="265">
        <v>94.78</v>
      </c>
      <c r="H24" s="545">
        <f>ROUND(F24*G24,2)</f>
        <v>758.24</v>
      </c>
      <c r="J24" s="266">
        <v>19.989999999999998</v>
      </c>
      <c r="K24" s="38">
        <f>ROUND(IF(Dados!$I$60="SIM",J24*Dados!$N$60,J24),2)</f>
        <v>19.989999999999998</v>
      </c>
      <c r="L24" s="38">
        <f>ROUND(IF(Dados!$I$61="SIM",K24*Dados!$N$61,K24),2)</f>
        <v>19.989999999999998</v>
      </c>
      <c r="M24" s="38">
        <f>ROUND(IF(Dados!$I$62="SIM",L24*Dados!$N$62,L24),2)</f>
        <v>19.989999999999998</v>
      </c>
      <c r="N24" s="38">
        <f>ROUND(IF(Dados!$I$63="SIM",M24*Dados!$N$63,M24),2)</f>
        <v>19.989999999999998</v>
      </c>
      <c r="O24" s="38">
        <f>ROUND(IF(Dados!$I$64="SIM",N24*Dados!$N$64,N24),2)</f>
        <v>19.989999999999998</v>
      </c>
    </row>
    <row r="25" spans="1:16" ht="61.5" customHeight="1" x14ac:dyDescent="0.3">
      <c r="A25" s="525">
        <f>Dados!B10+Dados!B9</f>
        <v>4</v>
      </c>
      <c r="B25" s="38" t="s">
        <v>612</v>
      </c>
      <c r="C25" s="263">
        <v>1</v>
      </c>
      <c r="D25" s="539" t="s">
        <v>671</v>
      </c>
      <c r="E25" s="81" t="s">
        <v>358</v>
      </c>
      <c r="F25" s="264">
        <f>1*4</f>
        <v>4</v>
      </c>
      <c r="G25" s="265">
        <v>102.17</v>
      </c>
      <c r="H25" s="545">
        <f>ROUND(F25*G25,2)</f>
        <v>408.68</v>
      </c>
      <c r="J25" s="266"/>
      <c r="K25" s="38"/>
      <c r="L25" s="38"/>
      <c r="M25" s="38"/>
      <c r="N25" s="38"/>
      <c r="O25" s="38"/>
    </row>
    <row r="26" spans="1:16" x14ac:dyDescent="0.3">
      <c r="A26" s="652" t="s">
        <v>354</v>
      </c>
      <c r="B26" s="652"/>
      <c r="C26" s="652"/>
      <c r="D26" s="652"/>
      <c r="E26" s="652"/>
      <c r="F26" s="652"/>
      <c r="G26" s="652"/>
      <c r="H26" s="551">
        <f>SUM(H23:H25)</f>
        <v>2398</v>
      </c>
      <c r="N26" s="3"/>
      <c r="O26" s="3"/>
      <c r="P26" s="113"/>
    </row>
    <row r="27" spans="1:16" ht="16.2" thickBot="1" x14ac:dyDescent="0.35">
      <c r="A27" s="653" t="s">
        <v>361</v>
      </c>
      <c r="B27" s="653"/>
      <c r="C27" s="653"/>
      <c r="D27" s="653"/>
      <c r="E27" s="653"/>
      <c r="F27" s="653"/>
      <c r="G27" s="269"/>
      <c r="H27" s="547">
        <f>ROUND(H26/A25/12,2)</f>
        <v>49.96</v>
      </c>
    </row>
  </sheetData>
  <sheetProtection algorithmName="SHA-512" hashValue="SAfcyqrD+di5xOyZmj8qJvPxAOC/rz8N6bjIwFaa+l0Viqenq1gDlGR4kKq2dnPXmfDw2+Qazpth6gmeWIRM/g==" saltValue="ybpuKE5IDXn5qhhX6Vv1iw==" spinCount="100000" sheet="1" objects="1" scenarios="1"/>
  <mergeCells count="17">
    <mergeCell ref="J1:O4"/>
    <mergeCell ref="A4:H4"/>
    <mergeCell ref="A5:H5"/>
    <mergeCell ref="J5:J8"/>
    <mergeCell ref="K5:K8"/>
    <mergeCell ref="L5:L8"/>
    <mergeCell ref="M5:M8"/>
    <mergeCell ref="N5:N8"/>
    <mergeCell ref="O5:O8"/>
    <mergeCell ref="A6:H6"/>
    <mergeCell ref="A26:G26"/>
    <mergeCell ref="A27:F27"/>
    <mergeCell ref="A20:F20"/>
    <mergeCell ref="A10:A11"/>
    <mergeCell ref="A13:G13"/>
    <mergeCell ref="A14:F14"/>
    <mergeCell ref="B19:G19"/>
  </mergeCells>
  <printOptions horizontalCentered="1" verticalCentered="1"/>
  <pageMargins left="0.51180555555555596" right="0.51180555555555596" top="0.78749999999999998" bottom="0.78749999999999998" header="0.511811023622047" footer="0.511811023622047"/>
  <pageSetup paperSize="9" scale="5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AMK23"/>
  <sheetViews>
    <sheetView showGridLines="0" view="pageBreakPreview" zoomScale="50" zoomScaleNormal="100" zoomScaleSheetLayoutView="50" zoomScalePageLayoutView="140" workbookViewId="0"/>
  </sheetViews>
  <sheetFormatPr defaultColWidth="8.6640625" defaultRowHeight="14.4" x14ac:dyDescent="0.3"/>
  <cols>
    <col min="1" max="1" width="12" style="1" customWidth="1"/>
    <col min="2" max="2" width="44.44140625" style="1" customWidth="1"/>
    <col min="3" max="3" width="7.109375" style="1" customWidth="1"/>
    <col min="4" max="4" width="6.6640625" style="1" customWidth="1"/>
    <col min="5" max="5" width="10.109375" style="1" customWidth="1"/>
    <col min="6" max="6" width="12.5546875" style="1" customWidth="1"/>
    <col min="7" max="7" width="12.33203125" style="1" customWidth="1"/>
    <col min="8" max="8" width="13.44140625" style="1" customWidth="1"/>
    <col min="9" max="9" width="11.88671875" style="1" customWidth="1"/>
    <col min="10" max="10" width="13.6640625" style="1" customWidth="1"/>
    <col min="11" max="11" width="11.33203125" style="1" customWidth="1"/>
    <col min="12" max="12" width="15.5546875" style="1" customWidth="1"/>
    <col min="13" max="13" width="12.33203125" style="1" customWidth="1"/>
    <col min="14" max="14" width="7.44140625" style="1" customWidth="1"/>
    <col min="15" max="15" width="13.33203125" style="1" customWidth="1"/>
    <col min="16" max="16" width="12" style="1" customWidth="1"/>
    <col min="17" max="17" width="9.5546875" style="1" customWidth="1"/>
    <col min="18" max="18" width="11.33203125" style="1" customWidth="1"/>
    <col min="19" max="19" width="16.109375" style="1" customWidth="1"/>
    <col min="20" max="20" width="12.109375" style="1" customWidth="1"/>
    <col min="21" max="22" width="10.109375" style="1" customWidth="1"/>
    <col min="23" max="23" width="16.44140625" style="1" customWidth="1"/>
    <col min="24" max="259" width="9.109375" style="1" customWidth="1"/>
    <col min="260" max="260" width="13.109375" style="1" customWidth="1"/>
    <col min="261" max="261" width="38.44140625" style="1" customWidth="1"/>
    <col min="262" max="262" width="7.109375" style="1" customWidth="1"/>
    <col min="263" max="263" width="6.6640625" style="1" customWidth="1"/>
    <col min="264" max="264" width="10.109375" style="1" customWidth="1"/>
    <col min="265" max="265" width="12.5546875" style="1" customWidth="1"/>
    <col min="266" max="266" width="12.33203125" style="1" customWidth="1"/>
    <col min="267" max="267" width="13.44140625" style="1" customWidth="1"/>
    <col min="268" max="268" width="12.109375" style="1" customWidth="1"/>
    <col min="269" max="269" width="13.6640625" style="1" customWidth="1"/>
    <col min="270" max="270" width="11.33203125" style="1" customWidth="1"/>
    <col min="271" max="271" width="15.5546875" style="1" customWidth="1"/>
    <col min="272" max="272" width="12.33203125" style="1" customWidth="1"/>
    <col min="273" max="273" width="7.44140625" style="1" customWidth="1"/>
    <col min="274" max="274" width="13.33203125" style="1" customWidth="1"/>
    <col min="275" max="275" width="14" style="1" customWidth="1"/>
    <col min="276" max="276" width="12.109375" style="1" customWidth="1"/>
    <col min="277" max="278" width="10.109375" style="1" customWidth="1"/>
    <col min="279" max="279" width="16.44140625" style="1" customWidth="1"/>
    <col min="280" max="515" width="9.109375" style="1" customWidth="1"/>
    <col min="516" max="516" width="13.109375" style="1" customWidth="1"/>
    <col min="517" max="517" width="38.44140625" style="1" customWidth="1"/>
    <col min="518" max="518" width="7.109375" style="1" customWidth="1"/>
    <col min="519" max="519" width="6.6640625" style="1" customWidth="1"/>
    <col min="520" max="520" width="10.109375" style="1" customWidth="1"/>
    <col min="521" max="521" width="12.5546875" style="1" customWidth="1"/>
    <col min="522" max="522" width="12.33203125" style="1" customWidth="1"/>
    <col min="523" max="523" width="13.44140625" style="1" customWidth="1"/>
    <col min="524" max="524" width="12.109375" style="1" customWidth="1"/>
    <col min="525" max="525" width="13.6640625" style="1" customWidth="1"/>
    <col min="526" max="526" width="11.33203125" style="1" customWidth="1"/>
    <col min="527" max="527" width="15.5546875" style="1" customWidth="1"/>
    <col min="528" max="528" width="12.33203125" style="1" customWidth="1"/>
    <col min="529" max="529" width="7.44140625" style="1" customWidth="1"/>
    <col min="530" max="530" width="13.33203125" style="1" customWidth="1"/>
    <col min="531" max="531" width="14" style="1" customWidth="1"/>
    <col min="532" max="532" width="12.109375" style="1" customWidth="1"/>
    <col min="533" max="534" width="10.109375" style="1" customWidth="1"/>
    <col min="535" max="535" width="16.44140625" style="1" customWidth="1"/>
    <col min="536" max="771" width="9.109375" style="1" customWidth="1"/>
    <col min="772" max="772" width="13.109375" style="1" customWidth="1"/>
    <col min="773" max="773" width="38.44140625" style="1" customWidth="1"/>
    <col min="774" max="774" width="7.109375" style="1" customWidth="1"/>
    <col min="775" max="775" width="6.6640625" style="1" customWidth="1"/>
    <col min="776" max="776" width="10.109375" style="1" customWidth="1"/>
    <col min="777" max="777" width="12.5546875" style="1" customWidth="1"/>
    <col min="778" max="778" width="12.33203125" style="1" customWidth="1"/>
    <col min="779" max="779" width="13.44140625" style="1" customWidth="1"/>
    <col min="780" max="780" width="12.109375" style="1" customWidth="1"/>
    <col min="781" max="781" width="13.6640625" style="1" customWidth="1"/>
    <col min="782" max="782" width="11.33203125" style="1" customWidth="1"/>
    <col min="783" max="783" width="15.5546875" style="1" customWidth="1"/>
    <col min="784" max="784" width="12.33203125" style="1" customWidth="1"/>
    <col min="785" max="785" width="7.44140625" style="1" customWidth="1"/>
    <col min="786" max="786" width="13.33203125" style="1" customWidth="1"/>
    <col min="787" max="787" width="14" style="1" customWidth="1"/>
    <col min="788" max="788" width="12.109375" style="1" customWidth="1"/>
    <col min="789" max="790" width="10.109375" style="1" customWidth="1"/>
    <col min="791" max="791" width="16.44140625" style="1" customWidth="1"/>
    <col min="792" max="1025" width="9.109375" style="1" customWidth="1"/>
  </cols>
  <sheetData>
    <row r="1" spans="1:25" x14ac:dyDescent="0.3">
      <c r="A1" s="4"/>
      <c r="B1" s="313" t="str">
        <f>INSTRUÇÕES!B1</f>
        <v>Tribunal Regional Federal da 6ª Região</v>
      </c>
      <c r="C1" s="199"/>
      <c r="D1" s="199"/>
      <c r="E1" s="199"/>
      <c r="F1" s="199"/>
      <c r="G1" s="199"/>
      <c r="H1" s="199"/>
      <c r="I1" s="199"/>
      <c r="J1" s="314"/>
      <c r="K1" s="314"/>
      <c r="L1" s="314"/>
      <c r="M1" s="314"/>
      <c r="N1" s="314"/>
      <c r="O1" s="314"/>
      <c r="P1" s="314"/>
      <c r="Q1" s="314"/>
      <c r="R1" s="314"/>
      <c r="S1" s="314"/>
      <c r="T1" s="314"/>
      <c r="U1" s="314"/>
      <c r="V1" s="314"/>
      <c r="W1" s="315"/>
    </row>
    <row r="2" spans="1:25" x14ac:dyDescent="0.3">
      <c r="A2" s="316"/>
      <c r="B2" s="110" t="str">
        <f>INSTRUÇÕES!B2</f>
        <v>Seção Judiciária de Minas Gerais</v>
      </c>
      <c r="C2" s="68"/>
      <c r="D2" s="68"/>
      <c r="E2" s="68"/>
      <c r="F2" s="68"/>
      <c r="G2" s="68"/>
      <c r="H2" s="68"/>
      <c r="I2" s="68"/>
      <c r="W2" s="317"/>
    </row>
    <row r="3" spans="1:25" x14ac:dyDescent="0.3">
      <c r="A3" s="316"/>
      <c r="B3" s="110" t="str">
        <f>INSTRUÇÕES!B3</f>
        <v>Subseção Judiciária de Passos</v>
      </c>
      <c r="C3" s="68"/>
      <c r="D3" s="68"/>
      <c r="E3" s="68"/>
      <c r="F3" s="68"/>
      <c r="G3" s="68"/>
      <c r="H3" s="68"/>
      <c r="I3" s="68"/>
      <c r="W3" s="317"/>
    </row>
    <row r="4" spans="1:25" s="318" customFormat="1" ht="18.75" customHeight="1" x14ac:dyDescent="0.3">
      <c r="A4" s="680" t="s">
        <v>508</v>
      </c>
      <c r="B4" s="680"/>
      <c r="C4" s="680"/>
      <c r="D4" s="680"/>
      <c r="E4" s="680"/>
      <c r="F4" s="680"/>
      <c r="G4" s="680"/>
      <c r="H4" s="680"/>
      <c r="I4" s="680"/>
      <c r="J4" s="680"/>
      <c r="K4" s="680"/>
      <c r="L4" s="680"/>
      <c r="M4" s="680"/>
      <c r="N4" s="680"/>
      <c r="O4" s="680"/>
      <c r="P4" s="680"/>
      <c r="Q4" s="680"/>
      <c r="R4" s="680"/>
      <c r="S4" s="680"/>
      <c r="T4" s="680"/>
      <c r="U4" s="680"/>
      <c r="V4" s="680"/>
      <c r="W4" s="680"/>
    </row>
    <row r="5" spans="1:25" s="113" customFormat="1" ht="21" customHeight="1" x14ac:dyDescent="0.3">
      <c r="A5" s="681" t="str">
        <f>"PREÇO MENSAL GLOBAL - "&amp;B3</f>
        <v>PREÇO MENSAL GLOBAL - Subseção Judiciária de Passos</v>
      </c>
      <c r="B5" s="681"/>
      <c r="C5" s="681"/>
      <c r="D5" s="681"/>
      <c r="E5" s="681"/>
      <c r="F5" s="681"/>
      <c r="G5" s="681"/>
      <c r="H5" s="681"/>
      <c r="I5" s="681"/>
      <c r="J5" s="681"/>
      <c r="K5" s="681"/>
      <c r="L5" s="681"/>
      <c r="M5" s="681"/>
      <c r="N5" s="681"/>
      <c r="O5" s="681"/>
      <c r="P5" s="681"/>
      <c r="Q5" s="681"/>
      <c r="R5" s="681"/>
      <c r="S5" s="681"/>
      <c r="T5" s="681"/>
      <c r="U5" s="681"/>
      <c r="V5" s="681"/>
      <c r="W5" s="681"/>
    </row>
    <row r="6" spans="1:25" s="3" customFormat="1" ht="23.25" customHeight="1" x14ac:dyDescent="0.3">
      <c r="A6" s="682" t="str">
        <f>Dados!A4</f>
        <v>Sindicato utilizado - SINSERTH x SINTAPPI. Vigência: 2025/2026. Sendo a data base da categoria 01° de Abril. Com número de registro no MTE MG001973/2025.</v>
      </c>
      <c r="B6" s="682"/>
      <c r="C6" s="682"/>
      <c r="D6" s="682"/>
      <c r="E6" s="682"/>
      <c r="F6" s="682"/>
      <c r="G6" s="682"/>
      <c r="H6" s="682"/>
      <c r="I6" s="682"/>
      <c r="J6" s="682"/>
      <c r="K6" s="682"/>
      <c r="L6" s="682"/>
      <c r="M6" s="682"/>
      <c r="N6" s="682"/>
      <c r="O6" s="682"/>
      <c r="P6" s="682"/>
      <c r="Q6" s="682"/>
      <c r="R6" s="682"/>
      <c r="S6" s="682"/>
      <c r="T6" s="682"/>
      <c r="U6" s="682"/>
      <c r="V6" s="682"/>
      <c r="W6" s="682"/>
    </row>
    <row r="7" spans="1:25" s="17" customFormat="1" ht="18.75" customHeight="1" x14ac:dyDescent="0.3">
      <c r="A7" s="319"/>
      <c r="B7" s="320"/>
      <c r="C7" s="320"/>
      <c r="D7" s="320"/>
      <c r="E7" s="321"/>
      <c r="F7" s="321"/>
      <c r="G7" s="321"/>
      <c r="H7" s="322" t="s">
        <v>400</v>
      </c>
      <c r="I7" s="323"/>
      <c r="J7" s="323"/>
      <c r="K7" s="321"/>
      <c r="L7" s="321"/>
      <c r="M7" s="321"/>
      <c r="N7" s="321"/>
      <c r="O7" s="321"/>
      <c r="P7" s="321"/>
      <c r="Q7" s="321"/>
      <c r="R7" s="321"/>
      <c r="S7" s="683" t="s">
        <v>401</v>
      </c>
      <c r="T7" s="683"/>
      <c r="U7" s="683"/>
      <c r="V7" s="683"/>
      <c r="W7" s="683"/>
    </row>
    <row r="8" spans="1:25" s="17" customFormat="1" ht="22.5" customHeight="1" x14ac:dyDescent="0.3">
      <c r="A8" s="684" t="s">
        <v>402</v>
      </c>
      <c r="B8" s="685" t="s">
        <v>403</v>
      </c>
      <c r="C8" s="685"/>
      <c r="D8" s="686" t="s">
        <v>44</v>
      </c>
      <c r="E8" s="686"/>
      <c r="F8" s="686"/>
      <c r="G8" s="686"/>
      <c r="H8" s="686"/>
      <c r="I8" s="686"/>
      <c r="J8" s="686"/>
      <c r="K8" s="686"/>
      <c r="L8" s="686"/>
      <c r="M8" s="686"/>
      <c r="N8" s="686"/>
      <c r="O8" s="686"/>
      <c r="P8" s="686"/>
      <c r="Q8" s="686"/>
      <c r="R8" s="686"/>
      <c r="S8" s="686"/>
      <c r="T8" s="686"/>
      <c r="U8" s="686"/>
      <c r="V8" s="686"/>
      <c r="W8" s="687" t="s">
        <v>404</v>
      </c>
    </row>
    <row r="9" spans="1:25" s="17" customFormat="1" ht="20.25" customHeight="1" x14ac:dyDescent="0.3">
      <c r="A9" s="684"/>
      <c r="B9" s="685"/>
      <c r="C9" s="685"/>
      <c r="D9" s="688" t="s">
        <v>405</v>
      </c>
      <c r="E9" s="688"/>
      <c r="F9" s="688"/>
      <c r="G9" s="688" t="s">
        <v>406</v>
      </c>
      <c r="H9" s="688"/>
      <c r="I9" s="688"/>
      <c r="J9" s="689" t="s">
        <v>407</v>
      </c>
      <c r="K9" s="689"/>
      <c r="L9" s="689"/>
      <c r="M9" s="689"/>
      <c r="N9" s="689"/>
      <c r="O9" s="689"/>
      <c r="P9" s="690" t="s">
        <v>408</v>
      </c>
      <c r="Q9" s="690"/>
      <c r="R9" s="690"/>
      <c r="S9" s="324" t="s">
        <v>409</v>
      </c>
      <c r="T9" s="691" t="s">
        <v>410</v>
      </c>
      <c r="U9" s="691"/>
      <c r="V9" s="691"/>
      <c r="W9" s="687"/>
    </row>
    <row r="10" spans="1:25" s="17" customFormat="1" ht="27.75" customHeight="1" x14ac:dyDescent="0.3">
      <c r="A10" s="684"/>
      <c r="B10" s="685"/>
      <c r="C10" s="685"/>
      <c r="D10" s="692" t="s">
        <v>411</v>
      </c>
      <c r="E10" s="692"/>
      <c r="F10" s="692"/>
      <c r="G10" s="693" t="s">
        <v>412</v>
      </c>
      <c r="H10" s="672" t="s">
        <v>413</v>
      </c>
      <c r="I10" s="672"/>
      <c r="J10" s="673" t="s">
        <v>414</v>
      </c>
      <c r="K10" s="673"/>
      <c r="L10" s="673"/>
      <c r="M10" s="674" t="s">
        <v>415</v>
      </c>
      <c r="N10" s="674"/>
      <c r="O10" s="674"/>
      <c r="P10" s="675" t="s">
        <v>416</v>
      </c>
      <c r="Q10" s="675"/>
      <c r="R10" s="675"/>
      <c r="S10" s="665" t="s">
        <v>417</v>
      </c>
      <c r="T10" s="675" t="s">
        <v>418</v>
      </c>
      <c r="U10" s="675"/>
      <c r="V10" s="675"/>
      <c r="W10" s="687"/>
    </row>
    <row r="11" spans="1:25" s="17" customFormat="1" ht="69.599999999999994" thickBot="1" x14ac:dyDescent="0.35">
      <c r="A11" s="684"/>
      <c r="B11" s="325" t="s">
        <v>25</v>
      </c>
      <c r="C11" s="326" t="s">
        <v>26</v>
      </c>
      <c r="D11" s="327" t="s">
        <v>24</v>
      </c>
      <c r="E11" s="328" t="s">
        <v>419</v>
      </c>
      <c r="F11" s="329" t="s">
        <v>420</v>
      </c>
      <c r="G11" s="693"/>
      <c r="H11" s="330" t="s">
        <v>421</v>
      </c>
      <c r="I11" s="331" t="s">
        <v>422</v>
      </c>
      <c r="J11" s="332" t="s">
        <v>423</v>
      </c>
      <c r="K11" s="330" t="s">
        <v>33</v>
      </c>
      <c r="L11" s="333" t="s">
        <v>424</v>
      </c>
      <c r="M11" s="325" t="s">
        <v>425</v>
      </c>
      <c r="N11" s="328" t="s">
        <v>34</v>
      </c>
      <c r="O11" s="334" t="s">
        <v>426</v>
      </c>
      <c r="P11" s="325" t="s">
        <v>427</v>
      </c>
      <c r="Q11" s="328" t="s">
        <v>428</v>
      </c>
      <c r="R11" s="326" t="s">
        <v>429</v>
      </c>
      <c r="S11" s="665"/>
      <c r="T11" s="325" t="s">
        <v>430</v>
      </c>
      <c r="U11" s="328" t="s">
        <v>431</v>
      </c>
      <c r="V11" s="335" t="s">
        <v>432</v>
      </c>
      <c r="W11" s="687"/>
    </row>
    <row r="12" spans="1:25" s="17" customFormat="1" ht="15.75" customHeight="1" x14ac:dyDescent="0.3">
      <c r="A12" s="676">
        <f>Dados!A7</f>
        <v>333903702</v>
      </c>
      <c r="B12" s="336" t="str">
        <f>Dados!C7</f>
        <v>Servente de Limpeza com insalubridade 40%</v>
      </c>
      <c r="C12" s="337">
        <f>Dados!D7</f>
        <v>200</v>
      </c>
      <c r="D12" s="338">
        <f>Dados!B7</f>
        <v>1</v>
      </c>
      <c r="E12" s="339">
        <f>'Servente Insalub'!$F$45</f>
        <v>6056.98</v>
      </c>
      <c r="F12" s="340">
        <f>ROUND((D12*E12),2)</f>
        <v>6056.98</v>
      </c>
      <c r="G12" s="341">
        <f>'Servente Insalub'!$I$45</f>
        <v>103.4</v>
      </c>
      <c r="H12" s="342">
        <f>'Ocorrências Mensais - FAT'!F11+'Ocorrências Mensais - FAT'!H11</f>
        <v>0</v>
      </c>
      <c r="I12" s="343">
        <f>(ROUND((G12/Dados!$G$34*H12)-(G12/'Ocorrências Mensais - FAT'!$E$5*'Ocorrências Mensais - FAT'!G11),2))</f>
        <v>0</v>
      </c>
      <c r="J12" s="344">
        <f>'Servente Insalub'!$G$45</f>
        <v>5431.83</v>
      </c>
      <c r="K12" s="342">
        <f>'Ocorrências Mensais - FAT'!K11</f>
        <v>0</v>
      </c>
      <c r="L12" s="343">
        <f>J12/'Ocorrências Mensais - FAT'!$E$5*K12</f>
        <v>0</v>
      </c>
      <c r="M12" s="345">
        <f>'Custo Estimado Substituto'!$F$33</f>
        <v>4742.8099999999995</v>
      </c>
      <c r="N12" s="346">
        <f>'Ocorrências Mensais - FAT'!L11</f>
        <v>0</v>
      </c>
      <c r="O12" s="347">
        <f>M12/'Ocorrências Mensais - FAT'!$E$5*N12</f>
        <v>0</v>
      </c>
      <c r="P12" s="348">
        <f>'Servente Insalub'!$H$45</f>
        <v>639.78</v>
      </c>
      <c r="Q12" s="349">
        <f>'Ocorrências Mensais - FAT'!M11</f>
        <v>0</v>
      </c>
      <c r="R12" s="347">
        <f>ROUND((P12/Dados!$G$37*Q12),2)</f>
        <v>0</v>
      </c>
      <c r="S12" s="350">
        <f>I12+L12+O12+R12</f>
        <v>0</v>
      </c>
      <c r="T12" s="351"/>
      <c r="U12" s="352"/>
      <c r="V12" s="353"/>
      <c r="W12" s="354">
        <f>ROUND((F12-S12+V12),2)</f>
        <v>6056.98</v>
      </c>
    </row>
    <row r="13" spans="1:25" s="17" customFormat="1" ht="15.6" x14ac:dyDescent="0.3">
      <c r="A13" s="677"/>
      <c r="B13" s="336" t="str">
        <f>Dados!C8</f>
        <v>Servente de Limpeza acúmulo de função Copeira</v>
      </c>
      <c r="C13" s="337">
        <f>Dados!D8</f>
        <v>200</v>
      </c>
      <c r="D13" s="338">
        <f>Dados!B8</f>
        <v>1</v>
      </c>
      <c r="E13" s="339">
        <f>'Servente acúmulo Copeira'!$F$45</f>
        <v>5025.8500000000004</v>
      </c>
      <c r="F13" s="340">
        <f>ROUND((D13*E13),2)</f>
        <v>5025.8500000000004</v>
      </c>
      <c r="G13" s="355">
        <f>'Servente acúmulo Copeira'!$I$45</f>
        <v>103.4</v>
      </c>
      <c r="H13" s="356">
        <f>'Ocorrências Mensais - FAT'!F12+'Ocorrências Mensais - FAT'!H12</f>
        <v>0</v>
      </c>
      <c r="I13" s="357">
        <f>(ROUND((G13/Dados!$G$34*H13)-(G13/'Ocorrências Mensais - FAT'!$E$5*'Ocorrências Mensais - FAT'!G12),2))</f>
        <v>0</v>
      </c>
      <c r="J13" s="358">
        <f>'Servente acúmulo Copeira'!$G$45</f>
        <v>4200.66</v>
      </c>
      <c r="K13" s="356">
        <f>'Ocorrências Mensais - FAT'!K12</f>
        <v>0</v>
      </c>
      <c r="L13" s="357">
        <f>J13/'Ocorrências Mensais - FAT'!$E$5*K13</f>
        <v>0</v>
      </c>
      <c r="M13" s="358">
        <f>'Custo Estimado Substituto'!G33</f>
        <v>3667.1800000000003</v>
      </c>
      <c r="N13" s="356">
        <f>'Ocorrências Mensais - FAT'!L12</f>
        <v>0</v>
      </c>
      <c r="O13" s="359">
        <f>M13/'Ocorrências Mensais - FAT'!$E$5*N13</f>
        <v>0</v>
      </c>
      <c r="P13" s="360">
        <f>'Servente acúmulo Copeira'!$H$45</f>
        <v>639.78</v>
      </c>
      <c r="Q13" s="361">
        <f>'Ocorrências Mensais - FAT'!M12</f>
        <v>0</v>
      </c>
      <c r="R13" s="359">
        <f>ROUND((P13/Dados!$G$37*Q13),2)</f>
        <v>0</v>
      </c>
      <c r="S13" s="362">
        <f>I13+L13+O13+R13</f>
        <v>0</v>
      </c>
      <c r="T13" s="355">
        <f>'Servente Insalub'!$J$46</f>
        <v>44.75</v>
      </c>
      <c r="U13" s="361">
        <f>'Ocorrências Mensais - FAT'!N12</f>
        <v>0</v>
      </c>
      <c r="V13" s="363">
        <f>T13*U13</f>
        <v>0</v>
      </c>
      <c r="W13" s="354">
        <f>ROUND((F13-S13+V13),2)</f>
        <v>5025.8500000000004</v>
      </c>
    </row>
    <row r="14" spans="1:25" s="17" customFormat="1" ht="15.6" x14ac:dyDescent="0.3">
      <c r="A14" s="678">
        <f>Dados!A9</f>
        <v>333903701</v>
      </c>
      <c r="B14" s="336" t="str">
        <f>Dados!C9</f>
        <v>Auxiliar Administrativo</v>
      </c>
      <c r="C14" s="337">
        <f>Dados!D9</f>
        <v>150</v>
      </c>
      <c r="D14" s="338">
        <f>Dados!B9</f>
        <v>3</v>
      </c>
      <c r="E14" s="339">
        <f>'Auxiliar Adm 150'!$F$45</f>
        <v>3266.88</v>
      </c>
      <c r="F14" s="340">
        <f>ROUND((D14*E14),2)</f>
        <v>9800.64</v>
      </c>
      <c r="G14" s="355">
        <f>'Auxiliar Adm 150'!$I$45</f>
        <v>110.07</v>
      </c>
      <c r="H14" s="356">
        <f>'Ocorrências Mensais - FAT'!F13+'Ocorrências Mensais - FAT'!H13</f>
        <v>0</v>
      </c>
      <c r="I14" s="357">
        <f>(ROUND((G14/Dados!$G$34*H14)-(G14/'Ocorrências Mensais - FAT'!$E$5*'Ocorrências Mensais - FAT'!G13),2))</f>
        <v>0</v>
      </c>
      <c r="J14" s="358">
        <f>'Auxiliar Adm 150'!$G$45</f>
        <v>3266.88</v>
      </c>
      <c r="K14" s="356">
        <f>'Ocorrências Mensais - FAT'!K13</f>
        <v>0</v>
      </c>
      <c r="L14" s="357">
        <f>J14/'Ocorrências Mensais - FAT'!$E$5*K14</f>
        <v>0</v>
      </c>
      <c r="M14" s="358">
        <f>'Custo Estimado Substituto'!H33</f>
        <v>2779.2700000000004</v>
      </c>
      <c r="N14" s="356">
        <f>'Ocorrências Mensais - FAT'!L13</f>
        <v>0</v>
      </c>
      <c r="O14" s="359">
        <f>M14/'Ocorrências Mensais - FAT'!$E$5*N14</f>
        <v>0</v>
      </c>
      <c r="P14" s="360">
        <f>'Auxiliar Adm 150'!$H$45</f>
        <v>0</v>
      </c>
      <c r="Q14" s="361">
        <f>'Ocorrências Mensais - FAT'!M13</f>
        <v>0</v>
      </c>
      <c r="R14" s="359">
        <f>ROUND((P14/Dados!$G$37*Q14),2)</f>
        <v>0</v>
      </c>
      <c r="S14" s="362">
        <f>I14+L14+O14+R14</f>
        <v>0</v>
      </c>
      <c r="T14" s="364"/>
      <c r="U14" s="365"/>
      <c r="V14" s="366"/>
      <c r="W14" s="354">
        <f>ROUND((F14-S14+V14),2)</f>
        <v>9800.64</v>
      </c>
    </row>
    <row r="15" spans="1:25" s="17" customFormat="1" ht="16.2" thickBot="1" x14ac:dyDescent="0.35">
      <c r="A15" s="679"/>
      <c r="B15" s="367" t="str">
        <f>Dados!C10</f>
        <v>Auxiliar Administrativo</v>
      </c>
      <c r="C15" s="368">
        <f>Dados!D10</f>
        <v>200</v>
      </c>
      <c r="D15" s="369">
        <f>Dados!B10</f>
        <v>1</v>
      </c>
      <c r="E15" s="370">
        <f>'Auxiliar Adm 200'!$F$45</f>
        <v>4900.8500000000004</v>
      </c>
      <c r="F15" s="371">
        <f>ROUND((D15*E15),2)</f>
        <v>4900.8500000000004</v>
      </c>
      <c r="G15" s="372">
        <f>'Auxiliar Adm 200'!$I$45</f>
        <v>75.08</v>
      </c>
      <c r="H15" s="373">
        <f>'Ocorrências Mensais - FAT'!F14+'Ocorrências Mensais - FAT'!H14</f>
        <v>0</v>
      </c>
      <c r="I15" s="374">
        <f>(ROUND((G15/Dados!$G$34*H15)-(G15/'Ocorrências Mensais - FAT'!$E$5*'Ocorrências Mensais - FAT'!G14),2))</f>
        <v>0</v>
      </c>
      <c r="J15" s="375">
        <f>'Auxiliar Adm 200'!$G$45</f>
        <v>4900.8500000000004</v>
      </c>
      <c r="K15" s="373">
        <f>'Ocorrências Mensais - FAT'!K14</f>
        <v>0</v>
      </c>
      <c r="L15" s="374">
        <f>J15/'Ocorrências Mensais - FAT'!$E$5*K15</f>
        <v>0</v>
      </c>
      <c r="M15" s="375">
        <f>'Custo Estimado Substituto'!I33</f>
        <v>4273.75</v>
      </c>
      <c r="N15" s="373">
        <f>'Ocorrências Mensais - FAT'!L14</f>
        <v>0</v>
      </c>
      <c r="O15" s="376">
        <f>M15/'Ocorrências Mensais - FAT'!$E$5*N15</f>
        <v>0</v>
      </c>
      <c r="P15" s="377">
        <f>'Auxiliar Adm 200'!$H$45</f>
        <v>639.78</v>
      </c>
      <c r="Q15" s="378">
        <f>'Ocorrências Mensais - FAT'!M14</f>
        <v>0</v>
      </c>
      <c r="R15" s="376">
        <f>ROUND((P15/Dados!$G$37*Q15),2)</f>
        <v>0</v>
      </c>
      <c r="S15" s="379">
        <f>I15+L15+O15+R15</f>
        <v>0</v>
      </c>
      <c r="T15" s="380"/>
      <c r="U15" s="381"/>
      <c r="V15" s="382"/>
      <c r="W15" s="383">
        <f>ROUND((F15-S15+V15),2)</f>
        <v>4900.8500000000004</v>
      </c>
    </row>
    <row r="16" spans="1:25" s="63" customFormat="1" ht="21.75" customHeight="1" thickBot="1" x14ac:dyDescent="0.35">
      <c r="A16" s="669" t="s">
        <v>433</v>
      </c>
      <c r="B16" s="669"/>
      <c r="C16" s="669"/>
      <c r="D16" s="384">
        <f>SUM(D12:D15)</f>
        <v>6</v>
      </c>
      <c r="E16" s="385"/>
      <c r="F16" s="386">
        <f>SUM(F12:F15)</f>
        <v>25784.32</v>
      </c>
      <c r="G16" s="387"/>
      <c r="H16" s="385">
        <f t="shared" ref="H16:O16" si="0">SUM(H12:H15)</f>
        <v>0</v>
      </c>
      <c r="I16" s="388">
        <f t="shared" si="0"/>
        <v>0</v>
      </c>
      <c r="J16" s="389">
        <f t="shared" si="0"/>
        <v>17800.22</v>
      </c>
      <c r="K16" s="385">
        <f t="shared" si="0"/>
        <v>0</v>
      </c>
      <c r="L16" s="388">
        <f t="shared" si="0"/>
        <v>0</v>
      </c>
      <c r="M16" s="390">
        <f t="shared" si="0"/>
        <v>15463.01</v>
      </c>
      <c r="N16" s="385">
        <f t="shared" si="0"/>
        <v>0</v>
      </c>
      <c r="O16" s="386">
        <f t="shared" si="0"/>
        <v>0</v>
      </c>
      <c r="P16" s="387"/>
      <c r="Q16" s="385">
        <f>SUM(Q12:Q15)</f>
        <v>0</v>
      </c>
      <c r="R16" s="386">
        <f>SUM(R12:R15)</f>
        <v>0</v>
      </c>
      <c r="S16" s="391">
        <f>SUM(S12:S15)</f>
        <v>0</v>
      </c>
      <c r="T16" s="392"/>
      <c r="U16" s="385">
        <f>SUM(U12:U15)</f>
        <v>0</v>
      </c>
      <c r="V16" s="388">
        <f>SUM(V12:V15)</f>
        <v>0</v>
      </c>
      <c r="W16" s="393">
        <f>SUM(W12:W15)</f>
        <v>25784.32</v>
      </c>
      <c r="X16" s="394" t="s">
        <v>434</v>
      </c>
      <c r="Y16" s="102"/>
    </row>
    <row r="17" spans="1:23" s="57" customFormat="1" ht="18" customHeight="1" x14ac:dyDescent="0.3">
      <c r="A17" s="670" t="s">
        <v>435</v>
      </c>
      <c r="B17" s="670"/>
      <c r="C17" s="670"/>
      <c r="D17" s="670"/>
      <c r="E17" s="670"/>
      <c r="F17" s="670"/>
      <c r="G17" s="670"/>
      <c r="H17" s="670"/>
      <c r="I17" s="670"/>
      <c r="J17" s="670"/>
      <c r="K17" s="670"/>
      <c r="L17" s="670"/>
      <c r="M17" s="670"/>
      <c r="N17" s="670"/>
      <c r="O17" s="670"/>
      <c r="P17" s="670"/>
      <c r="Q17" s="670"/>
      <c r="R17" s="670"/>
      <c r="S17" s="670"/>
      <c r="T17" s="670"/>
      <c r="U17" s="670"/>
      <c r="V17" s="670"/>
      <c r="W17" s="395">
        <f>Insumos!K44+Insumos!K60</f>
        <v>1157.0541666666666</v>
      </c>
    </row>
    <row r="18" spans="1:23" s="57" customFormat="1" ht="20.25" customHeight="1" x14ac:dyDescent="0.3">
      <c r="A18" s="670" t="s">
        <v>436</v>
      </c>
      <c r="B18" s="670"/>
      <c r="C18" s="670"/>
      <c r="D18" s="670"/>
      <c r="E18" s="670"/>
      <c r="F18" s="670"/>
      <c r="G18" s="670"/>
      <c r="H18" s="670"/>
      <c r="I18" s="670"/>
      <c r="J18" s="670"/>
      <c r="K18" s="670"/>
      <c r="L18" s="670"/>
      <c r="M18" s="670"/>
      <c r="N18" s="670"/>
      <c r="O18" s="670"/>
      <c r="P18" s="670"/>
      <c r="Q18" s="670"/>
      <c r="R18" s="670"/>
      <c r="S18" s="670"/>
      <c r="T18" s="670"/>
      <c r="U18" s="670"/>
      <c r="V18" s="670"/>
      <c r="W18" s="396">
        <f>W16*12</f>
        <v>309411.83999999997</v>
      </c>
    </row>
    <row r="19" spans="1:23" s="68" customFormat="1" ht="24" customHeight="1" x14ac:dyDescent="0.3">
      <c r="A19" s="671" t="s">
        <v>50</v>
      </c>
      <c r="B19" s="671"/>
      <c r="C19" s="671"/>
      <c r="D19" s="671"/>
      <c r="E19" s="671"/>
      <c r="F19" s="671"/>
      <c r="G19" s="671"/>
      <c r="H19" s="671"/>
      <c r="I19" s="671"/>
      <c r="J19" s="671"/>
      <c r="K19" s="671"/>
      <c r="L19" s="671"/>
      <c r="M19" s="671"/>
      <c r="N19" s="671"/>
      <c r="O19" s="671"/>
      <c r="P19" s="671"/>
      <c r="Q19" s="671"/>
      <c r="R19" s="671"/>
      <c r="S19" s="671"/>
      <c r="T19" s="671"/>
      <c r="U19" s="671"/>
      <c r="V19" s="671"/>
      <c r="W19" s="671"/>
    </row>
    <row r="20" spans="1:23" s="57" customFormat="1" ht="13.8" x14ac:dyDescent="0.3">
      <c r="A20" s="666"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R$44,75 por dia em que este fato ocorrer.</v>
      </c>
      <c r="B20" s="666"/>
      <c r="C20" s="666"/>
      <c r="D20" s="666"/>
      <c r="E20" s="666"/>
      <c r="F20" s="666"/>
      <c r="G20" s="666"/>
      <c r="H20" s="666"/>
      <c r="I20" s="666"/>
      <c r="J20" s="666"/>
      <c r="K20" s="666"/>
      <c r="L20" s="666"/>
      <c r="M20" s="666"/>
      <c r="N20" s="666"/>
      <c r="O20" s="666"/>
      <c r="P20" s="666"/>
      <c r="Q20" s="666"/>
      <c r="R20" s="666"/>
      <c r="S20" s="666"/>
      <c r="T20" s="666"/>
      <c r="U20" s="666"/>
      <c r="V20" s="666"/>
      <c r="W20" s="666"/>
    </row>
    <row r="21" spans="1:23" s="397" customFormat="1" ht="18.75" customHeight="1" x14ac:dyDescent="0.3">
      <c r="A21" s="667" t="s">
        <v>514</v>
      </c>
      <c r="B21" s="667"/>
      <c r="C21" s="667"/>
      <c r="D21" s="667"/>
      <c r="E21" s="667"/>
      <c r="F21" s="667"/>
      <c r="G21" s="667"/>
      <c r="H21" s="667"/>
      <c r="I21" s="667"/>
      <c r="J21" s="667"/>
      <c r="K21" s="667"/>
      <c r="L21" s="667"/>
      <c r="M21" s="667"/>
      <c r="N21" s="667"/>
      <c r="O21" s="667"/>
      <c r="P21" s="667"/>
      <c r="Q21" s="667"/>
      <c r="R21" s="667"/>
      <c r="S21" s="667"/>
      <c r="T21" s="667"/>
      <c r="U21" s="667"/>
      <c r="V21" s="667"/>
      <c r="W21" s="667"/>
    </row>
    <row r="22" spans="1:23" x14ac:dyDescent="0.3">
      <c r="A22" s="668"/>
      <c r="B22" s="668"/>
      <c r="C22" s="668"/>
      <c r="D22" s="668"/>
      <c r="E22" s="668"/>
      <c r="F22" s="668"/>
      <c r="G22" s="668"/>
      <c r="H22" s="668"/>
      <c r="I22" s="668"/>
      <c r="J22" s="668"/>
      <c r="K22" s="668"/>
      <c r="L22" s="668"/>
      <c r="M22" s="668"/>
      <c r="N22" s="668"/>
      <c r="O22" s="668"/>
      <c r="P22" s="668"/>
      <c r="Q22" s="668"/>
      <c r="R22" s="668"/>
      <c r="S22" s="668"/>
      <c r="T22" s="668"/>
      <c r="U22" s="668"/>
      <c r="V22" s="668"/>
      <c r="W22" s="668"/>
    </row>
    <row r="23" spans="1:23" x14ac:dyDescent="0.3">
      <c r="A23" s="668"/>
      <c r="B23" s="668"/>
      <c r="C23" s="668"/>
      <c r="D23" s="668"/>
      <c r="E23" s="668"/>
      <c r="F23" s="668"/>
      <c r="G23" s="668"/>
      <c r="H23" s="668"/>
      <c r="I23" s="668"/>
      <c r="J23" s="668"/>
      <c r="K23" s="668"/>
      <c r="L23" s="668"/>
      <c r="M23" s="668"/>
      <c r="N23" s="668"/>
      <c r="O23" s="668"/>
      <c r="P23" s="668"/>
      <c r="Q23" s="668"/>
      <c r="R23" s="668"/>
      <c r="S23" s="668"/>
      <c r="T23" s="668"/>
      <c r="U23" s="668"/>
      <c r="V23" s="668"/>
      <c r="W23" s="668"/>
    </row>
  </sheetData>
  <sheetProtection algorithmName="SHA-512" hashValue="mzpN2THgvGWVbhG5tPBFGEieXfPF8ub2HwLpGxPjXqKnfbk8MnU/w/lkhWJwhnLL1U6UEIuD51RLS6plVoJhIQ==" saltValue="XO6TbgovRJbGV5iJ4YkJ6A==" spinCount="100000" sheet="1" objects="1" scenarios="1"/>
  <mergeCells count="31">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T10:V10"/>
    <mergeCell ref="S10:S11"/>
    <mergeCell ref="A20:W20"/>
    <mergeCell ref="A21:W21"/>
    <mergeCell ref="A22:W22"/>
    <mergeCell ref="A23:W23"/>
    <mergeCell ref="A16:C16"/>
    <mergeCell ref="A17:V17"/>
    <mergeCell ref="A18:V18"/>
    <mergeCell ref="A19:W19"/>
    <mergeCell ref="H10:I10"/>
    <mergeCell ref="J10:L10"/>
    <mergeCell ref="M10:O10"/>
    <mergeCell ref="P10:R10"/>
    <mergeCell ref="A12:A13"/>
    <mergeCell ref="A14:A15"/>
  </mergeCells>
  <printOptions horizontalCentered="1" verticalCentered="1"/>
  <pageMargins left="0.51180555555555596" right="0.51180555555555596" top="0.78749999999999998" bottom="0.78749999999999998" header="0.511811023622047" footer="0.511811023622047"/>
  <pageSetup paperSize="9" scale="28" fitToHeight="2" orientation="portrait" r:id="rId1"/>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Template/>
  <TotalTime>134</TotalTime>
  <Application>Microsoft Excel</Application>
  <DocSecurity>0</DocSecurity>
  <ScaleCrop>false</ScaleCrop>
  <HeadingPairs>
    <vt:vector size="4" baseType="variant">
      <vt:variant>
        <vt:lpstr>Planilhas</vt:lpstr>
      </vt:variant>
      <vt:variant>
        <vt:i4>15</vt:i4>
      </vt:variant>
      <vt:variant>
        <vt:lpstr>Intervalos Nomeados</vt:lpstr>
      </vt:variant>
      <vt:variant>
        <vt:i4>17</vt:i4>
      </vt:variant>
    </vt:vector>
  </HeadingPairs>
  <TitlesOfParts>
    <vt:vector size="32" baseType="lpstr">
      <vt:lpstr>Ocorrências Mensais - FAT</vt:lpstr>
      <vt:lpstr>INSTRUÇÕES</vt:lpstr>
      <vt:lpstr>Dados</vt:lpstr>
      <vt:lpstr>Encargos</vt:lpstr>
      <vt:lpstr>Insumos</vt:lpstr>
      <vt:lpstr>EPI</vt:lpstr>
      <vt:lpstr>Equipamentos</vt:lpstr>
      <vt:lpstr>Uniformes</vt:lpstr>
      <vt:lpstr>Resumo</vt:lpstr>
      <vt:lpstr>Servente Insalub</vt:lpstr>
      <vt:lpstr>Servente acúmulo Copeira</vt:lpstr>
      <vt:lpstr>Auxiliar Adm 150</vt:lpstr>
      <vt:lpstr>Auxiliar Adm 200</vt:lpstr>
      <vt:lpstr>Custo Estimado Substituto</vt:lpstr>
      <vt:lpstr>IPCA</vt:lpstr>
      <vt:lpstr>'Auxiliar Adm 150'!Area_de_impressao</vt:lpstr>
      <vt:lpstr>'Auxiliar Adm 200'!Area_de_impressao</vt:lpstr>
      <vt:lpstr>Dados!Area_de_impressao</vt:lpstr>
      <vt:lpstr>Encargos!Area_de_impressao</vt:lpstr>
      <vt:lpstr>INSTRUÇÕES!Area_de_impressao</vt:lpstr>
      <vt:lpstr>Insumos!Area_de_impressao</vt:lpstr>
      <vt:lpstr>'Servente acúmulo Copeira'!Area_de_impressao</vt:lpstr>
      <vt:lpstr>'Servente Insalub'!Area_de_impressao</vt:lpstr>
      <vt:lpstr>Uniformes!Area_de_impressao</vt:lpstr>
      <vt:lpstr>'Auxiliar Adm 150'!Print_Area_0</vt:lpstr>
      <vt:lpstr>'Auxiliar Adm 200'!Print_Area_0</vt:lpstr>
      <vt:lpstr>Dados!Print_Area_0</vt:lpstr>
      <vt:lpstr>Encargos!Print_Area_0</vt:lpstr>
      <vt:lpstr>Insumos!Print_Area_0</vt:lpstr>
      <vt:lpstr>'Servente acúmulo Copeira'!Print_Area_0</vt:lpstr>
      <vt:lpstr>'Servente Insalub'!Print_Area_0</vt:lpstr>
      <vt:lpstr>Uniformes!Print_Area_0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Fábio Lucas Gouveia dos Santos</dc:creator>
  <cp:lastModifiedBy>Rita Marcia Bruno</cp:lastModifiedBy>
  <cp:revision>13</cp:revision>
  <cp:lastPrinted>2025-08-19T13:55:24Z</cp:lastPrinted>
  <dcterms:created xsi:type="dcterms:W3CDTF">2015-06-05T18:17:20Z</dcterms:created>
  <dcterms:modified xsi:type="dcterms:W3CDTF">2025-08-19T13:57:34Z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ProgId">
    <vt:lpwstr>Excel.Sheet</vt:lpwstr>
  </property>
  <property fmtid="{D5CDD505-2E9C-101B-9397-08002B2CF9AE}" pid="5" name="ScaleCrop">
    <vt:bool>false</vt:bool>
  </property>
  <property fmtid="{D5CDD505-2E9C-101B-9397-08002B2CF9AE}" pid="6" name="ShareDoc">
    <vt:bool>false</vt:bool>
  </property>
</Properties>
</file>