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Users\leonardo.lyrio\Desktop\"/>
    </mc:Choice>
  </mc:AlternateContent>
  <xr:revisionPtr revIDLastSave="0" documentId="8_{67C85426-6713-4D2F-8B3B-B81C9197E48F}" xr6:coauthVersionLast="47" xr6:coauthVersionMax="47" xr10:uidLastSave="{00000000-0000-0000-0000-000000000000}"/>
  <bookViews>
    <workbookView xWindow="-120" yWindow="-120" windowWidth="29040" windowHeight="15840" tabRatio="500" firstSheet="1" activeTab="8" xr2:uid="{00000000-000D-0000-FFFF-FFFF00000000}"/>
  </bookViews>
  <sheets>
    <sheet name="Ocorrências Mensais - FAT" sheetId="1" state="hidden" r:id="rId1"/>
    <sheet name="INSTRUÇÕES" sheetId="2" r:id="rId2"/>
    <sheet name="Dados" sheetId="3" r:id="rId3"/>
    <sheet name="Encargos" sheetId="4" r:id="rId4"/>
    <sheet name="Insumos" sheetId="5" r:id="rId5"/>
    <sheet name="EPI" sheetId="6" r:id="rId6"/>
    <sheet name="Equip" sheetId="7" r:id="rId7"/>
    <sheet name="Unif" sheetId="8" r:id="rId8"/>
    <sheet name="Resumo" sheetId="9" r:id="rId9"/>
    <sheet name="Servente Insalubre" sheetId="10" r:id="rId10"/>
    <sheet name="Servente acúmulo de Copa" sheetId="11" r:id="rId11"/>
    <sheet name="Zelador" sheetId="12" r:id="rId12"/>
    <sheet name="Aux Adm" sheetId="13" r:id="rId13"/>
    <sheet name="Custo Estimado Substituto" sheetId="14" r:id="rId14"/>
    <sheet name="IPCA" sheetId="15" state="hidden" r:id="rId15"/>
  </sheets>
  <definedNames>
    <definedName name="_xlnm.Print_Area" localSheetId="12">'Aux Adm'!$A$1:$J$47</definedName>
    <definedName name="_xlnm.Print_Area" localSheetId="2">Dados!$A$1:$S$55</definedName>
    <definedName name="_xlnm.Print_Area" localSheetId="3">Encargos!$A$1:$H$59</definedName>
    <definedName name="_xlnm.Print_Area" localSheetId="1">INSTRUÇÕES!$A$1:$AA$83</definedName>
    <definedName name="_xlnm.Print_Area" localSheetId="4">Insumos!$A$1:$L$81</definedName>
    <definedName name="_xlnm.Print_Area" localSheetId="10">'Servente acúmulo de Copa'!$A$1:$J$47</definedName>
    <definedName name="_xlnm.Print_Area" localSheetId="9">'Servente Insalubre'!$A$1:$J$47</definedName>
    <definedName name="_xlnm.Print_Area" localSheetId="7">Unif!$A$1:$H$36</definedName>
    <definedName name="_xlnm.Print_Area" localSheetId="11">Zelador!$A$1:$J$47</definedName>
    <definedName name="BS">NA()</definedName>
    <definedName name="BT">NA()</definedName>
    <definedName name="CIDADE">NA()</definedName>
    <definedName name="CIDADES">NA()</definedName>
    <definedName name="CPMF">NA()</definedName>
    <definedName name="d">NA()</definedName>
    <definedName name="ENCARGOS">NA()</definedName>
    <definedName name="Excel_BuiltIn_Print_Area_1_1">"$#REF!.$A$2:$C$99"</definedName>
    <definedName name="Excel_BuiltIn_Print_Area_6_1">NA()</definedName>
    <definedName name="Excel_BuiltIn_Print_Area_7_1">NA()</definedName>
    <definedName name="Excel_BuiltIn_Print_Area_8_1">NA()</definedName>
    <definedName name="Excel_BuiltIn_Print_Area_9_1">NA()</definedName>
    <definedName name="ISS">NA()</definedName>
    <definedName name="Jornada">NA()</definedName>
    <definedName name="Print_Area_0" localSheetId="12">'Aux Adm'!$A$1:$J$47</definedName>
    <definedName name="Print_Area_0" localSheetId="2">Dados!$A$1:$S$55</definedName>
    <definedName name="Print_Area_0" localSheetId="3">Encargos!$A$1:$H$59</definedName>
    <definedName name="Print_Area_0" localSheetId="4">Insumos!$A$1:$L$81</definedName>
    <definedName name="Print_Area_0" localSheetId="10">'Servente acúmulo de Copa'!$A$1:$J$47</definedName>
    <definedName name="Print_Area_0" localSheetId="9">'Servente Insalubre'!$A$1:$J$47</definedName>
    <definedName name="Print_Area_0" localSheetId="7">Unif!$A$1:$H$36</definedName>
    <definedName name="Print_Area_0" localSheetId="11">Zelador!$A$1:$J$47</definedName>
    <definedName name="TERRIT">NA()</definedName>
    <definedName name="Tipo_de_Joranda_de_Trabalho">NA()</definedName>
    <definedName name="TP_SERV">NA()</definedName>
    <definedName name="TP_SERVPERC">NA()</definedName>
    <definedName name="VRSELEC">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G22" i="15" l="1"/>
  <c r="AH22" i="15" s="1"/>
  <c r="AE22" i="15"/>
  <c r="AA22" i="15"/>
  <c r="Z22" i="15"/>
  <c r="X22" i="15"/>
  <c r="S22" i="15"/>
  <c r="T22" i="15" s="1"/>
  <c r="Q22" i="15"/>
  <c r="P22" i="15"/>
  <c r="W22" i="15" s="1"/>
  <c r="AD22" i="15" s="1"/>
  <c r="L22" i="15"/>
  <c r="M22" i="15" s="1"/>
  <c r="J22" i="15"/>
  <c r="I22" i="15"/>
  <c r="F22" i="15"/>
  <c r="AH21" i="15"/>
  <c r="AE21" i="15"/>
  <c r="AA21" i="15"/>
  <c r="X21" i="15"/>
  <c r="T21" i="15"/>
  <c r="Q21" i="15"/>
  <c r="M21" i="15"/>
  <c r="J21" i="15"/>
  <c r="I21" i="15"/>
  <c r="P21" i="15" s="1"/>
  <c r="W21" i="15" s="1"/>
  <c r="AD21" i="15" s="1"/>
  <c r="F21" i="15"/>
  <c r="AH20" i="15"/>
  <c r="AE20" i="15"/>
  <c r="AA20" i="15"/>
  <c r="X20" i="15"/>
  <c r="T20" i="15"/>
  <c r="Q20" i="15"/>
  <c r="P20" i="15"/>
  <c r="W20" i="15" s="1"/>
  <c r="AD20" i="15" s="1"/>
  <c r="M20" i="15"/>
  <c r="J20" i="15"/>
  <c r="I20" i="15"/>
  <c r="F20" i="15"/>
  <c r="AH19" i="15"/>
  <c r="AE19" i="15"/>
  <c r="AA19" i="15"/>
  <c r="X19" i="15"/>
  <c r="T19" i="15"/>
  <c r="Q19" i="15"/>
  <c r="M19" i="15"/>
  <c r="J19" i="15"/>
  <c r="I19" i="15"/>
  <c r="P19" i="15" s="1"/>
  <c r="W19" i="15" s="1"/>
  <c r="AD19" i="15" s="1"/>
  <c r="F19" i="15"/>
  <c r="AH18" i="15"/>
  <c r="AE18" i="15"/>
  <c r="AA18" i="15"/>
  <c r="X18" i="15"/>
  <c r="T18" i="15"/>
  <c r="Q18" i="15"/>
  <c r="P18" i="15"/>
  <c r="W18" i="15" s="1"/>
  <c r="AD18" i="15" s="1"/>
  <c r="M18" i="15"/>
  <c r="J18" i="15"/>
  <c r="I18" i="15"/>
  <c r="F18" i="15"/>
  <c r="AH17" i="15"/>
  <c r="AE17" i="15"/>
  <c r="AA17" i="15"/>
  <c r="X17" i="15"/>
  <c r="T17" i="15"/>
  <c r="Q17" i="15"/>
  <c r="M17" i="15"/>
  <c r="J17" i="15"/>
  <c r="I17" i="15"/>
  <c r="P17" i="15" s="1"/>
  <c r="W17" i="15" s="1"/>
  <c r="AD17" i="15" s="1"/>
  <c r="F17" i="15"/>
  <c r="AH16" i="15"/>
  <c r="AE16" i="15"/>
  <c r="AA16" i="15"/>
  <c r="X16" i="15"/>
  <c r="T16" i="15"/>
  <c r="Q16" i="15"/>
  <c r="P16" i="15"/>
  <c r="W16" i="15" s="1"/>
  <c r="AD16" i="15" s="1"/>
  <c r="M16" i="15"/>
  <c r="J16" i="15"/>
  <c r="I16" i="15"/>
  <c r="F16" i="15"/>
  <c r="AH15" i="15"/>
  <c r="AE15" i="15"/>
  <c r="AA15" i="15"/>
  <c r="X15" i="15"/>
  <c r="T15" i="15"/>
  <c r="Q15" i="15"/>
  <c r="M15" i="15"/>
  <c r="J15" i="15"/>
  <c r="I15" i="15"/>
  <c r="P15" i="15" s="1"/>
  <c r="W15" i="15" s="1"/>
  <c r="AD15" i="15" s="1"/>
  <c r="F15" i="15"/>
  <c r="AH14" i="15"/>
  <c r="AE14" i="15"/>
  <c r="AA14" i="15"/>
  <c r="X14" i="15"/>
  <c r="T14" i="15"/>
  <c r="Q14" i="15"/>
  <c r="P14" i="15"/>
  <c r="W14" i="15" s="1"/>
  <c r="AD14" i="15" s="1"/>
  <c r="M14" i="15"/>
  <c r="J14" i="15"/>
  <c r="I14" i="15"/>
  <c r="F14" i="15"/>
  <c r="AH13" i="15"/>
  <c r="AE13" i="15"/>
  <c r="AA13" i="15"/>
  <c r="X13" i="15"/>
  <c r="T13" i="15"/>
  <c r="Q13" i="15"/>
  <c r="M13" i="15"/>
  <c r="J13" i="15"/>
  <c r="I13" i="15"/>
  <c r="P13" i="15" s="1"/>
  <c r="W13" i="15" s="1"/>
  <c r="AD13" i="15" s="1"/>
  <c r="F13" i="15"/>
  <c r="AH12" i="15"/>
  <c r="AE12" i="15"/>
  <c r="AA12" i="15"/>
  <c r="X12" i="15"/>
  <c r="T12" i="15"/>
  <c r="Q12" i="15"/>
  <c r="P12" i="15"/>
  <c r="W12" i="15" s="1"/>
  <c r="AD12" i="15" s="1"/>
  <c r="M12" i="15"/>
  <c r="J12" i="15"/>
  <c r="I12" i="15"/>
  <c r="F12" i="15"/>
  <c r="AH11" i="15"/>
  <c r="AE11" i="15"/>
  <c r="AA11" i="15"/>
  <c r="X11" i="15"/>
  <c r="U11" i="15"/>
  <c r="U12" i="15" s="1"/>
  <c r="U13" i="15" s="1"/>
  <c r="U14" i="15" s="1"/>
  <c r="U15" i="15" s="1"/>
  <c r="U16" i="15" s="1"/>
  <c r="U17" i="15" s="1"/>
  <c r="U18" i="15" s="1"/>
  <c r="U19" i="15" s="1"/>
  <c r="U20" i="15" s="1"/>
  <c r="U21" i="15" s="1"/>
  <c r="U22" i="15" s="1"/>
  <c r="U23" i="15" s="1"/>
  <c r="D62" i="3" s="1"/>
  <c r="N62" i="3" s="1"/>
  <c r="T11" i="15"/>
  <c r="Q11" i="15"/>
  <c r="M11" i="15"/>
  <c r="J11" i="15"/>
  <c r="I11" i="15"/>
  <c r="P11" i="15" s="1"/>
  <c r="W11" i="15" s="1"/>
  <c r="AD11" i="15" s="1"/>
  <c r="G11" i="15"/>
  <c r="G12" i="15" s="1"/>
  <c r="G13" i="15" s="1"/>
  <c r="G14" i="15" s="1"/>
  <c r="G15" i="15" s="1"/>
  <c r="G16" i="15" s="1"/>
  <c r="G17" i="15" s="1"/>
  <c r="G18" i="15" s="1"/>
  <c r="G19" i="15" s="1"/>
  <c r="G20" i="15" s="1"/>
  <c r="G21" i="15" s="1"/>
  <c r="G22" i="15" s="1"/>
  <c r="G23" i="15" s="1"/>
  <c r="F11" i="15"/>
  <c r="AG10" i="15"/>
  <c r="AH10" i="15" s="1"/>
  <c r="AI10" i="15" s="1"/>
  <c r="AI11" i="15" s="1"/>
  <c r="AI12" i="15" s="1"/>
  <c r="AI13" i="15" s="1"/>
  <c r="AI14" i="15" s="1"/>
  <c r="AI15" i="15" s="1"/>
  <c r="AI16" i="15" s="1"/>
  <c r="AI17" i="15" s="1"/>
  <c r="AI18" i="15" s="1"/>
  <c r="AI19" i="15" s="1"/>
  <c r="AI20" i="15" s="1"/>
  <c r="AI21" i="15" s="1"/>
  <c r="AI22" i="15" s="1"/>
  <c r="AI23" i="15" s="1"/>
  <c r="D64" i="3" s="1"/>
  <c r="N64" i="3" s="1"/>
  <c r="AE10" i="15"/>
  <c r="AA10" i="15"/>
  <c r="AB10" i="15" s="1"/>
  <c r="AB11" i="15" s="1"/>
  <c r="AB12" i="15" s="1"/>
  <c r="AB13" i="15" s="1"/>
  <c r="AB14" i="15" s="1"/>
  <c r="AB15" i="15" s="1"/>
  <c r="AB16" i="15" s="1"/>
  <c r="AB17" i="15" s="1"/>
  <c r="AB18" i="15" s="1"/>
  <c r="AB19" i="15" s="1"/>
  <c r="AB20" i="15" s="1"/>
  <c r="AB21" i="15" s="1"/>
  <c r="AB22" i="15" s="1"/>
  <c r="AB23" i="15" s="1"/>
  <c r="Z10" i="15"/>
  <c r="X10" i="15"/>
  <c r="U10" i="15"/>
  <c r="T10" i="15"/>
  <c r="S10" i="15"/>
  <c r="Q10" i="15"/>
  <c r="P10" i="15"/>
  <c r="W10" i="15" s="1"/>
  <c r="AD10" i="15" s="1"/>
  <c r="N10" i="15"/>
  <c r="N11" i="15" s="1"/>
  <c r="N12" i="15" s="1"/>
  <c r="N13" i="15" s="1"/>
  <c r="N14" i="15" s="1"/>
  <c r="N15" i="15" s="1"/>
  <c r="N16" i="15" s="1"/>
  <c r="N17" i="15" s="1"/>
  <c r="N18" i="15" s="1"/>
  <c r="N19" i="15" s="1"/>
  <c r="N20" i="15" s="1"/>
  <c r="N21" i="15" s="1"/>
  <c r="M10" i="15"/>
  <c r="L10" i="15"/>
  <c r="J10" i="15"/>
  <c r="I10" i="15"/>
  <c r="G10" i="15"/>
  <c r="F10" i="15"/>
  <c r="E24" i="14"/>
  <c r="B24" i="14"/>
  <c r="E23" i="14"/>
  <c r="E21" i="14"/>
  <c r="E19" i="14"/>
  <c r="E18" i="14"/>
  <c r="I5" i="14"/>
  <c r="H5" i="14"/>
  <c r="G5" i="14"/>
  <c r="F5" i="14"/>
  <c r="B3" i="14"/>
  <c r="B2" i="14"/>
  <c r="B1" i="14"/>
  <c r="A46" i="13"/>
  <c r="D43" i="13"/>
  <c r="D42" i="13"/>
  <c r="D41" i="13"/>
  <c r="D40" i="13"/>
  <c r="D44" i="13" s="1"/>
  <c r="D36" i="13"/>
  <c r="D34" i="13"/>
  <c r="D37" i="13" s="1"/>
  <c r="J30" i="13"/>
  <c r="F29" i="13"/>
  <c r="A29" i="13"/>
  <c r="F28" i="13"/>
  <c r="A28" i="13"/>
  <c r="E23" i="13"/>
  <c r="D23" i="13"/>
  <c r="E22" i="13"/>
  <c r="D22" i="13"/>
  <c r="C22" i="13"/>
  <c r="F21" i="13"/>
  <c r="G21" i="13" s="1"/>
  <c r="F20" i="13"/>
  <c r="G20" i="13" s="1"/>
  <c r="H16" i="13"/>
  <c r="I14" i="13"/>
  <c r="I16" i="13" s="1"/>
  <c r="H14" i="13"/>
  <c r="F13" i="13"/>
  <c r="G13" i="13" s="1"/>
  <c r="E13" i="13"/>
  <c r="D13" i="13"/>
  <c r="C13" i="13"/>
  <c r="E12" i="13"/>
  <c r="D12" i="13"/>
  <c r="F12" i="13" s="1"/>
  <c r="E11" i="13"/>
  <c r="F11" i="13" s="1"/>
  <c r="D11" i="13"/>
  <c r="F23" i="13" s="1"/>
  <c r="A7" i="13"/>
  <c r="B11" i="13" s="1"/>
  <c r="B3" i="13"/>
  <c r="B2" i="13"/>
  <c r="B1" i="13"/>
  <c r="D43" i="12"/>
  <c r="D42" i="12"/>
  <c r="D41" i="12"/>
  <c r="D40" i="12"/>
  <c r="D44" i="12" s="1"/>
  <c r="D36" i="12"/>
  <c r="D34" i="12"/>
  <c r="D37" i="12" s="1"/>
  <c r="J30" i="12"/>
  <c r="F29" i="12"/>
  <c r="A29" i="12"/>
  <c r="F28" i="12"/>
  <c r="A28" i="12"/>
  <c r="E23" i="12"/>
  <c r="D23" i="12"/>
  <c r="E22" i="12"/>
  <c r="D22" i="12"/>
  <c r="C22" i="12"/>
  <c r="F21" i="12"/>
  <c r="G21" i="12" s="1"/>
  <c r="F20" i="12"/>
  <c r="G20" i="12" s="1"/>
  <c r="I16" i="12"/>
  <c r="H16" i="12"/>
  <c r="I14" i="12"/>
  <c r="H14" i="12"/>
  <c r="E13" i="12"/>
  <c r="D13" i="12"/>
  <c r="C13" i="12"/>
  <c r="E12" i="12"/>
  <c r="D12" i="12"/>
  <c r="F12" i="12" s="1"/>
  <c r="F11" i="12"/>
  <c r="G11" i="12" s="1"/>
  <c r="E11" i="12"/>
  <c r="D11" i="12"/>
  <c r="A7" i="12"/>
  <c r="B3" i="12"/>
  <c r="B2" i="12"/>
  <c r="B1" i="12"/>
  <c r="D43" i="11"/>
  <c r="D42" i="11"/>
  <c r="D44" i="11" s="1"/>
  <c r="D41" i="11"/>
  <c r="D40" i="11"/>
  <c r="D37" i="11"/>
  <c r="D36" i="11"/>
  <c r="D34" i="11"/>
  <c r="J30" i="11"/>
  <c r="F29" i="11"/>
  <c r="A29" i="11"/>
  <c r="F28" i="11"/>
  <c r="A28" i="11"/>
  <c r="F27" i="11"/>
  <c r="G27" i="11" s="1"/>
  <c r="E23" i="11"/>
  <c r="D23" i="11"/>
  <c r="E22" i="11"/>
  <c r="D22" i="11"/>
  <c r="F22" i="11" s="1"/>
  <c r="C22" i="11"/>
  <c r="G21" i="11"/>
  <c r="F21" i="11"/>
  <c r="F20" i="11"/>
  <c r="G20" i="11" s="1"/>
  <c r="I16" i="11"/>
  <c r="H16" i="11"/>
  <c r="I14" i="11"/>
  <c r="H14" i="11"/>
  <c r="D13" i="11"/>
  <c r="C13" i="11"/>
  <c r="F12" i="11"/>
  <c r="J12" i="11" s="1"/>
  <c r="J14" i="11" s="1"/>
  <c r="E12" i="11"/>
  <c r="D12" i="11"/>
  <c r="F11" i="11"/>
  <c r="G11" i="11" s="1"/>
  <c r="E11" i="11"/>
  <c r="D11" i="11"/>
  <c r="A7" i="11"/>
  <c r="A45" i="11" s="1"/>
  <c r="B3" i="11"/>
  <c r="B2" i="11"/>
  <c r="B1" i="11"/>
  <c r="D43" i="10"/>
  <c r="D42" i="10"/>
  <c r="D41" i="10"/>
  <c r="D40" i="10"/>
  <c r="D44" i="10" s="1"/>
  <c r="D37" i="10"/>
  <c r="D36" i="10"/>
  <c r="D34" i="10"/>
  <c r="J30" i="10"/>
  <c r="F29" i="10"/>
  <c r="A29" i="10"/>
  <c r="F28" i="10"/>
  <c r="A28" i="10"/>
  <c r="G27" i="10"/>
  <c r="F27" i="10"/>
  <c r="E23" i="10"/>
  <c r="D23" i="10"/>
  <c r="E22" i="10"/>
  <c r="D22" i="10"/>
  <c r="C22" i="10"/>
  <c r="F21" i="10"/>
  <c r="G21" i="10" s="1"/>
  <c r="G20" i="10"/>
  <c r="F20" i="10"/>
  <c r="I16" i="10"/>
  <c r="H16" i="10"/>
  <c r="I14" i="10"/>
  <c r="H14" i="10"/>
  <c r="E13" i="10"/>
  <c r="F13" i="10" s="1"/>
  <c r="G13" i="10" s="1"/>
  <c r="D13" i="10"/>
  <c r="C13" i="10"/>
  <c r="E12" i="10"/>
  <c r="D12" i="10"/>
  <c r="F12" i="10" s="1"/>
  <c r="F11" i="10"/>
  <c r="G11" i="10" s="1"/>
  <c r="E11" i="10"/>
  <c r="D11" i="10"/>
  <c r="A7" i="10"/>
  <c r="B3" i="10"/>
  <c r="B2" i="10"/>
  <c r="B1" i="10"/>
  <c r="Q15" i="9"/>
  <c r="N15" i="9"/>
  <c r="D15" i="9"/>
  <c r="C15" i="9"/>
  <c r="B15" i="9"/>
  <c r="A15" i="9"/>
  <c r="Q14" i="9"/>
  <c r="N14" i="9"/>
  <c r="D14" i="9"/>
  <c r="D16" i="9" s="1"/>
  <c r="C14" i="9"/>
  <c r="B14" i="9"/>
  <c r="U13" i="9"/>
  <c r="U16" i="9" s="1"/>
  <c r="Q13" i="9"/>
  <c r="N13" i="9"/>
  <c r="D13" i="9"/>
  <c r="C13" i="9"/>
  <c r="B13" i="9"/>
  <c r="Q12" i="9"/>
  <c r="N12" i="9"/>
  <c r="D12" i="9"/>
  <c r="C12" i="9"/>
  <c r="B12" i="9"/>
  <c r="A12" i="9"/>
  <c r="B3" i="9"/>
  <c r="A5" i="9" s="1"/>
  <c r="B2" i="9"/>
  <c r="B1" i="9"/>
  <c r="L34" i="8"/>
  <c r="M34" i="8" s="1"/>
  <c r="N34" i="8" s="1"/>
  <c r="O34" i="8" s="1"/>
  <c r="K34" i="8"/>
  <c r="A34" i="8"/>
  <c r="G33" i="8"/>
  <c r="L32" i="8"/>
  <c r="M32" i="8" s="1"/>
  <c r="N32" i="8" s="1"/>
  <c r="O32" i="8" s="1"/>
  <c r="K32" i="8"/>
  <c r="K31" i="8"/>
  <c r="L31" i="8" s="1"/>
  <c r="M31" i="8" s="1"/>
  <c r="N31" i="8" s="1"/>
  <c r="O31" i="8" s="1"/>
  <c r="F31" i="8"/>
  <c r="H31" i="8" s="1"/>
  <c r="K26" i="8"/>
  <c r="L26" i="8" s="1"/>
  <c r="M26" i="8" s="1"/>
  <c r="N26" i="8" s="1"/>
  <c r="O26" i="8" s="1"/>
  <c r="H26" i="8"/>
  <c r="A26" i="8"/>
  <c r="F26" i="8" s="1"/>
  <c r="K25" i="8"/>
  <c r="L25" i="8" s="1"/>
  <c r="M25" i="8" s="1"/>
  <c r="N25" i="8" s="1"/>
  <c r="O25" i="8" s="1"/>
  <c r="F25" i="8"/>
  <c r="H25" i="8" s="1"/>
  <c r="K23" i="8"/>
  <c r="L23" i="8" s="1"/>
  <c r="M23" i="8" s="1"/>
  <c r="N23" i="8" s="1"/>
  <c r="O23" i="8" s="1"/>
  <c r="F23" i="8"/>
  <c r="H23" i="8" s="1"/>
  <c r="A19" i="8"/>
  <c r="F18" i="8" s="1"/>
  <c r="K18" i="8"/>
  <c r="L18" i="8" s="1"/>
  <c r="M18" i="8" s="1"/>
  <c r="N18" i="8" s="1"/>
  <c r="O18" i="8" s="1"/>
  <c r="H18" i="8"/>
  <c r="K17" i="8"/>
  <c r="L17" i="8" s="1"/>
  <c r="M17" i="8" s="1"/>
  <c r="N17" i="8" s="1"/>
  <c r="O17" i="8" s="1"/>
  <c r="F17" i="8"/>
  <c r="H17" i="8" s="1"/>
  <c r="K12" i="8"/>
  <c r="L12" i="8" s="1"/>
  <c r="M12" i="8" s="1"/>
  <c r="N12" i="8" s="1"/>
  <c r="O12" i="8" s="1"/>
  <c r="A12" i="8"/>
  <c r="K11" i="8"/>
  <c r="L11" i="8" s="1"/>
  <c r="M11" i="8" s="1"/>
  <c r="N11" i="8" s="1"/>
  <c r="O11" i="8" s="1"/>
  <c r="M10" i="8"/>
  <c r="N10" i="8" s="1"/>
  <c r="O10" i="8" s="1"/>
  <c r="K10" i="8"/>
  <c r="L10" i="8" s="1"/>
  <c r="L9" i="8"/>
  <c r="M9" i="8" s="1"/>
  <c r="N9" i="8" s="1"/>
  <c r="O9" i="8" s="1"/>
  <c r="K9" i="8"/>
  <c r="B3" i="8"/>
  <c r="B2" i="8"/>
  <c r="B1" i="8"/>
  <c r="G17" i="7"/>
  <c r="E15" i="7"/>
  <c r="F15" i="7" s="1"/>
  <c r="G15" i="7" s="1"/>
  <c r="E14" i="7"/>
  <c r="F14" i="7" s="1"/>
  <c r="G14" i="7" s="1"/>
  <c r="E13" i="7"/>
  <c r="F13" i="7" s="1"/>
  <c r="G13" i="7" s="1"/>
  <c r="F12" i="7"/>
  <c r="G12" i="7" s="1"/>
  <c r="E12" i="7"/>
  <c r="F11" i="7"/>
  <c r="G11" i="7" s="1"/>
  <c r="E11" i="7"/>
  <c r="E10" i="7"/>
  <c r="F10" i="7" s="1"/>
  <c r="G10" i="7" s="1"/>
  <c r="G9" i="7"/>
  <c r="E9" i="7"/>
  <c r="F9" i="7" s="1"/>
  <c r="B3" i="7"/>
  <c r="B2" i="7"/>
  <c r="B1" i="7"/>
  <c r="F17" i="6"/>
  <c r="Q8" i="3" s="1"/>
  <c r="F24" i="11" s="1"/>
  <c r="G24" i="11" s="1"/>
  <c r="F16" i="6"/>
  <c r="F15" i="6"/>
  <c r="F14" i="6"/>
  <c r="E14" i="6"/>
  <c r="F12" i="6"/>
  <c r="F10" i="6"/>
  <c r="F11" i="6" s="1"/>
  <c r="F13" i="6" s="1"/>
  <c r="Q9" i="3" s="1"/>
  <c r="F24" i="12" s="1"/>
  <c r="G24" i="12" s="1"/>
  <c r="E10" i="6"/>
  <c r="F9" i="6"/>
  <c r="E9" i="6"/>
  <c r="B3" i="6"/>
  <c r="B2" i="6"/>
  <c r="B1" i="6"/>
  <c r="K81" i="5"/>
  <c r="O79" i="5"/>
  <c r="P79" i="5" s="1"/>
  <c r="Q79" i="5" s="1"/>
  <c r="R79" i="5" s="1"/>
  <c r="S79" i="5" s="1"/>
  <c r="L79" i="5"/>
  <c r="R78" i="5"/>
  <c r="S78" i="5" s="1"/>
  <c r="P78" i="5"/>
  <c r="Q78" i="5" s="1"/>
  <c r="O78" i="5"/>
  <c r="L78" i="5"/>
  <c r="O77" i="5"/>
  <c r="P77" i="5" s="1"/>
  <c r="Q77" i="5" s="1"/>
  <c r="R77" i="5" s="1"/>
  <c r="S77" i="5" s="1"/>
  <c r="L77" i="5"/>
  <c r="S76" i="5"/>
  <c r="Q76" i="5"/>
  <c r="R76" i="5" s="1"/>
  <c r="O76" i="5"/>
  <c r="P76" i="5" s="1"/>
  <c r="L76" i="5"/>
  <c r="O75" i="5"/>
  <c r="P75" i="5" s="1"/>
  <c r="Q75" i="5" s="1"/>
  <c r="R75" i="5" s="1"/>
  <c r="S75" i="5" s="1"/>
  <c r="L75" i="5"/>
  <c r="S74" i="5"/>
  <c r="R74" i="5"/>
  <c r="Q74" i="5"/>
  <c r="P74" i="5"/>
  <c r="O74" i="5"/>
  <c r="L74" i="5"/>
  <c r="L73" i="5"/>
  <c r="L72" i="5"/>
  <c r="L71" i="5"/>
  <c r="L70" i="5"/>
  <c r="L69" i="5"/>
  <c r="L68" i="5"/>
  <c r="Q67" i="5"/>
  <c r="R67" i="5" s="1"/>
  <c r="S67" i="5" s="1"/>
  <c r="P67" i="5"/>
  <c r="O67" i="5"/>
  <c r="L67" i="5"/>
  <c r="P66" i="5"/>
  <c r="Q66" i="5" s="1"/>
  <c r="R66" i="5" s="1"/>
  <c r="S66" i="5" s="1"/>
  <c r="O66" i="5"/>
  <c r="L66" i="5"/>
  <c r="R65" i="5"/>
  <c r="S65" i="5" s="1"/>
  <c r="Q65" i="5"/>
  <c r="O65" i="5"/>
  <c r="P65" i="5" s="1"/>
  <c r="L65" i="5"/>
  <c r="P64" i="5"/>
  <c r="Q64" i="5" s="1"/>
  <c r="R64" i="5" s="1"/>
  <c r="S64" i="5" s="1"/>
  <c r="O64" i="5"/>
  <c r="L64" i="5"/>
  <c r="S63" i="5"/>
  <c r="Q63" i="5"/>
  <c r="R63" i="5" s="1"/>
  <c r="P63" i="5"/>
  <c r="O63" i="5"/>
  <c r="L63" i="5"/>
  <c r="Q62" i="5"/>
  <c r="R62" i="5" s="1"/>
  <c r="S62" i="5" s="1"/>
  <c r="O62" i="5"/>
  <c r="P62" i="5" s="1"/>
  <c r="L62" i="5"/>
  <c r="P61" i="5"/>
  <c r="Q61" i="5" s="1"/>
  <c r="R61" i="5" s="1"/>
  <c r="S61" i="5" s="1"/>
  <c r="O61" i="5"/>
  <c r="L61" i="5"/>
  <c r="P60" i="5"/>
  <c r="Q60" i="5" s="1"/>
  <c r="R60" i="5" s="1"/>
  <c r="S60" i="5" s="1"/>
  <c r="O60" i="5"/>
  <c r="L60" i="5"/>
  <c r="O59" i="5"/>
  <c r="P59" i="5" s="1"/>
  <c r="Q59" i="5" s="1"/>
  <c r="R59" i="5" s="1"/>
  <c r="S59" i="5" s="1"/>
  <c r="L59" i="5"/>
  <c r="R58" i="5"/>
  <c r="S58" i="5" s="1"/>
  <c r="Q58" i="5"/>
  <c r="P58" i="5"/>
  <c r="O58" i="5"/>
  <c r="L58" i="5"/>
  <c r="K52" i="5"/>
  <c r="S50" i="5"/>
  <c r="P50" i="5"/>
  <c r="Q50" i="5" s="1"/>
  <c r="R50" i="5" s="1"/>
  <c r="O50" i="5"/>
  <c r="L50" i="5"/>
  <c r="P41" i="5"/>
  <c r="Q41" i="5" s="1"/>
  <c r="R41" i="5" s="1"/>
  <c r="S41" i="5" s="1"/>
  <c r="O41" i="5"/>
  <c r="L41" i="5"/>
  <c r="O40" i="5"/>
  <c r="P40" i="5" s="1"/>
  <c r="Q40" i="5" s="1"/>
  <c r="R40" i="5" s="1"/>
  <c r="S40" i="5" s="1"/>
  <c r="L40" i="5"/>
  <c r="O39" i="5"/>
  <c r="P39" i="5" s="1"/>
  <c r="Q39" i="5" s="1"/>
  <c r="R39" i="5" s="1"/>
  <c r="S39" i="5" s="1"/>
  <c r="L39" i="5"/>
  <c r="P38" i="5"/>
  <c r="Q38" i="5" s="1"/>
  <c r="R38" i="5" s="1"/>
  <c r="S38" i="5" s="1"/>
  <c r="O38" i="5"/>
  <c r="L38" i="5"/>
  <c r="O37" i="5"/>
  <c r="P37" i="5" s="1"/>
  <c r="Q37" i="5" s="1"/>
  <c r="R37" i="5" s="1"/>
  <c r="S37" i="5" s="1"/>
  <c r="L37" i="5"/>
  <c r="O36" i="5"/>
  <c r="P36" i="5" s="1"/>
  <c r="Q36" i="5" s="1"/>
  <c r="R36" i="5" s="1"/>
  <c r="S36" i="5" s="1"/>
  <c r="L36" i="5"/>
  <c r="P35" i="5"/>
  <c r="Q35" i="5" s="1"/>
  <c r="R35" i="5" s="1"/>
  <c r="S35" i="5" s="1"/>
  <c r="O35" i="5"/>
  <c r="L35" i="5"/>
  <c r="Q34" i="5"/>
  <c r="R34" i="5" s="1"/>
  <c r="S34" i="5" s="1"/>
  <c r="O34" i="5"/>
  <c r="P34" i="5" s="1"/>
  <c r="L34" i="5"/>
  <c r="O33" i="5"/>
  <c r="P33" i="5" s="1"/>
  <c r="Q33" i="5" s="1"/>
  <c r="R33" i="5" s="1"/>
  <c r="S33" i="5" s="1"/>
  <c r="L33" i="5"/>
  <c r="S32" i="5"/>
  <c r="P32" i="5"/>
  <c r="Q32" i="5" s="1"/>
  <c r="R32" i="5" s="1"/>
  <c r="O32" i="5"/>
  <c r="L32" i="5"/>
  <c r="O31" i="5"/>
  <c r="P31" i="5" s="1"/>
  <c r="Q31" i="5" s="1"/>
  <c r="R31" i="5" s="1"/>
  <c r="S31" i="5" s="1"/>
  <c r="L31" i="5"/>
  <c r="O30" i="5"/>
  <c r="P30" i="5" s="1"/>
  <c r="Q30" i="5" s="1"/>
  <c r="R30" i="5" s="1"/>
  <c r="S30" i="5" s="1"/>
  <c r="L30" i="5"/>
  <c r="P29" i="5"/>
  <c r="Q29" i="5" s="1"/>
  <c r="R29" i="5" s="1"/>
  <c r="S29" i="5" s="1"/>
  <c r="O29" i="5"/>
  <c r="L29" i="5"/>
  <c r="Q28" i="5"/>
  <c r="R28" i="5" s="1"/>
  <c r="S28" i="5" s="1"/>
  <c r="O28" i="5"/>
  <c r="P28" i="5" s="1"/>
  <c r="L28" i="5"/>
  <c r="O27" i="5"/>
  <c r="P27" i="5" s="1"/>
  <c r="Q27" i="5" s="1"/>
  <c r="R27" i="5" s="1"/>
  <c r="S27" i="5" s="1"/>
  <c r="L27" i="5"/>
  <c r="P26" i="5"/>
  <c r="Q26" i="5" s="1"/>
  <c r="R26" i="5" s="1"/>
  <c r="S26" i="5" s="1"/>
  <c r="O26" i="5"/>
  <c r="L26" i="5"/>
  <c r="O25" i="5"/>
  <c r="P25" i="5" s="1"/>
  <c r="Q25" i="5" s="1"/>
  <c r="R25" i="5" s="1"/>
  <c r="S25" i="5" s="1"/>
  <c r="L25" i="5"/>
  <c r="O24" i="5"/>
  <c r="P24" i="5" s="1"/>
  <c r="Q24" i="5" s="1"/>
  <c r="R24" i="5" s="1"/>
  <c r="S24" i="5" s="1"/>
  <c r="L24" i="5"/>
  <c r="S23" i="5"/>
  <c r="P23" i="5"/>
  <c r="Q23" i="5" s="1"/>
  <c r="R23" i="5" s="1"/>
  <c r="O23" i="5"/>
  <c r="L23" i="5"/>
  <c r="O22" i="5"/>
  <c r="P22" i="5" s="1"/>
  <c r="Q22" i="5" s="1"/>
  <c r="R22" i="5" s="1"/>
  <c r="S22" i="5" s="1"/>
  <c r="L22" i="5"/>
  <c r="O21" i="5"/>
  <c r="P21" i="5" s="1"/>
  <c r="Q21" i="5" s="1"/>
  <c r="R21" i="5" s="1"/>
  <c r="S21" i="5" s="1"/>
  <c r="L21" i="5"/>
  <c r="P20" i="5"/>
  <c r="Q20" i="5" s="1"/>
  <c r="R20" i="5" s="1"/>
  <c r="S20" i="5" s="1"/>
  <c r="O20" i="5"/>
  <c r="L20" i="5"/>
  <c r="O19" i="5"/>
  <c r="P19" i="5" s="1"/>
  <c r="Q19" i="5" s="1"/>
  <c r="R19" i="5" s="1"/>
  <c r="S19" i="5" s="1"/>
  <c r="L19" i="5"/>
  <c r="O18" i="5"/>
  <c r="P18" i="5" s="1"/>
  <c r="Q18" i="5" s="1"/>
  <c r="R18" i="5" s="1"/>
  <c r="S18" i="5" s="1"/>
  <c r="L18" i="5"/>
  <c r="K18" i="5"/>
  <c r="P17" i="5"/>
  <c r="Q17" i="5" s="1"/>
  <c r="R17" i="5" s="1"/>
  <c r="S17" i="5" s="1"/>
  <c r="O17" i="5"/>
  <c r="L17" i="5"/>
  <c r="Q16" i="5"/>
  <c r="R16" i="5" s="1"/>
  <c r="S16" i="5" s="1"/>
  <c r="O16" i="5"/>
  <c r="P16" i="5" s="1"/>
  <c r="L16" i="5"/>
  <c r="L15" i="5"/>
  <c r="Q14" i="5"/>
  <c r="R14" i="5" s="1"/>
  <c r="S14" i="5" s="1"/>
  <c r="P14" i="5"/>
  <c r="O14" i="5"/>
  <c r="L14" i="5"/>
  <c r="O13" i="5"/>
  <c r="P13" i="5" s="1"/>
  <c r="Q13" i="5" s="1"/>
  <c r="R13" i="5" s="1"/>
  <c r="S13" i="5" s="1"/>
  <c r="L13" i="5"/>
  <c r="R12" i="5"/>
  <c r="S12" i="5" s="1"/>
  <c r="O12" i="5"/>
  <c r="P12" i="5" s="1"/>
  <c r="Q12" i="5" s="1"/>
  <c r="L12" i="5"/>
  <c r="L11" i="5"/>
  <c r="Q10" i="5"/>
  <c r="R10" i="5" s="1"/>
  <c r="S10" i="5" s="1"/>
  <c r="P10" i="5"/>
  <c r="O10" i="5"/>
  <c r="L10" i="5"/>
  <c r="O9" i="5"/>
  <c r="P9" i="5" s="1"/>
  <c r="Q9" i="5" s="1"/>
  <c r="R9" i="5" s="1"/>
  <c r="S9" i="5" s="1"/>
  <c r="L9" i="5"/>
  <c r="R8" i="5"/>
  <c r="S8" i="5" s="1"/>
  <c r="Q8" i="5"/>
  <c r="P8" i="5"/>
  <c r="O8" i="5"/>
  <c r="L8" i="5"/>
  <c r="B3" i="5"/>
  <c r="B2" i="5"/>
  <c r="B1" i="5"/>
  <c r="C56" i="4"/>
  <c r="F52" i="4"/>
  <c r="G52" i="4" s="1"/>
  <c r="C48" i="4"/>
  <c r="C49" i="4" s="1"/>
  <c r="C44" i="4"/>
  <c r="C43" i="4"/>
  <c r="C39" i="4"/>
  <c r="E8" i="14" s="1"/>
  <c r="C36" i="4"/>
  <c r="C33" i="4"/>
  <c r="H56" i="4" s="1"/>
  <c r="C32" i="4"/>
  <c r="C31" i="4"/>
  <c r="C27" i="4"/>
  <c r="C22" i="4"/>
  <c r="F53" i="4" s="1"/>
  <c r="C21" i="4"/>
  <c r="C23" i="4" s="1"/>
  <c r="B3" i="4"/>
  <c r="B2" i="4"/>
  <c r="B1" i="4"/>
  <c r="H73" i="3"/>
  <c r="I73" i="3" s="1"/>
  <c r="J73" i="3" s="1"/>
  <c r="F73" i="3"/>
  <c r="G73" i="3" s="1"/>
  <c r="N63" i="3"/>
  <c r="D63" i="3"/>
  <c r="D60" i="3"/>
  <c r="N60" i="3" s="1"/>
  <c r="G55" i="3"/>
  <c r="B47" i="3"/>
  <c r="G37" i="3"/>
  <c r="G22" i="3"/>
  <c r="C16" i="4" s="1"/>
  <c r="U10" i="3"/>
  <c r="M10" i="3"/>
  <c r="F10" i="3"/>
  <c r="U9" i="3"/>
  <c r="M9" i="3"/>
  <c r="H7" i="14" s="1"/>
  <c r="F9" i="3"/>
  <c r="U8" i="3"/>
  <c r="K8" i="3"/>
  <c r="F8" i="3"/>
  <c r="U7" i="3"/>
  <c r="Q7" i="3"/>
  <c r="F24" i="10" s="1"/>
  <c r="G24" i="10" s="1"/>
  <c r="H7" i="3"/>
  <c r="F7" i="3"/>
  <c r="M7" i="3" s="1"/>
  <c r="A4" i="3"/>
  <c r="B3" i="3"/>
  <c r="B2" i="3"/>
  <c r="B1" i="3"/>
  <c r="G102" i="1"/>
  <c r="G101" i="1"/>
  <c r="G100" i="1"/>
  <c r="N98" i="1"/>
  <c r="O98" i="1" s="1"/>
  <c r="L98" i="1" s="1"/>
  <c r="G98" i="1" s="1"/>
  <c r="M98" i="1"/>
  <c r="F98" i="1"/>
  <c r="E98" i="1"/>
  <c r="B98" i="1"/>
  <c r="N97" i="1"/>
  <c r="O97" i="1" s="1"/>
  <c r="M97" i="1"/>
  <c r="L97" i="1" s="1"/>
  <c r="G97" i="1" s="1"/>
  <c r="F97" i="1"/>
  <c r="E97" i="1"/>
  <c r="B97" i="1"/>
  <c r="O96" i="1"/>
  <c r="L96" i="1" s="1"/>
  <c r="G96" i="1" s="1"/>
  <c r="J77" i="5" s="1"/>
  <c r="K77" i="5" s="1"/>
  <c r="N96" i="1"/>
  <c r="M96" i="1"/>
  <c r="I96" i="1"/>
  <c r="H96" i="1"/>
  <c r="F96" i="1"/>
  <c r="E96" i="1"/>
  <c r="B96" i="1"/>
  <c r="O95" i="1"/>
  <c r="N95" i="1"/>
  <c r="M95" i="1"/>
  <c r="L95" i="1" s="1"/>
  <c r="G95" i="1"/>
  <c r="F95" i="1"/>
  <c r="E95" i="1"/>
  <c r="B95" i="1"/>
  <c r="N94" i="1"/>
  <c r="O94" i="1" s="1"/>
  <c r="M94" i="1"/>
  <c r="L94" i="1" s="1"/>
  <c r="G94" i="1" s="1"/>
  <c r="F94" i="1"/>
  <c r="E94" i="1"/>
  <c r="B94" i="1"/>
  <c r="N93" i="1"/>
  <c r="O93" i="1" s="1"/>
  <c r="L93" i="1" s="1"/>
  <c r="G93" i="1" s="1"/>
  <c r="M93" i="1"/>
  <c r="F93" i="1"/>
  <c r="E93" i="1"/>
  <c r="B93" i="1"/>
  <c r="N92" i="1"/>
  <c r="O92" i="1" s="1"/>
  <c r="L92" i="1" s="1"/>
  <c r="G92" i="1" s="1"/>
  <c r="M92" i="1"/>
  <c r="F92" i="1"/>
  <c r="E92" i="1"/>
  <c r="B92" i="1"/>
  <c r="N91" i="1"/>
  <c r="O91" i="1" s="1"/>
  <c r="M91" i="1"/>
  <c r="L91" i="1" s="1"/>
  <c r="G91" i="1" s="1"/>
  <c r="F91" i="1"/>
  <c r="E91" i="1"/>
  <c r="B91" i="1"/>
  <c r="O90" i="1"/>
  <c r="L90" i="1" s="1"/>
  <c r="G90" i="1" s="1"/>
  <c r="J71" i="5" s="1"/>
  <c r="K71" i="5" s="1"/>
  <c r="N90" i="1"/>
  <c r="M90" i="1"/>
  <c r="I90" i="1"/>
  <c r="F90" i="1"/>
  <c r="E90" i="1"/>
  <c r="B90" i="1"/>
  <c r="O89" i="1"/>
  <c r="N89" i="1"/>
  <c r="M89" i="1"/>
  <c r="L89" i="1" s="1"/>
  <c r="G89" i="1"/>
  <c r="F89" i="1"/>
  <c r="E89" i="1"/>
  <c r="B89" i="1"/>
  <c r="N88" i="1"/>
  <c r="O88" i="1" s="1"/>
  <c r="M88" i="1"/>
  <c r="F88" i="1"/>
  <c r="E88" i="1"/>
  <c r="B88" i="1"/>
  <c r="N87" i="1"/>
  <c r="O87" i="1" s="1"/>
  <c r="L87" i="1" s="1"/>
  <c r="G87" i="1" s="1"/>
  <c r="M87" i="1"/>
  <c r="F87" i="1"/>
  <c r="E87" i="1"/>
  <c r="B87" i="1"/>
  <c r="O86" i="1"/>
  <c r="L86" i="1" s="1"/>
  <c r="G86" i="1" s="1"/>
  <c r="N86" i="1"/>
  <c r="M86" i="1"/>
  <c r="F86" i="1"/>
  <c r="E86" i="1"/>
  <c r="B86" i="1"/>
  <c r="N85" i="1"/>
  <c r="O85" i="1" s="1"/>
  <c r="M85" i="1"/>
  <c r="L85" i="1" s="1"/>
  <c r="G85" i="1" s="1"/>
  <c r="F85" i="1"/>
  <c r="E85" i="1"/>
  <c r="B85" i="1"/>
  <c r="O84" i="1"/>
  <c r="N84" i="1"/>
  <c r="M84" i="1"/>
  <c r="L84" i="1"/>
  <c r="G84" i="1" s="1"/>
  <c r="J65" i="5" s="1"/>
  <c r="K65" i="5" s="1"/>
  <c r="F84" i="1"/>
  <c r="E84" i="1"/>
  <c r="B84" i="1"/>
  <c r="O83" i="1"/>
  <c r="N83" i="1"/>
  <c r="M83" i="1"/>
  <c r="L83" i="1" s="1"/>
  <c r="G83" i="1"/>
  <c r="F83" i="1"/>
  <c r="E83" i="1"/>
  <c r="B83" i="1"/>
  <c r="N82" i="1"/>
  <c r="O82" i="1" s="1"/>
  <c r="M82" i="1"/>
  <c r="L82" i="1" s="1"/>
  <c r="G82" i="1" s="1"/>
  <c r="F82" i="1"/>
  <c r="E82" i="1"/>
  <c r="B82" i="1"/>
  <c r="N81" i="1"/>
  <c r="O81" i="1" s="1"/>
  <c r="L81" i="1" s="1"/>
  <c r="G81" i="1" s="1"/>
  <c r="M81" i="1"/>
  <c r="F81" i="1"/>
  <c r="E81" i="1"/>
  <c r="B81" i="1"/>
  <c r="N80" i="1"/>
  <c r="O80" i="1" s="1"/>
  <c r="L80" i="1" s="1"/>
  <c r="G80" i="1" s="1"/>
  <c r="M80" i="1"/>
  <c r="F80" i="1"/>
  <c r="E80" i="1"/>
  <c r="B80" i="1"/>
  <c r="N79" i="1"/>
  <c r="O79" i="1" s="1"/>
  <c r="M79" i="1"/>
  <c r="L79" i="1" s="1"/>
  <c r="G79" i="1" s="1"/>
  <c r="F79" i="1"/>
  <c r="E79" i="1"/>
  <c r="B79" i="1"/>
  <c r="N78" i="1"/>
  <c r="O78" i="1" s="1"/>
  <c r="L78" i="1" s="1"/>
  <c r="G78" i="1" s="1"/>
  <c r="J59" i="5" s="1"/>
  <c r="K59" i="5" s="1"/>
  <c r="M78" i="1"/>
  <c r="I78" i="1"/>
  <c r="F78" i="1"/>
  <c r="E78" i="1"/>
  <c r="B78" i="1"/>
  <c r="O77" i="1"/>
  <c r="L77" i="1" s="1"/>
  <c r="N77" i="1"/>
  <c r="M77" i="1"/>
  <c r="G77" i="1"/>
  <c r="F77" i="1"/>
  <c r="E77" i="1"/>
  <c r="B77" i="1"/>
  <c r="G72" i="1"/>
  <c r="G71" i="1"/>
  <c r="G70" i="1"/>
  <c r="N68" i="1"/>
  <c r="O68" i="1" s="1"/>
  <c r="L68" i="1" s="1"/>
  <c r="G68" i="1" s="1"/>
  <c r="M68" i="1"/>
  <c r="F68" i="1"/>
  <c r="E68" i="1"/>
  <c r="B68" i="1"/>
  <c r="N67" i="1"/>
  <c r="O67" i="1" s="1"/>
  <c r="M67" i="1"/>
  <c r="L67" i="1"/>
  <c r="G67" i="1" s="1"/>
  <c r="I67" i="1" s="1"/>
  <c r="F67" i="1"/>
  <c r="E67" i="1"/>
  <c r="B67" i="1"/>
  <c r="N66" i="1"/>
  <c r="O66" i="1" s="1"/>
  <c r="L66" i="1" s="1"/>
  <c r="G66" i="1" s="1"/>
  <c r="J48" i="5" s="1"/>
  <c r="K48" i="5" s="1"/>
  <c r="M66" i="1"/>
  <c r="H66" i="1"/>
  <c r="F66" i="1"/>
  <c r="E66" i="1"/>
  <c r="B66" i="1"/>
  <c r="O65" i="1"/>
  <c r="L65" i="1" s="1"/>
  <c r="N65" i="1"/>
  <c r="M65" i="1"/>
  <c r="G65" i="1"/>
  <c r="F65" i="1"/>
  <c r="E65" i="1"/>
  <c r="B65" i="1"/>
  <c r="N64" i="1"/>
  <c r="O64" i="1" s="1"/>
  <c r="M64" i="1"/>
  <c r="L64" i="1" s="1"/>
  <c r="G64" i="1" s="1"/>
  <c r="F64" i="1"/>
  <c r="E64" i="1"/>
  <c r="B64" i="1"/>
  <c r="N63" i="1"/>
  <c r="O63" i="1" s="1"/>
  <c r="L63" i="1" s="1"/>
  <c r="G63" i="1" s="1"/>
  <c r="M63" i="1"/>
  <c r="F63" i="1"/>
  <c r="E63" i="1"/>
  <c r="B63" i="1"/>
  <c r="N62" i="1"/>
  <c r="O62" i="1" s="1"/>
  <c r="L62" i="1" s="1"/>
  <c r="G62" i="1" s="1"/>
  <c r="M62" i="1"/>
  <c r="F62" i="1"/>
  <c r="E62" i="1"/>
  <c r="B62" i="1"/>
  <c r="N61" i="1"/>
  <c r="O61" i="1" s="1"/>
  <c r="L61" i="1" s="1"/>
  <c r="G61" i="1" s="1"/>
  <c r="M61" i="1"/>
  <c r="F61" i="1"/>
  <c r="E61" i="1"/>
  <c r="B61" i="1"/>
  <c r="N60" i="1"/>
  <c r="O60" i="1" s="1"/>
  <c r="L60" i="1" s="1"/>
  <c r="G60" i="1" s="1"/>
  <c r="J42" i="5" s="1"/>
  <c r="K42" i="5" s="1"/>
  <c r="M60" i="1"/>
  <c r="I60" i="1"/>
  <c r="H60" i="1"/>
  <c r="F60" i="1"/>
  <c r="E60" i="1"/>
  <c r="B60" i="1"/>
  <c r="O59" i="1"/>
  <c r="L59" i="1" s="1"/>
  <c r="G59" i="1" s="1"/>
  <c r="N59" i="1"/>
  <c r="M59" i="1"/>
  <c r="F59" i="1"/>
  <c r="E59" i="1"/>
  <c r="B59" i="1"/>
  <c r="N58" i="1"/>
  <c r="O58" i="1" s="1"/>
  <c r="M58" i="1"/>
  <c r="F58" i="1"/>
  <c r="E58" i="1"/>
  <c r="B58" i="1"/>
  <c r="N57" i="1"/>
  <c r="O57" i="1" s="1"/>
  <c r="L57" i="1" s="1"/>
  <c r="G57" i="1" s="1"/>
  <c r="M57" i="1"/>
  <c r="F57" i="1"/>
  <c r="E57" i="1"/>
  <c r="B57" i="1"/>
  <c r="N56" i="1"/>
  <c r="O56" i="1" s="1"/>
  <c r="L56" i="1" s="1"/>
  <c r="G56" i="1" s="1"/>
  <c r="M56" i="1"/>
  <c r="F56" i="1"/>
  <c r="E56" i="1"/>
  <c r="B56" i="1"/>
  <c r="N55" i="1"/>
  <c r="O55" i="1" s="1"/>
  <c r="M55" i="1"/>
  <c r="L55" i="1"/>
  <c r="G55" i="1" s="1"/>
  <c r="H55" i="1" s="1"/>
  <c r="F55" i="1"/>
  <c r="E55" i="1"/>
  <c r="B55" i="1"/>
  <c r="N54" i="1"/>
  <c r="O54" i="1" s="1"/>
  <c r="L54" i="1" s="1"/>
  <c r="G54" i="1" s="1"/>
  <c r="J36" i="5" s="1"/>
  <c r="K36" i="5" s="1"/>
  <c r="M54" i="1"/>
  <c r="H54" i="1"/>
  <c r="F54" i="1"/>
  <c r="E54" i="1"/>
  <c r="B54" i="1"/>
  <c r="O53" i="1"/>
  <c r="L53" i="1" s="1"/>
  <c r="G53" i="1" s="1"/>
  <c r="N53" i="1"/>
  <c r="M53" i="1"/>
  <c r="F53" i="1"/>
  <c r="E53" i="1"/>
  <c r="B53" i="1"/>
  <c r="N52" i="1"/>
  <c r="O52" i="1" s="1"/>
  <c r="M52" i="1"/>
  <c r="L52" i="1" s="1"/>
  <c r="G52" i="1" s="1"/>
  <c r="F52" i="1"/>
  <c r="E52" i="1"/>
  <c r="B52" i="1"/>
  <c r="N51" i="1"/>
  <c r="O51" i="1" s="1"/>
  <c r="L51" i="1" s="1"/>
  <c r="G51" i="1" s="1"/>
  <c r="M51" i="1"/>
  <c r="F51" i="1"/>
  <c r="E51" i="1"/>
  <c r="B51" i="1"/>
  <c r="O50" i="1"/>
  <c r="N50" i="1"/>
  <c r="M50" i="1"/>
  <c r="L50" i="1"/>
  <c r="G50" i="1" s="1"/>
  <c r="F50" i="1"/>
  <c r="E50" i="1"/>
  <c r="B50" i="1"/>
  <c r="N49" i="1"/>
  <c r="O49" i="1" s="1"/>
  <c r="L49" i="1" s="1"/>
  <c r="G49" i="1" s="1"/>
  <c r="M49" i="1"/>
  <c r="F49" i="1"/>
  <c r="E49" i="1"/>
  <c r="B49" i="1"/>
  <c r="N48" i="1"/>
  <c r="O48" i="1" s="1"/>
  <c r="L48" i="1" s="1"/>
  <c r="G48" i="1" s="1"/>
  <c r="J30" i="5" s="1"/>
  <c r="K30" i="5" s="1"/>
  <c r="M48" i="1"/>
  <c r="F48" i="1"/>
  <c r="E48" i="1"/>
  <c r="B48" i="1"/>
  <c r="N47" i="1"/>
  <c r="O47" i="1" s="1"/>
  <c r="L47" i="1" s="1"/>
  <c r="G47" i="1" s="1"/>
  <c r="M47" i="1"/>
  <c r="F47" i="1"/>
  <c r="E47" i="1"/>
  <c r="B47" i="1"/>
  <c r="N46" i="1"/>
  <c r="O46" i="1" s="1"/>
  <c r="L46" i="1" s="1"/>
  <c r="G46" i="1" s="1"/>
  <c r="M46" i="1"/>
  <c r="F46" i="1"/>
  <c r="E46" i="1"/>
  <c r="B46" i="1"/>
  <c r="N45" i="1"/>
  <c r="O45" i="1" s="1"/>
  <c r="L45" i="1" s="1"/>
  <c r="G45" i="1" s="1"/>
  <c r="M45" i="1"/>
  <c r="F45" i="1"/>
  <c r="E45" i="1"/>
  <c r="B45" i="1"/>
  <c r="N44" i="1"/>
  <c r="O44" i="1" s="1"/>
  <c r="L44" i="1" s="1"/>
  <c r="G44" i="1" s="1"/>
  <c r="M44" i="1"/>
  <c r="F44" i="1"/>
  <c r="E44" i="1"/>
  <c r="B44" i="1"/>
  <c r="N43" i="1"/>
  <c r="O43" i="1" s="1"/>
  <c r="M43" i="1"/>
  <c r="L43" i="1" s="1"/>
  <c r="G43" i="1" s="1"/>
  <c r="F43" i="1"/>
  <c r="E43" i="1"/>
  <c r="B43" i="1"/>
  <c r="N42" i="1"/>
  <c r="O42" i="1" s="1"/>
  <c r="L42" i="1" s="1"/>
  <c r="G42" i="1" s="1"/>
  <c r="J24" i="5" s="1"/>
  <c r="K24" i="5" s="1"/>
  <c r="M42" i="1"/>
  <c r="H42" i="1"/>
  <c r="F42" i="1"/>
  <c r="E42" i="1"/>
  <c r="B42" i="1"/>
  <c r="N41" i="1"/>
  <c r="O41" i="1" s="1"/>
  <c r="L41" i="1" s="1"/>
  <c r="M41" i="1"/>
  <c r="G41" i="1"/>
  <c r="F41" i="1"/>
  <c r="E41" i="1"/>
  <c r="B41" i="1"/>
  <c r="N40" i="1"/>
  <c r="O40" i="1" s="1"/>
  <c r="L40" i="1" s="1"/>
  <c r="G40" i="1" s="1"/>
  <c r="M40" i="1"/>
  <c r="F40" i="1"/>
  <c r="E40" i="1"/>
  <c r="B40" i="1"/>
  <c r="N39" i="1"/>
  <c r="O39" i="1" s="1"/>
  <c r="L39" i="1" s="1"/>
  <c r="G39" i="1" s="1"/>
  <c r="M39" i="1"/>
  <c r="F39" i="1"/>
  <c r="E39" i="1"/>
  <c r="B39" i="1"/>
  <c r="N38" i="1"/>
  <c r="O38" i="1" s="1"/>
  <c r="L38" i="1" s="1"/>
  <c r="G38" i="1" s="1"/>
  <c r="M38" i="1"/>
  <c r="F38" i="1"/>
  <c r="E38" i="1"/>
  <c r="B38" i="1"/>
  <c r="N37" i="1"/>
  <c r="O37" i="1" s="1"/>
  <c r="L37" i="1" s="1"/>
  <c r="G37" i="1" s="1"/>
  <c r="M37" i="1"/>
  <c r="F37" i="1"/>
  <c r="E37" i="1"/>
  <c r="B37" i="1"/>
  <c r="N36" i="1"/>
  <c r="O36" i="1" s="1"/>
  <c r="L36" i="1" s="1"/>
  <c r="G36" i="1" s="1"/>
  <c r="J18" i="5" s="1"/>
  <c r="M36" i="1"/>
  <c r="I36" i="1"/>
  <c r="H36" i="1"/>
  <c r="F36" i="1"/>
  <c r="E36" i="1"/>
  <c r="B36" i="1"/>
  <c r="N35" i="1"/>
  <c r="O35" i="1" s="1"/>
  <c r="L35" i="1" s="1"/>
  <c r="G35" i="1" s="1"/>
  <c r="M35" i="1"/>
  <c r="F35" i="1"/>
  <c r="E35" i="1"/>
  <c r="B35" i="1"/>
  <c r="N34" i="1"/>
  <c r="O34" i="1" s="1"/>
  <c r="L34" i="1" s="1"/>
  <c r="G34" i="1" s="1"/>
  <c r="M34" i="1"/>
  <c r="F34" i="1"/>
  <c r="E34" i="1"/>
  <c r="B34" i="1"/>
  <c r="N33" i="1"/>
  <c r="O33" i="1" s="1"/>
  <c r="L33" i="1" s="1"/>
  <c r="G33" i="1" s="1"/>
  <c r="M33" i="1"/>
  <c r="F33" i="1"/>
  <c r="E33" i="1"/>
  <c r="B33" i="1"/>
  <c r="O32" i="1"/>
  <c r="N32" i="1"/>
  <c r="M32" i="1"/>
  <c r="L32" i="1"/>
  <c r="G32" i="1" s="1"/>
  <c r="F32" i="1"/>
  <c r="E32" i="1"/>
  <c r="B32" i="1"/>
  <c r="N31" i="1"/>
  <c r="O31" i="1" s="1"/>
  <c r="M31" i="1"/>
  <c r="L31" i="1"/>
  <c r="G31" i="1" s="1"/>
  <c r="I31" i="1" s="1"/>
  <c r="F31" i="1"/>
  <c r="E31" i="1"/>
  <c r="B31" i="1"/>
  <c r="N30" i="1"/>
  <c r="O30" i="1" s="1"/>
  <c r="L30" i="1" s="1"/>
  <c r="G30" i="1" s="1"/>
  <c r="J12" i="5" s="1"/>
  <c r="K12" i="5" s="1"/>
  <c r="M30" i="1"/>
  <c r="I30" i="1"/>
  <c r="F30" i="1"/>
  <c r="E30" i="1"/>
  <c r="B30" i="1"/>
  <c r="N29" i="1"/>
  <c r="O29" i="1" s="1"/>
  <c r="L29" i="1" s="1"/>
  <c r="G29" i="1" s="1"/>
  <c r="M29" i="1"/>
  <c r="F29" i="1"/>
  <c r="E29" i="1"/>
  <c r="B29" i="1"/>
  <c r="N28" i="1"/>
  <c r="O28" i="1" s="1"/>
  <c r="L28" i="1" s="1"/>
  <c r="G28" i="1" s="1"/>
  <c r="M28" i="1"/>
  <c r="F28" i="1"/>
  <c r="E28" i="1"/>
  <c r="B28" i="1"/>
  <c r="N27" i="1"/>
  <c r="O27" i="1" s="1"/>
  <c r="L27" i="1" s="1"/>
  <c r="G27" i="1" s="1"/>
  <c r="M27" i="1"/>
  <c r="F27" i="1"/>
  <c r="E27" i="1"/>
  <c r="B27" i="1"/>
  <c r="N26" i="1"/>
  <c r="O26" i="1" s="1"/>
  <c r="L26" i="1" s="1"/>
  <c r="G26" i="1" s="1"/>
  <c r="M26" i="1"/>
  <c r="F26" i="1"/>
  <c r="E26" i="1"/>
  <c r="B26" i="1"/>
  <c r="F19" i="1"/>
  <c r="R14" i="1"/>
  <c r="P14" i="1"/>
  <c r="K14" i="1"/>
  <c r="K15" i="9" s="1"/>
  <c r="F14" i="1"/>
  <c r="H15" i="9" s="1"/>
  <c r="C14" i="1"/>
  <c r="B14" i="1"/>
  <c r="A14" i="1"/>
  <c r="R13" i="1"/>
  <c r="P13" i="1"/>
  <c r="K13" i="1"/>
  <c r="K14" i="9" s="1"/>
  <c r="F13" i="1"/>
  <c r="H14" i="9" s="1"/>
  <c r="C13" i="1"/>
  <c r="B13" i="1"/>
  <c r="A13" i="1"/>
  <c r="R12" i="1"/>
  <c r="K12" i="1"/>
  <c r="K13" i="9" s="1"/>
  <c r="F12" i="1"/>
  <c r="H13" i="9" s="1"/>
  <c r="C12" i="1"/>
  <c r="B12" i="1"/>
  <c r="A12" i="1"/>
  <c r="R11" i="1"/>
  <c r="P11" i="1"/>
  <c r="K11" i="1"/>
  <c r="K12" i="9" s="1"/>
  <c r="F11" i="1"/>
  <c r="H12" i="9" s="1"/>
  <c r="C11" i="1"/>
  <c r="B11" i="1"/>
  <c r="A11" i="1"/>
  <c r="F5" i="1"/>
  <c r="E5" i="1"/>
  <c r="B3" i="1"/>
  <c r="B2" i="1"/>
  <c r="B1" i="1"/>
  <c r="J19" i="5" l="1"/>
  <c r="K19" i="5" s="1"/>
  <c r="I37" i="1"/>
  <c r="H37" i="1"/>
  <c r="H44" i="1"/>
  <c r="J26" i="5"/>
  <c r="K26" i="5" s="1"/>
  <c r="I44" i="1"/>
  <c r="J35" i="5"/>
  <c r="K35" i="5" s="1"/>
  <c r="I53" i="1"/>
  <c r="H53" i="1"/>
  <c r="H68" i="1"/>
  <c r="J50" i="5"/>
  <c r="K50" i="5" s="1"/>
  <c r="I68" i="1"/>
  <c r="I29" i="1"/>
  <c r="H29" i="1"/>
  <c r="J11" i="5"/>
  <c r="K11" i="5" s="1"/>
  <c r="J31" i="5"/>
  <c r="K31" i="5" s="1"/>
  <c r="I49" i="1"/>
  <c r="H49" i="1"/>
  <c r="J67" i="5"/>
  <c r="K67" i="5" s="1"/>
  <c r="H86" i="1"/>
  <c r="I86" i="1"/>
  <c r="H62" i="1"/>
  <c r="J44" i="5"/>
  <c r="K44" i="5" s="1"/>
  <c r="I62" i="1"/>
  <c r="J61" i="5"/>
  <c r="K61" i="5" s="1"/>
  <c r="H80" i="1"/>
  <c r="I80" i="1"/>
  <c r="J72" i="5"/>
  <c r="K72" i="5" s="1"/>
  <c r="I91" i="1"/>
  <c r="H91" i="1"/>
  <c r="J29" i="5"/>
  <c r="K29" i="5" s="1"/>
  <c r="I47" i="1"/>
  <c r="H47" i="1"/>
  <c r="J66" i="5"/>
  <c r="K66" i="5" s="1"/>
  <c r="I85" i="1"/>
  <c r="H85" i="1"/>
  <c r="J78" i="5"/>
  <c r="K78" i="5" s="1"/>
  <c r="I97" i="1"/>
  <c r="H97" i="1"/>
  <c r="J60" i="5"/>
  <c r="K60" i="5" s="1"/>
  <c r="I79" i="1"/>
  <c r="H79" i="1"/>
  <c r="J41" i="5"/>
  <c r="K41" i="5" s="1"/>
  <c r="I59" i="1"/>
  <c r="H59" i="1"/>
  <c r="H38" i="1"/>
  <c r="J20" i="5"/>
  <c r="K20" i="5" s="1"/>
  <c r="I38" i="1"/>
  <c r="H56" i="1"/>
  <c r="J38" i="5"/>
  <c r="K38" i="5" s="1"/>
  <c r="I56" i="1"/>
  <c r="J25" i="5"/>
  <c r="K25" i="5" s="1"/>
  <c r="I43" i="1"/>
  <c r="H43" i="1"/>
  <c r="I61" i="1"/>
  <c r="J43" i="5"/>
  <c r="K43" i="5" s="1"/>
  <c r="H61" i="1"/>
  <c r="H26" i="1"/>
  <c r="I26" i="1"/>
  <c r="J8" i="5"/>
  <c r="K8" i="5" s="1"/>
  <c r="H98" i="1"/>
  <c r="J79" i="5"/>
  <c r="K79" i="5" s="1"/>
  <c r="I98" i="1"/>
  <c r="J17" i="5"/>
  <c r="K17" i="5" s="1"/>
  <c r="I35" i="1"/>
  <c r="H35" i="1"/>
  <c r="H92" i="1"/>
  <c r="J73" i="5"/>
  <c r="K73" i="5" s="1"/>
  <c r="I92" i="1"/>
  <c r="A6" i="12"/>
  <c r="A6" i="11"/>
  <c r="A6" i="10"/>
  <c r="A6" i="13"/>
  <c r="A6" i="9"/>
  <c r="J23" i="5"/>
  <c r="K23" i="5" s="1"/>
  <c r="I41" i="1"/>
  <c r="H41" i="1"/>
  <c r="I33" i="1"/>
  <c r="H33" i="1"/>
  <c r="J15" i="5"/>
  <c r="K15" i="5" s="1"/>
  <c r="I66" i="1"/>
  <c r="L88" i="1"/>
  <c r="G88" i="1" s="1"/>
  <c r="H90" i="1"/>
  <c r="I39" i="1"/>
  <c r="H39" i="1"/>
  <c r="J21" i="5"/>
  <c r="K21" i="5" s="1"/>
  <c r="J64" i="5"/>
  <c r="K64" i="5" s="1"/>
  <c r="I83" i="1"/>
  <c r="H83" i="1"/>
  <c r="H53" i="4"/>
  <c r="G53" i="4"/>
  <c r="H30" i="1"/>
  <c r="I45" i="1"/>
  <c r="H45" i="1"/>
  <c r="J27" i="5"/>
  <c r="K27" i="5" s="1"/>
  <c r="J16" i="5"/>
  <c r="K16" i="5" s="1"/>
  <c r="I34" i="1"/>
  <c r="H34" i="1"/>
  <c r="I42" i="1"/>
  <c r="H48" i="1"/>
  <c r="I57" i="1"/>
  <c r="H57" i="1"/>
  <c r="J39" i="5"/>
  <c r="K39" i="5" s="1"/>
  <c r="J70" i="5"/>
  <c r="K70" i="5" s="1"/>
  <c r="I89" i="1"/>
  <c r="H89" i="1"/>
  <c r="F7" i="14"/>
  <c r="I65" i="1"/>
  <c r="H65" i="1"/>
  <c r="J47" i="5"/>
  <c r="K47" i="5" s="1"/>
  <c r="I81" i="1"/>
  <c r="J62" i="5"/>
  <c r="K62" i="5" s="1"/>
  <c r="H81" i="1"/>
  <c r="H16" i="9"/>
  <c r="K16" i="9"/>
  <c r="J22" i="5"/>
  <c r="K22" i="5" s="1"/>
  <c r="I40" i="1"/>
  <c r="H40" i="1"/>
  <c r="I48" i="1"/>
  <c r="H67" i="1"/>
  <c r="H78" i="1"/>
  <c r="J37" i="5"/>
  <c r="K37" i="5" s="1"/>
  <c r="I55" i="1"/>
  <c r="J75" i="5"/>
  <c r="K75" i="5" s="1"/>
  <c r="I94" i="1"/>
  <c r="H94" i="1"/>
  <c r="F12" i="8"/>
  <c r="H12" i="8" s="1"/>
  <c r="F9" i="8"/>
  <c r="H9" i="8" s="1"/>
  <c r="H13" i="8" s="1"/>
  <c r="H14" i="8" s="1"/>
  <c r="F11" i="8"/>
  <c r="H11" i="8" s="1"/>
  <c r="F10" i="8"/>
  <c r="H10" i="8" s="1"/>
  <c r="H50" i="1"/>
  <c r="J32" i="5"/>
  <c r="K32" i="5" s="1"/>
  <c r="I50" i="1"/>
  <c r="I63" i="1"/>
  <c r="H63" i="1"/>
  <c r="J45" i="5"/>
  <c r="K45" i="5" s="1"/>
  <c r="I7" i="14"/>
  <c r="J28" i="5"/>
  <c r="K28" i="5" s="1"/>
  <c r="I46" i="1"/>
  <c r="H46" i="1"/>
  <c r="J34" i="5"/>
  <c r="K34" i="5" s="1"/>
  <c r="I52" i="1"/>
  <c r="H52" i="1"/>
  <c r="I54" i="1"/>
  <c r="I82" i="1"/>
  <c r="H82" i="1"/>
  <c r="H84" i="1"/>
  <c r="I87" i="1"/>
  <c r="H87" i="1"/>
  <c r="I95" i="1"/>
  <c r="J76" i="5"/>
  <c r="K76" i="5" s="1"/>
  <c r="H95" i="1"/>
  <c r="J13" i="5"/>
  <c r="K13" i="5" s="1"/>
  <c r="J68" i="5"/>
  <c r="K68" i="5" s="1"/>
  <c r="G16" i="7"/>
  <c r="G18" i="7" s="1"/>
  <c r="R9" i="3" s="1"/>
  <c r="F27" i="12" s="1"/>
  <c r="G27" i="12" s="1"/>
  <c r="I51" i="1"/>
  <c r="H51" i="1"/>
  <c r="J33" i="5"/>
  <c r="K33" i="5" s="1"/>
  <c r="N22" i="15"/>
  <c r="N23" i="15" s="1"/>
  <c r="D61" i="3" s="1"/>
  <c r="N61" i="3" s="1"/>
  <c r="H31" i="1"/>
  <c r="L58" i="1"/>
  <c r="G58" i="1" s="1"/>
  <c r="I84" i="1"/>
  <c r="C18" i="4"/>
  <c r="H50" i="4"/>
  <c r="J49" i="5"/>
  <c r="K49" i="5" s="1"/>
  <c r="J10" i="5"/>
  <c r="K10" i="5" s="1"/>
  <c r="I28" i="1"/>
  <c r="H28" i="1"/>
  <c r="H52" i="4"/>
  <c r="E13" i="11"/>
  <c r="F13" i="11" s="1"/>
  <c r="G13" i="11" s="1"/>
  <c r="L8" i="3"/>
  <c r="M8" i="3" s="1"/>
  <c r="H27" i="8"/>
  <c r="H28" i="8" s="1"/>
  <c r="N9" i="3" s="1"/>
  <c r="F19" i="12" s="1"/>
  <c r="F23" i="11"/>
  <c r="J14" i="5"/>
  <c r="K14" i="5" s="1"/>
  <c r="H32" i="1"/>
  <c r="I32" i="1"/>
  <c r="I27" i="1"/>
  <c r="J9" i="5"/>
  <c r="K9" i="5" s="1"/>
  <c r="H27" i="1"/>
  <c r="J46" i="5"/>
  <c r="K46" i="5" s="1"/>
  <c r="I64" i="1"/>
  <c r="H64" i="1"/>
  <c r="J58" i="5"/>
  <c r="K58" i="5" s="1"/>
  <c r="I77" i="1"/>
  <c r="H77" i="1"/>
  <c r="J74" i="5"/>
  <c r="K74" i="5" s="1"/>
  <c r="I93" i="1"/>
  <c r="H93" i="1"/>
  <c r="J63" i="5"/>
  <c r="K63" i="5" s="1"/>
  <c r="Q16" i="9"/>
  <c r="J12" i="12"/>
  <c r="J14" i="12" s="1"/>
  <c r="G12" i="12"/>
  <c r="I13" i="14"/>
  <c r="H23" i="13"/>
  <c r="H30" i="13" s="1"/>
  <c r="G23" i="13"/>
  <c r="H31" i="13"/>
  <c r="G11" i="13"/>
  <c r="F14" i="13"/>
  <c r="F24" i="8"/>
  <c r="H24" i="8" s="1"/>
  <c r="F22" i="10"/>
  <c r="B11" i="11"/>
  <c r="A46" i="11"/>
  <c r="F22" i="12"/>
  <c r="J12" i="13"/>
  <c r="J14" i="13" s="1"/>
  <c r="G12" i="13"/>
  <c r="F13" i="12"/>
  <c r="G13" i="12" s="1"/>
  <c r="G14" i="11"/>
  <c r="F22" i="13"/>
  <c r="A46" i="10"/>
  <c r="A45" i="10"/>
  <c r="E20" i="14"/>
  <c r="U14" i="1"/>
  <c r="B11" i="10"/>
  <c r="A46" i="12"/>
  <c r="A45" i="12"/>
  <c r="U13" i="1"/>
  <c r="B11" i="12"/>
  <c r="F51" i="4"/>
  <c r="F23" i="12"/>
  <c r="H8" i="14"/>
  <c r="C23" i="12"/>
  <c r="C23" i="11"/>
  <c r="C23" i="10"/>
  <c r="F23" i="10" s="1"/>
  <c r="C23" i="13"/>
  <c r="H19" i="8"/>
  <c r="H20" i="8" s="1"/>
  <c r="G14" i="14"/>
  <c r="I22" i="11"/>
  <c r="I30" i="11" s="1"/>
  <c r="I31" i="11" s="1"/>
  <c r="G22" i="11"/>
  <c r="E9" i="14"/>
  <c r="H9" i="14" s="1"/>
  <c r="F33" i="8"/>
  <c r="H33" i="8" s="1"/>
  <c r="F32" i="8"/>
  <c r="H32" i="8" s="1"/>
  <c r="H35" i="8" s="1"/>
  <c r="H36" i="8" s="1"/>
  <c r="N10" i="3" s="1"/>
  <c r="F19" i="13" s="1"/>
  <c r="F34" i="8"/>
  <c r="H34" i="8" s="1"/>
  <c r="N16" i="9"/>
  <c r="J12" i="10"/>
  <c r="J14" i="10" s="1"/>
  <c r="G12" i="10"/>
  <c r="G14" i="10" s="1"/>
  <c r="G14" i="12"/>
  <c r="F14" i="10"/>
  <c r="F14" i="11"/>
  <c r="G12" i="11"/>
  <c r="A45" i="13"/>
  <c r="H23" i="10" l="1"/>
  <c r="H30" i="10" s="1"/>
  <c r="H31" i="10" s="1"/>
  <c r="G23" i="10"/>
  <c r="F13" i="14"/>
  <c r="I34" i="11"/>
  <c r="G19" i="13"/>
  <c r="F30" i="13"/>
  <c r="H23" i="11"/>
  <c r="H30" i="11" s="1"/>
  <c r="H31" i="11" s="1"/>
  <c r="G23" i="11"/>
  <c r="G13" i="14"/>
  <c r="G16" i="14" s="1"/>
  <c r="G30" i="14" s="1"/>
  <c r="H51" i="4"/>
  <c r="H54" i="4" s="1"/>
  <c r="G51" i="4"/>
  <c r="G54" i="4" s="1"/>
  <c r="F54" i="4"/>
  <c r="I16" i="14"/>
  <c r="I30" i="14" s="1"/>
  <c r="N7" i="3"/>
  <c r="F19" i="10" s="1"/>
  <c r="N8" i="3"/>
  <c r="F19" i="11" s="1"/>
  <c r="K51" i="5"/>
  <c r="K80" i="5"/>
  <c r="K82" i="5" s="1"/>
  <c r="P8" i="3" s="1"/>
  <c r="F26" i="11" s="1"/>
  <c r="I9" i="14"/>
  <c r="I8" i="14"/>
  <c r="I88" i="1"/>
  <c r="H88" i="1"/>
  <c r="H99" i="1" s="1"/>
  <c r="J69" i="5"/>
  <c r="K69" i="5" s="1"/>
  <c r="I22" i="12"/>
  <c r="I30" i="12" s="1"/>
  <c r="I31" i="12" s="1"/>
  <c r="G22" i="12"/>
  <c r="H14" i="14"/>
  <c r="J40" i="5"/>
  <c r="K40" i="5" s="1"/>
  <c r="I58" i="1"/>
  <c r="H58" i="1"/>
  <c r="H69" i="1" s="1"/>
  <c r="H35" i="13"/>
  <c r="H36" i="13" s="1"/>
  <c r="H34" i="13"/>
  <c r="G7" i="14"/>
  <c r="F14" i="12"/>
  <c r="E10" i="14"/>
  <c r="I22" i="13"/>
  <c r="I30" i="13" s="1"/>
  <c r="I31" i="13" s="1"/>
  <c r="G22" i="13"/>
  <c r="I14" i="14"/>
  <c r="F14" i="14"/>
  <c r="I22" i="10"/>
  <c r="I30" i="10" s="1"/>
  <c r="I31" i="10" s="1"/>
  <c r="G22" i="10"/>
  <c r="F9" i="14"/>
  <c r="F8" i="14"/>
  <c r="H23" i="12"/>
  <c r="H30" i="12" s="1"/>
  <c r="H31" i="12" s="1"/>
  <c r="G23" i="12"/>
  <c r="H13" i="14"/>
  <c r="H16" i="14" s="1"/>
  <c r="H30" i="14" s="1"/>
  <c r="F30" i="12"/>
  <c r="G19" i="12"/>
  <c r="G30" i="12" s="1"/>
  <c r="C51" i="4"/>
  <c r="C35" i="4"/>
  <c r="C37" i="4" s="1"/>
  <c r="C54" i="4" s="1"/>
  <c r="H49" i="4"/>
  <c r="C45" i="4"/>
  <c r="C46" i="4" s="1"/>
  <c r="C55" i="4" s="1"/>
  <c r="C24" i="4"/>
  <c r="C25" i="4" s="1"/>
  <c r="C52" i="4" s="1"/>
  <c r="C28" i="4"/>
  <c r="C29" i="4" s="1"/>
  <c r="C53" i="4" s="1"/>
  <c r="H10" i="14"/>
  <c r="H11" i="14" s="1"/>
  <c r="H29" i="14" s="1"/>
  <c r="H31" i="14" s="1"/>
  <c r="G14" i="13"/>
  <c r="M11" i="3"/>
  <c r="H100" i="1" l="1"/>
  <c r="H101" i="1" s="1"/>
  <c r="H71" i="1"/>
  <c r="H73" i="1" s="1"/>
  <c r="H72" i="1" s="1"/>
  <c r="H70" i="1"/>
  <c r="H18" i="14"/>
  <c r="H37" i="13"/>
  <c r="H38" i="13" s="1"/>
  <c r="H45" i="13" s="1"/>
  <c r="H46" i="13" s="1"/>
  <c r="I10" i="14"/>
  <c r="I11" i="14" s="1"/>
  <c r="I29" i="14" s="1"/>
  <c r="I31" i="14" s="1"/>
  <c r="G19" i="11"/>
  <c r="G30" i="11" s="1"/>
  <c r="G30" i="13"/>
  <c r="H34" i="11"/>
  <c r="H35" i="11" s="1"/>
  <c r="H36" i="11" s="1"/>
  <c r="I35" i="11"/>
  <c r="I36" i="11" s="1"/>
  <c r="I37" i="11" s="1"/>
  <c r="I38" i="11" s="1"/>
  <c r="I45" i="11" s="1"/>
  <c r="I46" i="11" s="1"/>
  <c r="C57" i="4"/>
  <c r="I34" i="12"/>
  <c r="I35" i="12"/>
  <c r="I36" i="12" s="1"/>
  <c r="F57" i="4"/>
  <c r="F59" i="4" s="1"/>
  <c r="F55" i="4"/>
  <c r="W17" i="9"/>
  <c r="K53" i="5"/>
  <c r="G57" i="4"/>
  <c r="G59" i="4" s="1"/>
  <c r="G55" i="4"/>
  <c r="F16" i="14"/>
  <c r="F30" i="14" s="1"/>
  <c r="I34" i="10"/>
  <c r="I35" i="10"/>
  <c r="I36" i="10" s="1"/>
  <c r="I35" i="13"/>
  <c r="I36" i="13" s="1"/>
  <c r="I34" i="13"/>
  <c r="H55" i="4"/>
  <c r="H57" i="4" s="1"/>
  <c r="H59" i="4" s="1"/>
  <c r="G19" i="10"/>
  <c r="G30" i="10" s="1"/>
  <c r="H34" i="12"/>
  <c r="H35" i="12"/>
  <c r="H36" i="12" s="1"/>
  <c r="G9" i="14"/>
  <c r="G8" i="14"/>
  <c r="G10" i="14" s="1"/>
  <c r="G11" i="14" s="1"/>
  <c r="G29" i="14" s="1"/>
  <c r="G31" i="14" s="1"/>
  <c r="F10" i="14"/>
  <c r="F11" i="14" s="1"/>
  <c r="F29" i="14" s="1"/>
  <c r="H34" i="10"/>
  <c r="H35" i="10"/>
  <c r="H36" i="10" s="1"/>
  <c r="S13" i="1" l="1"/>
  <c r="S11" i="1"/>
  <c r="S14" i="1"/>
  <c r="S12" i="1"/>
  <c r="I43" i="11"/>
  <c r="I41" i="11"/>
  <c r="G13" i="9"/>
  <c r="I13" i="9" s="1"/>
  <c r="I42" i="11"/>
  <c r="I40" i="11"/>
  <c r="I44" i="11" s="1"/>
  <c r="H20" i="14"/>
  <c r="F31" i="14"/>
  <c r="I37" i="13"/>
  <c r="I38" i="13" s="1"/>
  <c r="I45" i="13" s="1"/>
  <c r="I46" i="13" s="1"/>
  <c r="P15" i="9"/>
  <c r="R15" i="9" s="1"/>
  <c r="H42" i="13"/>
  <c r="H40" i="13"/>
  <c r="H43" i="13"/>
  <c r="H41" i="13"/>
  <c r="I37" i="12"/>
  <c r="I38" i="12" s="1"/>
  <c r="I45" i="12" s="1"/>
  <c r="I46" i="12" s="1"/>
  <c r="I37" i="10"/>
  <c r="I38" i="10" s="1"/>
  <c r="I45" i="10" s="1"/>
  <c r="I46" i="10" s="1"/>
  <c r="E15" i="12"/>
  <c r="E15" i="11"/>
  <c r="E15" i="10"/>
  <c r="E15" i="13"/>
  <c r="G20" i="3"/>
  <c r="G18" i="14"/>
  <c r="H37" i="12"/>
  <c r="H38" i="12" s="1"/>
  <c r="H45" i="12" s="1"/>
  <c r="H46" i="12" s="1"/>
  <c r="I18" i="14"/>
  <c r="H19" i="14"/>
  <c r="H25" i="14" s="1"/>
  <c r="H32" i="14" s="1"/>
  <c r="H33" i="14" s="1"/>
  <c r="O7" i="3"/>
  <c r="F25" i="10" s="1"/>
  <c r="F30" i="10" s="1"/>
  <c r="O8" i="3"/>
  <c r="F25" i="11" s="1"/>
  <c r="F30" i="11" s="1"/>
  <c r="H37" i="11"/>
  <c r="H38" i="11" s="1"/>
  <c r="H45" i="11" s="1"/>
  <c r="H46" i="11" s="1"/>
  <c r="H103" i="1"/>
  <c r="H102" i="1" s="1"/>
  <c r="H37" i="10"/>
  <c r="H38" i="10" s="1"/>
  <c r="H45" i="10" s="1"/>
  <c r="H46" i="10" s="1"/>
  <c r="M14" i="9" l="1"/>
  <c r="O14" i="9" s="1"/>
  <c r="H22" i="14"/>
  <c r="H21" i="14"/>
  <c r="H24" i="14"/>
  <c r="H23" i="14"/>
  <c r="H43" i="11"/>
  <c r="H41" i="11"/>
  <c r="H42" i="11"/>
  <c r="H40" i="11"/>
  <c r="H44" i="11" s="1"/>
  <c r="P13" i="9"/>
  <c r="R13" i="9" s="1"/>
  <c r="G15" i="9"/>
  <c r="I15" i="9" s="1"/>
  <c r="I42" i="13"/>
  <c r="I40" i="13"/>
  <c r="I44" i="13" s="1"/>
  <c r="I43" i="13"/>
  <c r="I41" i="13"/>
  <c r="F15" i="12"/>
  <c r="J15" i="12"/>
  <c r="J16" i="12" s="1"/>
  <c r="J31" i="12" s="1"/>
  <c r="F18" i="14"/>
  <c r="F15" i="10"/>
  <c r="J15" i="10"/>
  <c r="J16" i="10" s="1"/>
  <c r="J31" i="10" s="1"/>
  <c r="G12" i="9"/>
  <c r="I12" i="9" s="1"/>
  <c r="I43" i="10"/>
  <c r="I41" i="10"/>
  <c r="I42" i="10"/>
  <c r="I40" i="10"/>
  <c r="J15" i="13"/>
  <c r="J16" i="13" s="1"/>
  <c r="J31" i="13" s="1"/>
  <c r="F15" i="13"/>
  <c r="I43" i="12"/>
  <c r="I41" i="12"/>
  <c r="G14" i="9"/>
  <c r="I14" i="9" s="1"/>
  <c r="I42" i="12"/>
  <c r="I40" i="12"/>
  <c r="I44" i="12" s="1"/>
  <c r="G19" i="14"/>
  <c r="G20" i="14" s="1"/>
  <c r="F15" i="11"/>
  <c r="J15" i="11"/>
  <c r="J16" i="11" s="1"/>
  <c r="J31" i="11" s="1"/>
  <c r="I19" i="14"/>
  <c r="H43" i="12"/>
  <c r="H41" i="12"/>
  <c r="H40" i="12"/>
  <c r="H44" i="12" s="1"/>
  <c r="H42" i="12"/>
  <c r="P14" i="9"/>
  <c r="R14" i="9" s="1"/>
  <c r="H44" i="13"/>
  <c r="H43" i="10"/>
  <c r="H41" i="10"/>
  <c r="P12" i="9"/>
  <c r="R12" i="9" s="1"/>
  <c r="H42" i="10"/>
  <c r="H40" i="10"/>
  <c r="S15" i="1"/>
  <c r="I25" i="14" l="1"/>
  <c r="I32" i="14" s="1"/>
  <c r="I33" i="14" s="1"/>
  <c r="G25" i="14"/>
  <c r="G32" i="14" s="1"/>
  <c r="G33" i="14" s="1"/>
  <c r="J34" i="10"/>
  <c r="G15" i="10"/>
  <c r="G16" i="10" s="1"/>
  <c r="G31" i="10" s="1"/>
  <c r="F16" i="10"/>
  <c r="F31" i="10" s="1"/>
  <c r="I20" i="14"/>
  <c r="G15" i="13"/>
  <c r="G16" i="13" s="1"/>
  <c r="G31" i="13" s="1"/>
  <c r="F16" i="13"/>
  <c r="F31" i="13" s="1"/>
  <c r="J34" i="13"/>
  <c r="J34" i="12"/>
  <c r="J35" i="12"/>
  <c r="J36" i="12" s="1"/>
  <c r="F19" i="14"/>
  <c r="F20" i="14" s="1"/>
  <c r="H44" i="10"/>
  <c r="G15" i="12"/>
  <c r="G16" i="12" s="1"/>
  <c r="G31" i="12" s="1"/>
  <c r="F16" i="12"/>
  <c r="F31" i="12" s="1"/>
  <c r="I16" i="9"/>
  <c r="H15" i="1" s="1"/>
  <c r="R16" i="9"/>
  <c r="M15" i="1" s="1"/>
  <c r="J35" i="11"/>
  <c r="J36" i="11" s="1"/>
  <c r="J34" i="11"/>
  <c r="I44" i="10"/>
  <c r="G15" i="11"/>
  <c r="G16" i="11" s="1"/>
  <c r="G31" i="11" s="1"/>
  <c r="F16" i="11"/>
  <c r="F31" i="11" s="1"/>
  <c r="F34" i="12" l="1"/>
  <c r="F34" i="10"/>
  <c r="F35" i="10"/>
  <c r="F36" i="10" s="1"/>
  <c r="F34" i="13"/>
  <c r="G34" i="12"/>
  <c r="G35" i="12" s="1"/>
  <c r="G36" i="12" s="1"/>
  <c r="G34" i="11"/>
  <c r="F25" i="14"/>
  <c r="F32" i="14" s="1"/>
  <c r="F33" i="14" s="1"/>
  <c r="G34" i="10"/>
  <c r="G35" i="10"/>
  <c r="G36" i="10" s="1"/>
  <c r="G34" i="13"/>
  <c r="J37" i="10"/>
  <c r="J38" i="10" s="1"/>
  <c r="J45" i="10" s="1"/>
  <c r="J46" i="10" s="1"/>
  <c r="F34" i="11"/>
  <c r="J37" i="11"/>
  <c r="J38" i="11" s="1"/>
  <c r="J45" i="11" s="1"/>
  <c r="J46" i="11" s="1"/>
  <c r="J35" i="10"/>
  <c r="J36" i="10" s="1"/>
  <c r="I22" i="14"/>
  <c r="M15" i="9"/>
  <c r="O15" i="9" s="1"/>
  <c r="I21" i="14"/>
  <c r="I23" i="14"/>
  <c r="I24" i="14"/>
  <c r="J37" i="12"/>
  <c r="J38" i="12" s="1"/>
  <c r="J45" i="12" s="1"/>
  <c r="J46" i="12" s="1"/>
  <c r="J37" i="13"/>
  <c r="J38" i="13" s="1"/>
  <c r="J45" i="13" s="1"/>
  <c r="J46" i="13" s="1"/>
  <c r="M13" i="9"/>
  <c r="O13" i="9" s="1"/>
  <c r="G23" i="14"/>
  <c r="G22" i="14"/>
  <c r="G24" i="14"/>
  <c r="G21" i="14"/>
  <c r="J35" i="13"/>
  <c r="J36" i="13" s="1"/>
  <c r="J43" i="10" l="1"/>
  <c r="J41" i="10"/>
  <c r="J47" i="10"/>
  <c r="T13" i="9" s="1"/>
  <c r="J42" i="10"/>
  <c r="J40" i="10"/>
  <c r="J44" i="10" s="1"/>
  <c r="J43" i="12"/>
  <c r="J41" i="12"/>
  <c r="J42" i="12"/>
  <c r="J40" i="12"/>
  <c r="G37" i="12"/>
  <c r="G38" i="12" s="1"/>
  <c r="G45" i="12" s="1"/>
  <c r="G46" i="12" s="1"/>
  <c r="J42" i="13"/>
  <c r="J40" i="13"/>
  <c r="J43" i="13"/>
  <c r="J41" i="13"/>
  <c r="G35" i="13"/>
  <c r="G36" i="13" s="1"/>
  <c r="G37" i="13" s="1"/>
  <c r="G38" i="13" s="1"/>
  <c r="G45" i="13" s="1"/>
  <c r="G46" i="13" s="1"/>
  <c r="G37" i="10"/>
  <c r="G38" i="10" s="1"/>
  <c r="G45" i="10" s="1"/>
  <c r="G46" i="10" s="1"/>
  <c r="M12" i="9"/>
  <c r="F22" i="14"/>
  <c r="F24" i="14"/>
  <c r="F23" i="14"/>
  <c r="F21" i="14"/>
  <c r="F37" i="10"/>
  <c r="F38" i="10" s="1"/>
  <c r="F45" i="10" s="1"/>
  <c r="F46" i="10" s="1"/>
  <c r="J43" i="11"/>
  <c r="J41" i="11"/>
  <c r="J42" i="11"/>
  <c r="J40" i="11"/>
  <c r="G35" i="11"/>
  <c r="G36" i="11" s="1"/>
  <c r="G37" i="11" s="1"/>
  <c r="G38" i="11" s="1"/>
  <c r="G45" i="11" s="1"/>
  <c r="G46" i="11" s="1"/>
  <c r="F35" i="12"/>
  <c r="F36" i="12" s="1"/>
  <c r="F37" i="12" s="1"/>
  <c r="F38" i="12" s="1"/>
  <c r="F45" i="12" s="1"/>
  <c r="F46" i="12" s="1"/>
  <c r="F35" i="13"/>
  <c r="F36" i="13" s="1"/>
  <c r="F37" i="13" s="1"/>
  <c r="F38" i="13" s="1"/>
  <c r="F45" i="13" s="1"/>
  <c r="F46" i="13" s="1"/>
  <c r="F35" i="11"/>
  <c r="F36" i="11" s="1"/>
  <c r="F37" i="11" s="1"/>
  <c r="F38" i="11" s="1"/>
  <c r="F45" i="11" s="1"/>
  <c r="F46" i="11" s="1"/>
  <c r="F43" i="13" l="1"/>
  <c r="F41" i="13"/>
  <c r="F47" i="13"/>
  <c r="E15" i="9"/>
  <c r="F15" i="9" s="1"/>
  <c r="F42" i="13"/>
  <c r="F40" i="13"/>
  <c r="F44" i="13" s="1"/>
  <c r="G43" i="11"/>
  <c r="G41" i="11"/>
  <c r="J13" i="9"/>
  <c r="L13" i="9" s="1"/>
  <c r="S13" i="9" s="1"/>
  <c r="O12" i="1" s="1"/>
  <c r="G47" i="11"/>
  <c r="G42" i="11"/>
  <c r="G40" i="11"/>
  <c r="G44" i="11" s="1"/>
  <c r="F42" i="12"/>
  <c r="F40" i="12"/>
  <c r="F43" i="12"/>
  <c r="F41" i="12"/>
  <c r="F47" i="12"/>
  <c r="E14" i="9"/>
  <c r="F14" i="9" s="1"/>
  <c r="F43" i="11"/>
  <c r="F41" i="11"/>
  <c r="F47" i="11"/>
  <c r="E13" i="9"/>
  <c r="F13" i="9" s="1"/>
  <c r="W13" i="9" s="1"/>
  <c r="Q12" i="1" s="1"/>
  <c r="F42" i="11"/>
  <c r="F40" i="11"/>
  <c r="F44" i="11" s="1"/>
  <c r="G47" i="13"/>
  <c r="G42" i="13"/>
  <c r="G40" i="13"/>
  <c r="J15" i="9"/>
  <c r="L15" i="9" s="1"/>
  <c r="S15" i="9" s="1"/>
  <c r="O14" i="1" s="1"/>
  <c r="G43" i="13"/>
  <c r="G41" i="13"/>
  <c r="J44" i="12"/>
  <c r="M16" i="9"/>
  <c r="O12" i="9"/>
  <c r="O16" i="9" s="1"/>
  <c r="L15" i="1" s="1"/>
  <c r="G43" i="10"/>
  <c r="G41" i="10"/>
  <c r="G47" i="10"/>
  <c r="J12" i="9"/>
  <c r="G42" i="10"/>
  <c r="G40" i="10"/>
  <c r="V13" i="9"/>
  <c r="A20" i="9"/>
  <c r="E12" i="9"/>
  <c r="F12" i="9" s="1"/>
  <c r="F43" i="10"/>
  <c r="F41" i="10"/>
  <c r="F47" i="10"/>
  <c r="F40" i="10"/>
  <c r="F42" i="10"/>
  <c r="J44" i="13"/>
  <c r="J44" i="11"/>
  <c r="G43" i="12"/>
  <c r="G41" i="12"/>
  <c r="J14" i="9"/>
  <c r="L14" i="9" s="1"/>
  <c r="S14" i="9" s="1"/>
  <c r="O13" i="1" s="1"/>
  <c r="G47" i="12"/>
  <c r="G40" i="12"/>
  <c r="G42" i="12"/>
  <c r="G44" i="12" l="1"/>
  <c r="F16" i="9"/>
  <c r="W14" i="9"/>
  <c r="Q13" i="1" s="1"/>
  <c r="F44" i="10"/>
  <c r="W15" i="9"/>
  <c r="Q14" i="1" s="1"/>
  <c r="U11" i="1" s="1"/>
  <c r="V16" i="9"/>
  <c r="P12" i="1"/>
  <c r="G44" i="10"/>
  <c r="G44" i="13"/>
  <c r="F44" i="12"/>
  <c r="J16" i="9"/>
  <c r="L12" i="9"/>
  <c r="P15" i="1" l="1"/>
  <c r="N15" i="1"/>
  <c r="L16" i="9"/>
  <c r="K15" i="1" s="1"/>
  <c r="O15" i="1" s="1"/>
  <c r="S12" i="9"/>
  <c r="O11" i="1" l="1"/>
  <c r="S16" i="9"/>
  <c r="W12" i="9"/>
  <c r="W16" i="9" l="1"/>
  <c r="W18" i="9" s="1"/>
  <c r="Q11" i="1"/>
  <c r="Q15" i="1" l="1"/>
  <c r="U12" i="1"/>
  <c r="U15" i="1" s="1"/>
</calcChain>
</file>

<file path=xl/sharedStrings.xml><?xml version="1.0" encoding="utf-8"?>
<sst xmlns="http://schemas.openxmlformats.org/spreadsheetml/2006/main" count="1307" uniqueCount="700">
  <si>
    <t xml:space="preserve">OCORRÊNCIAS MENSAIS DO FATURAMENTO </t>
  </si>
  <si>
    <t>UTILIZAÇÃO DO GESTOR CONTRATUAL PARA REALIZAÇÃO DO FATURAMENTO MENSAL</t>
  </si>
  <si>
    <t>DEFINIR BASE DE DESCONTOS/GLOSAS:</t>
  </si>
  <si>
    <t>MÊS CONTÁBIL</t>
  </si>
  <si>
    <r>
      <rPr>
        <b/>
        <sz val="10"/>
        <rFont val="Calibri"/>
        <family val="2"/>
        <charset val="1"/>
      </rPr>
      <t xml:space="preserve">INSTRUÇÕES DE PREENCHIMENTO
UTILIZAÇÃO EXCLUSIVA FISCAL/GESTOR
PARA AUXILIAR NO VALOR DE FATURAMENTO
Preencher as células destacadas na cor </t>
    </r>
    <r>
      <rPr>
        <b/>
        <sz val="10"/>
        <color rgb="FFFF0000"/>
        <rFont val="Calibri"/>
        <family val="2"/>
        <charset val="1"/>
      </rPr>
      <t>vermelha</t>
    </r>
    <r>
      <rPr>
        <b/>
        <sz val="10"/>
        <rFont val="Calibri"/>
        <family val="2"/>
        <charset val="1"/>
      </rPr>
      <t xml:space="preserve"> para realização dos cálculos das demais abas.
Não é necessário preenchimento de outras abas.</t>
    </r>
  </si>
  <si>
    <t>Informar número de Postos que não utilizam V.T.
(Coluna "D")</t>
  </si>
  <si>
    <t>Informar se titular do posto é optante pelo recebimento de V.T.
(Coluna "E")</t>
  </si>
  <si>
    <t>Desconto automático de V.T.
(Coluna "F")</t>
  </si>
  <si>
    <t>Preencher o número de dias (corridos) que o terceirizado que não recebe vt ficou afastado por férias ou faltas
(Coluna "G")</t>
  </si>
  <si>
    <t>Preencher nº de dias úteis em que o optante de V.T realizou trabalho em Home Office OU dias de Recesso Forense / Ponto facultativo
(Coluna "H")</t>
  </si>
  <si>
    <t>Conversão das horas de ausência em dias de ausência
(Coluna "I")</t>
  </si>
  <si>
    <t>Dias de ausência
(Coluna "J")</t>
  </si>
  <si>
    <t>Nº dias de faltas comuns sem substituição.
(Coluna "K")</t>
  </si>
  <si>
    <t>Informar número de dias por férias no mês (dias)
(Coluna "L")</t>
  </si>
  <si>
    <t>Desconto de V.A. por dias de recesso forense e/ou ponto facultativo.
(Coluna "M")</t>
  </si>
  <si>
    <t>Nº de dias corridos de férias sem substituição quando o adicional de insalubridade é passado para outra servente do quadro.
(Coluna "N")</t>
  </si>
  <si>
    <t>Somatório de glosas.
(Coluna "O")</t>
  </si>
  <si>
    <t>Somatório de acrésimo por substituição do posto insalubre por outro profissional do quadro.
(Coluna "P")</t>
  </si>
  <si>
    <t>Informativo sobre valor faturado por tipo de função.
(Coluna "Q")</t>
  </si>
  <si>
    <t>Informar código de elemento de despesa
(Coluna "S")</t>
  </si>
  <si>
    <t>INFORMATIVO PARA GESTÃO CONTRATUAL</t>
  </si>
  <si>
    <t>Quant</t>
  </si>
  <si>
    <t>Descrição das Categorias</t>
  </si>
  <si>
    <t>Carga Horária (horas)</t>
  </si>
  <si>
    <t>Nº Postos não optantes pelo recebimento de V.T.</t>
  </si>
  <si>
    <t>Realizar glosa por não fornecimento de V.T.?</t>
  </si>
  <si>
    <t>Dias de
Glosa V.T.
Para Não Optantes</t>
  </si>
  <si>
    <t>Ajuste de V.T para fornecimento para
postos Não Optantes</t>
  </si>
  <si>
    <t>Dias de Home Office OU Recesso para os postos Optantes de V.T.</t>
  </si>
  <si>
    <t>Dias de faltas após conversão das horas
(planilha auxiliar)</t>
  </si>
  <si>
    <t>Quant. Atrasos e Faltas</t>
  </si>
  <si>
    <t>Dias de Férias</t>
  </si>
  <si>
    <t>Dias de Glosas de V.A no Mês</t>
  </si>
  <si>
    <t>*1 Dias de Deslocamento de Insalubridade</t>
  </si>
  <si>
    <t>VALOR TOTAL GLOSADO</t>
  </si>
  <si>
    <t>VALOR TOTAL ACRESCIDO</t>
  </si>
  <si>
    <t>Valor Mensal 
Faturado com aplicação de descontos</t>
  </si>
  <si>
    <t xml:space="preserve">Elemento de Despesa </t>
  </si>
  <si>
    <t>VALOR DE RETENÇÃO CONTA VINCULADA</t>
  </si>
  <si>
    <t>CÓDIGOS ELEMENTO DE DESPESA</t>
  </si>
  <si>
    <t>FATURAMENTO MENSAL</t>
  </si>
  <si>
    <t>SIM</t>
  </si>
  <si>
    <t>ELEMENTO 2</t>
  </si>
  <si>
    <t>ELEMENTO 1</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</si>
  <si>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</si>
  <si>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</si>
  <si>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</si>
  <si>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</si>
  <si>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</si>
  <si>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</si>
  <si>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</si>
  <si>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</si>
  <si>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Obs: Informar a jornada de trabalho do posto analisado. Em sequência, informar as horas completas faltantes e posteriormente os minutos. Ex: 10:25h faltantes - Lançar 10 na célula "D22" e lançar 25 na célula "E22".
Lançar o resultado convertido na coluna "H".</t>
  </si>
  <si>
    <t>2. Na célula “N15” deverá ser informado a quantidade de dias em que o trabalho insalubre foi realizado por outra servente do quadro, durante as férias da Servente de Limpeza 40% insalubre - titular.</t>
  </si>
  <si>
    <t>ITEM</t>
  </si>
  <si>
    <t>DESCRIÇÃO DO MATERIAL DE IMPEZA
SERVENTES DE LIMPEZA</t>
  </si>
  <si>
    <t>GASTO MENSAL</t>
  </si>
  <si>
    <r>
      <rPr>
        <b/>
        <u/>
        <sz val="10"/>
        <rFont val="Calibri"/>
        <family val="2"/>
        <charset val="1"/>
      </rPr>
      <t xml:space="preserve">ANÁLISE CRÍTICA </t>
    </r>
    <r>
      <rPr>
        <b/>
        <sz val="10"/>
        <rFont val="Calibri"/>
        <family val="2"/>
        <charset val="1"/>
      </rPr>
      <t>SOBRE O FORNECIMENTO DOS MATERIAIS
ESTIMATIVA MENSAL x FORNECIMENTO EFETIVO
(INFORMAÇÃO COMO PARÂMETRO DE INDICATIVO)</t>
    </r>
  </si>
  <si>
    <t>REFERÊNCIA MENSAL PARA FORNECIMENTO</t>
  </si>
  <si>
    <t>Material</t>
  </si>
  <si>
    <t>Unid.</t>
  </si>
  <si>
    <t>Marcas de Referência</t>
  </si>
  <si>
    <t>QNTDE "REAL" FORNECIDA
NO MÊS</t>
  </si>
  <si>
    <t>Custo Mensal</t>
  </si>
  <si>
    <t>Quantidade Mensal</t>
  </si>
  <si>
    <t>Quantidade Total</t>
  </si>
  <si>
    <t>Periodicidade</t>
  </si>
  <si>
    <t>Divisor</t>
  </si>
  <si>
    <t>DESPESA MENSAL</t>
  </si>
  <si>
    <t>TAXA ADMINISTRATIVA</t>
  </si>
  <si>
    <t>LUCRO</t>
  </si>
  <si>
    <t>TRIBUTOS</t>
  </si>
  <si>
    <t>VALOR TOTAL COM MATERIAIS DE LIMPEZA</t>
  </si>
  <si>
    <t>MATERIAIS DE LIMPEZA COPA
COPEIRA</t>
  </si>
  <si>
    <t>VALOR TOTAL COM MATERIAIS DE COPA</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</si>
  <si>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</si>
  <si>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</si>
  <si>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</si>
  <si>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</si>
  <si>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</si>
  <si>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</si>
  <si>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</si>
  <si>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JORNADA DE TRABALHO</t>
  </si>
  <si>
    <t>DIVISOR DE HORAS</t>
  </si>
  <si>
    <t>LISTA PARA TOTAL DE POSTOS</t>
  </si>
  <si>
    <t>Tribunal Regional Federal da 6ª Região</t>
  </si>
  <si>
    <t>Seção Judiciária de Minas Gerais</t>
  </si>
  <si>
    <t>Subseção Judiciária de Poços de Caldas</t>
  </si>
  <si>
    <t>INSTRUÇÕES DE PREENCHIMENTO - ANEXO X - PLANILHAS DE COMPOSIÇÃO DE CUSTOS</t>
  </si>
  <si>
    <t>1.</t>
  </si>
  <si>
    <t>SOMENTE SERÃO ACEITAS MODIFICAÇÕES NAS CÉLULAS DESTACADAS NA COR AMARELA COMO NO EXEMPLO ABAIXO:</t>
  </si>
  <si>
    <t>Células de livre edição.</t>
  </si>
  <si>
    <t>2.</t>
  </si>
  <si>
    <r>
      <rPr>
        <sz val="10"/>
        <rFont val="Calibri"/>
        <family val="2"/>
        <charset val="1"/>
      </rPr>
      <t xml:space="preserve">As demais células estarão </t>
    </r>
    <r>
      <rPr>
        <b/>
        <sz val="10"/>
        <rFont val="Calibri"/>
        <family val="2"/>
        <charset val="1"/>
      </rPr>
      <t>bloqueadas</t>
    </r>
    <r>
      <rPr>
        <sz val="10"/>
        <rFont val="Calibri"/>
        <family val="2"/>
        <charset val="1"/>
      </rPr>
      <t xml:space="preserve"> para edição das licitantes.</t>
    </r>
  </si>
  <si>
    <t>3.</t>
  </si>
  <si>
    <t>As Abas necessárias para o preenchimento estão organizadas em uma sequência lógica, sendo Dados; Encargos; Materiais (limpeza, copa e limpeza de veículos); EPI; Equipamentos; Uniforme.</t>
  </si>
  <si>
    <t>Os nomes das abas estarão abreviados para otimização da planilha.</t>
  </si>
  <si>
    <r>
      <rPr>
        <b/>
        <sz val="10"/>
        <rFont val="Calibri"/>
        <family val="2"/>
        <charset val="1"/>
      </rPr>
      <t xml:space="preserve">Sugere-se o preenchimento das seguintes abas em sequência: </t>
    </r>
    <r>
      <rPr>
        <sz val="10"/>
        <rFont val="Calibri"/>
        <family val="2"/>
        <charset val="1"/>
      </rPr>
      <t>Dados, Encargos, Materiais, EPI, Equipamentos e Uniforme, para a realização de cálculos completa da planilha de composição de custos.</t>
    </r>
  </si>
  <si>
    <t>3.1</t>
  </si>
  <si>
    <t>Estas Abas estarão destacadas na Cor Amarela.</t>
  </si>
  <si>
    <t>3.2</t>
  </si>
  <si>
    <t>PREENCHIMENTO ABA "DADOS"</t>
  </si>
  <si>
    <t xml:space="preserve"> - Informar piso salarial de cada categoria, correspondente à jornada de 220h. (Células "E7":"E10").</t>
  </si>
  <si>
    <t xml:space="preserve"> - Informar o percentual de acúmulo de função a ser aplicado. (Célula "I8").</t>
  </si>
  <si>
    <t xml:space="preserve"> - Informar o salário base para cálculo da atividade acumulada. (Célula "K8").</t>
  </si>
  <si>
    <t xml:space="preserve"> - Informar os Dados da Apresentação da Proposta e relacionados à Convenção Coletiva de Trabalho. Tais informações não interferem na execução de cálculos, servem apenas para instruir o processo da análise da proposta. (Células "E13:E17").</t>
  </si>
  <si>
    <t xml:space="preserve"> - Informar o percentual correspondente ao RAT, conforme atividade principal da licitante. (Célula "G23").</t>
  </si>
  <si>
    <t xml:space="preserve"> - Informar o fator correspondente ao FAP, conforme extraído do relatório FapWeb. (Célula "G24").</t>
  </si>
  <si>
    <t xml:space="preserve"> - Informar o valor do salário mínimo nacional vigente (base de cálculo para a cotação de insalubridade). (Célula "G27").</t>
  </si>
  <si>
    <t xml:space="preserve"> - Informar o valor unitário do Seguro de Vida, nos casos exigidos, conforme legislação vigente. (Célula "G30").</t>
  </si>
  <si>
    <t xml:space="preserve"> - Informar o valor unitário do Programa de Assistência Familiar - PAF, nos casos exigidos, conforme legislação vigente. (Célula "G31").</t>
  </si>
  <si>
    <t xml:space="preserve"> - Informar o valor unitário da tarifa de transporte público vigente à data de apresentação da proposta, conforme legislação vigente. (Célula "G32").</t>
  </si>
  <si>
    <t xml:space="preserve"> - Informar o quantitativo unitário diário de tarifas de transporte público (ex.: 1 tarifa para ida e 1 tarifa para volta = Total de 2 tarifas). (Célula "G33").</t>
  </si>
  <si>
    <t xml:space="preserve"> - Informar o percentual de desconto à título de participação do trabalhador em relação ao fornecimento de vale transporte, nos casos exigidos, conforme legislação vigente. (Célula "G34").</t>
  </si>
  <si>
    <t xml:space="preserve"> - Informar o valor unitário do ticket de Vale Alimentação, nos casos exigidos, conforme legislação vigente. (Célula "G36").</t>
  </si>
  <si>
    <t xml:space="preserve"> - Informar o percentual de desconto à título de participação do trabalhador em relação ao fornecimento de Vale Alimentação, nos casos exigidos, conforme legislação vigente. (Célula "G38").</t>
  </si>
  <si>
    <t xml:space="preserve"> - Incluir outros custos não previstos previamente, bem como descrevê-los, em caso de previsão legal, devendo ser apresentadas justificativas para a inserção. (Células "B39" e "G40").</t>
  </si>
  <si>
    <t xml:space="preserve"> - Informar o percentual relativo às Despesas Administrativas da licitante. (Células "G43").</t>
  </si>
  <si>
    <t xml:space="preserve"> - Informar o percentual relativo ao Lucro da licitante. (Células "G44").</t>
  </si>
  <si>
    <t xml:space="preserve"> - Informar a opção tributária da licitante (Células "F50") conforme legislação vigente, OBSERVANDO as instruções contantes na Célula "B47".</t>
  </si>
  <si>
    <t xml:space="preserve"> - Informar o percentual da alíquota COFINS (Células "G51") conforme legislação vigente, OBSERVANDO as instruções contantes na Célula "B47".</t>
  </si>
  <si>
    <t xml:space="preserve"> - Informar o percentual da alíquota PIS/PASEP (Células "G52") conforme legislação vigente, OBSERVANDO as instruções contantes na Célula "B47".</t>
  </si>
  <si>
    <t xml:space="preserve"> - Informar o percentual da alíquota ISSQN (Células "G53") conforme legislação vigente, OBSERVANDO as instruções contantes na Célula "B47".</t>
  </si>
  <si>
    <t xml:space="preserve"> - Incluir outros impostos não inseridos previamente, bem como descrevê-los, em caso de previsão legal, devendo ser apresentadas justificativas para a inserção. (Células "B54" e "G54").</t>
  </si>
  <si>
    <t xml:space="preserve"> - Alterar SOMENTE aqueles destacados na COR AMARELA.</t>
  </si>
  <si>
    <t>3.3</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</si>
  <si>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</si>
  <si>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</si>
  <si>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</si>
  <si>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3.4</t>
  </si>
  <si>
    <t>PREENCHIMENTO ABA "INSUMOS"</t>
  </si>
  <si>
    <t xml:space="preserve"> - Informar os valores unitários de cada item nas células destacadas em amarelo dispostas na "Coluna G", de acordo com sua descrição "Colunas B:E".</t>
  </si>
  <si>
    <t xml:space="preserve"> - Atentar-se para o preenchimento de todos os quadros dispostos nesta Aba, sendo:</t>
  </si>
  <si>
    <t xml:space="preserve"> - Materiais de Limpeza (Células "G9:G51)</t>
  </si>
  <si>
    <t xml:space="preserve"> - Materiais de Copa (Células "G59:G80)</t>
  </si>
  <si>
    <t xml:space="preserve"> - O preenchimento das células da Coluna "H" está permitida somente para inserção de Observações, caso necessário.</t>
  </si>
  <si>
    <t>3.5</t>
  </si>
  <si>
    <t>PREENCHIMENTO ABA "EPI"</t>
  </si>
  <si>
    <t xml:space="preserve"> - Informar os valores unitários de cada item nas células destacadas em amarelo dispostas na "Coluna D", de acordo com sua descrição "Colunas B:C".</t>
  </si>
  <si>
    <t>3.6</t>
  </si>
  <si>
    <t>PREENCHIMENTO ABA "EQUIPAMENTOS"</t>
  </si>
  <si>
    <t>3.7</t>
  </si>
  <si>
    <t>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</si>
  <si>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</si>
  <si>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nas "Especificações" que visam melhor entendimento dos itens de uniforme solicitados.</t>
  </si>
  <si>
    <t>4.</t>
  </si>
  <si>
    <r>
      <rPr>
        <sz val="10"/>
        <rFont val="Calibri"/>
        <family val="2"/>
        <charset val="1"/>
      </rPr>
      <t xml:space="preserve">Destaca-se que após o preenchimento destas Abas (de acordo com as instruções contidas no item 3), os preços individuais das </t>
    </r>
    <r>
      <rPr>
        <b/>
        <sz val="10"/>
        <rFont val="Calibri"/>
        <family val="2"/>
        <charset val="1"/>
      </rPr>
      <t>categorias</t>
    </r>
    <r>
      <rPr>
        <sz val="10"/>
        <rFont val="Calibri"/>
        <family val="2"/>
        <charset val="1"/>
      </rPr>
      <t xml:space="preserve"> profissionais serão refletidos automaticamente para as suas abas correspondentes (Serv Ins, Serv, Copeira, Zel ac. e Aux).</t>
    </r>
  </si>
  <si>
    <t>4.1</t>
  </si>
  <si>
    <r>
      <rPr>
        <b/>
        <sz val="10"/>
        <rFont val="Calibri"/>
        <family val="2"/>
        <charset val="1"/>
      </rPr>
      <t>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</si>
  <si>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4.2</t>
  </si>
  <si>
    <t>Estas abas estão destacadas na Cor Cinza.</t>
  </si>
  <si>
    <t>5.</t>
  </si>
  <si>
    <r>
      <rPr>
        <sz val="10"/>
        <rFont val="Calibri"/>
        <family val="2"/>
        <charset val="1"/>
      </rPr>
      <t>A Aba "</t>
    </r>
    <r>
      <rPr>
        <b/>
        <sz val="10"/>
        <rFont val="Calibri"/>
        <family val="2"/>
        <charset val="1"/>
      </rPr>
      <t>Resumo</t>
    </r>
    <r>
      <rPr>
        <sz val="10"/>
        <rFont val="Calibri"/>
        <family val="2"/>
        <charset val="1"/>
      </rPr>
      <t>" contém o detalhamento dos custos unitários por categoria profissional, além de conter o preço final da proposta.</t>
    </r>
  </si>
  <si>
    <t>5.1</t>
  </si>
  <si>
    <r>
      <rPr>
        <sz val="10"/>
        <rFont val="Calibri"/>
        <family val="2"/>
        <charset val="1"/>
      </rPr>
      <t xml:space="preserve">Para efeitos de lance/oferta, as licitantes devem considerar o valor da célula "W16", da Aba "Resumo", correspondente ao </t>
    </r>
    <r>
      <rPr>
        <b/>
        <sz val="10"/>
        <rFont val="Calibri"/>
        <family val="2"/>
        <charset val="1"/>
      </rPr>
      <t>VALOR MENSAL.</t>
    </r>
  </si>
  <si>
    <t>5.2</t>
  </si>
  <si>
    <t>Esta aba está destacada na Cor Azul.</t>
  </si>
  <si>
    <t>6.</t>
  </si>
  <si>
    <r>
      <rPr>
        <sz val="10"/>
        <rFont val="Calibri"/>
        <family val="2"/>
        <charset val="1"/>
      </rPr>
      <t>A Aba "</t>
    </r>
    <r>
      <rPr>
        <b/>
        <sz val="10"/>
        <rFont val="Calibri"/>
        <family val="2"/>
        <charset val="1"/>
      </rPr>
      <t>Custo Estimado Substituto</t>
    </r>
    <r>
      <rPr>
        <sz val="10"/>
        <rFont val="Calibri"/>
        <family val="2"/>
        <charset val="1"/>
      </rPr>
      <t>" contém valores estimados com os profissionais substitutos do titular em férias.</t>
    </r>
  </si>
  <si>
    <t>6.1</t>
  </si>
  <si>
    <t>Não será necessário realizar nenhuma alteração nesta aba, pois conterá apenas o reflexo dos dados preenchidos nas abas anteriores (conforme explicação nº 3).</t>
  </si>
  <si>
    <t>6.2</t>
  </si>
  <si>
    <t>ANEXO X - PLANILHA DE CUSTO E FORMAÇÃO DE PREÇO MENSAL ESTIMATIVO - PLANILHA DE DADOS</t>
  </si>
  <si>
    <t>Elemento de Despesa</t>
  </si>
  <si>
    <t>Quantidade de Postos</t>
  </si>
  <si>
    <t>Carga Horária
(Horas)</t>
  </si>
  <si>
    <t>*OBS 1 -
Salário Base I (Piso Para 220h/m)
(R$)</t>
  </si>
  <si>
    <t>Salário Base II
(Conforme Jornada Contratada)
(R$)</t>
  </si>
  <si>
    <t xml:space="preserve">
Insalubridade
Grau de Risco
(%)</t>
  </si>
  <si>
    <t>Valor Insalubridade
(R$)</t>
  </si>
  <si>
    <t>*OBS 2 -
Acúmulo de Função / Acréscimo Salarial
(%)</t>
  </si>
  <si>
    <t>*OBS 3 -
Tempo de Execução de Atividades em Acúmulo
(%)</t>
  </si>
  <si>
    <t>*OBS 4 -
Base Para Cálculo de Acúmulo de Função
(R$)</t>
  </si>
  <si>
    <t>Valor Acúmulo de Função
(R$)</t>
  </si>
  <si>
    <t>Remuneração Total
(Grupo A)
(R$)</t>
  </si>
  <si>
    <t>Uniforme
(R$)</t>
  </si>
  <si>
    <t>Material de Limpeza Rateado
(R$)</t>
  </si>
  <si>
    <t>Material de Copa Rateado
(R$)</t>
  </si>
  <si>
    <t>EPI</t>
  </si>
  <si>
    <t>Depreciação Rateada
(R$)</t>
  </si>
  <si>
    <t>CÓDIGO DE ELEMENTO DE DESPESA
(CONTROLE DA CONTRATANTE)</t>
  </si>
  <si>
    <t>índice de 7%</t>
  </si>
  <si>
    <t>valor da CCT 0165</t>
  </si>
  <si>
    <t>Servente de Limpeza 40% Insalubridade</t>
  </si>
  <si>
    <t>Servente de Limpeza  com acúmulo Copeira</t>
  </si>
  <si>
    <t>Zelador</t>
  </si>
  <si>
    <t>Auxiliar Administrativo</t>
  </si>
  <si>
    <t>OBS 1: Inserir piso salarial correspondente à jornada de 220h mensais.      OBS 2: Informar % de acúmulo de função.</t>
  </si>
  <si>
    <t>OBS 3: Informar % do tempo de acúmulo de função.   OBS 4: Informar salário base.</t>
  </si>
  <si>
    <t>TOTAL</t>
  </si>
  <si>
    <t>DADOS DA PROPOSTA</t>
  </si>
  <si>
    <t>Data de apresentação da proposta</t>
  </si>
  <si>
    <t>ABERTURA DA PROPOSTA</t>
  </si>
  <si>
    <t>Informar data de abertura do certame / data final para cadastro da proposta comercial.</t>
  </si>
  <si>
    <t>Sindicato utilizado</t>
  </si>
  <si>
    <t>SINSERTH x SINTAPPI</t>
  </si>
  <si>
    <t>Informar o sindicato utilizado pela Licitante.</t>
  </si>
  <si>
    <t>Número de registro da CCT - Código MTE</t>
  </si>
  <si>
    <t>MG001973/2025</t>
  </si>
  <si>
    <t>Informar o número de registro da Convenção Coletiva de Tralbalho utilizada no processo licitatório, junto ao Ministério do Trabalho e Emprego.</t>
  </si>
  <si>
    <t>Vigência da CCT utilizada</t>
  </si>
  <si>
    <t>01/04/2025 à 31/03/2026</t>
  </si>
  <si>
    <t>Informar a vigência da Convenção Coletiva de Trabalho utilizada no processo licitatório.</t>
  </si>
  <si>
    <t>Data base da categoria</t>
  </si>
  <si>
    <t>1 de abril</t>
  </si>
  <si>
    <t>Informar a data base da Convenção Coletiva de Trabalho utilizada no processo licitatório.</t>
  </si>
  <si>
    <t>ENCARGOS SOCIAIS E TRABALHISTAS</t>
  </si>
  <si>
    <t>-</t>
  </si>
  <si>
    <t>Percentual de Encargos (TOTAL)</t>
  </si>
  <si>
    <t>SAT - Seguro Acidentes Trabalho</t>
  </si>
  <si>
    <t>RAT (Atividade Principal)</t>
  </si>
  <si>
    <t>Informar percentual correspondente à atividade preponderante da Licitante.</t>
  </si>
  <si>
    <t>FAP (Conforme FapWeb)</t>
  </si>
  <si>
    <t>Informar Fator extraído do documento FapWeb da Licitante.</t>
  </si>
  <si>
    <t>SALÁRIO BASE PARE CÁLCULO DE INSALUBRIDADE</t>
  </si>
  <si>
    <t xml:space="preserve">SALÁRIO MINÍMO NACIONAL </t>
  </si>
  <si>
    <t>Informar base salarial para fins de cálculo de Insalubridade.</t>
  </si>
  <si>
    <t>BENEFÍCIOS</t>
  </si>
  <si>
    <t>Seguro de Vida em Grupo</t>
  </si>
  <si>
    <t>Inserir valor unitário mensal.</t>
  </si>
  <si>
    <t>Programa de Assistência Familiar - PAF</t>
  </si>
  <si>
    <t>Vale Transporte</t>
  </si>
  <si>
    <t>Valor da tarifa</t>
  </si>
  <si>
    <t>Inserir o valor unitário da tarifa.</t>
  </si>
  <si>
    <t>Número de Tarifas por dia</t>
  </si>
  <si>
    <t>Inserir a quantidade de tarifas diárias.</t>
  </si>
  <si>
    <t>Número de dias para fornecimento</t>
  </si>
  <si>
    <t>Número de dias utilizados para a precificação. Número determinado em edital. Não será permitido alteração.</t>
  </si>
  <si>
    <t>Custeio do trabalhador (participação legal)</t>
  </si>
  <si>
    <t>Inserir percentual de participação do trabalhador.</t>
  </si>
  <si>
    <t>Vale Alimentação</t>
  </si>
  <si>
    <t>Valor Unitário do Ticket</t>
  </si>
  <si>
    <t>Inserir valor unitário do Ticket.</t>
  </si>
  <si>
    <t>Outros (inserir somente com a justificativa legal)</t>
  </si>
  <si>
    <t>Inserir valor unitário mensal, quando preenchido, e apresentar as justificativas legais para inclusão.</t>
  </si>
  <si>
    <t>MONTANTE C</t>
  </si>
  <si>
    <t>Despesas Administrativas</t>
  </si>
  <si>
    <t>Informar percentual da Licitante.</t>
  </si>
  <si>
    <t>Lucro</t>
  </si>
  <si>
    <t>MONTANTE D</t>
  </si>
  <si>
    <t>OBS:</t>
  </si>
  <si>
    <t>Opção Tributária</t>
  </si>
  <si>
    <t>LUCRO REAL</t>
  </si>
  <si>
    <t>Informar opção tributária da Licitante. Atentar-se às observações do "Montante D".</t>
  </si>
  <si>
    <t>COFINS</t>
  </si>
  <si>
    <t>Informar percentual da Licitante. Atentar-se às observações do "Montante D".</t>
  </si>
  <si>
    <t>PIS/PASEP</t>
  </si>
  <si>
    <t>ISSQN</t>
  </si>
  <si>
    <t>Informar percentual do código tributário municipal, local da execução das atividades.</t>
  </si>
  <si>
    <t>Informar o tipo de tributo e apresentar as justificativas legais para inclusão. Informar percentual da Licitante. Atentar-se às observações do "Montante D".</t>
  </si>
  <si>
    <t>Soma dos tributos</t>
  </si>
  <si>
    <t>PREVISÃO DE REAJUSTE IPCA - 12 (DOZE) MESES DE CONTRATO - INFORMATIVO PARA SER UTILIZADO DURANTE A GESTÃO CONTRATUAL</t>
  </si>
  <si>
    <t>UNIFORME</t>
  </si>
  <si>
    <t>MATERIAIS
DIVERSOS</t>
  </si>
  <si>
    <t>EPI COVID</t>
  </si>
  <si>
    <t>SEG VIDA</t>
  </si>
  <si>
    <t>FATOR DE APLICAÇÃO
(2 CASAS DECIMAIS)</t>
  </si>
  <si>
    <t>DATA DE APROVAÇÃO IPCA</t>
  </si>
  <si>
    <t>DOCUMENTO RELACIONADO ID</t>
  </si>
  <si>
    <t>1º REAJUSTE IPCA</t>
  </si>
  <si>
    <t>Percentual (%) aprovado</t>
  </si>
  <si>
    <t>Aplicar reajuste após solicitação da contratada?</t>
  </si>
  <si>
    <t>NÃO</t>
  </si>
  <si>
    <t>2º REAJUSTE IPCA</t>
  </si>
  <si>
    <t>3º REAJUSTE IPCA</t>
  </si>
  <si>
    <t>4º REAJUSTE IPCA</t>
  </si>
  <si>
    <t>5º REAJUSTE IPCA</t>
  </si>
  <si>
    <t>CONTROLE DE REAJUSTE IPCA - UNIFORME</t>
  </si>
  <si>
    <t>APLICAR
VALOR</t>
  </si>
  <si>
    <t>INICIAL</t>
  </si>
  <si>
    <t>CONTROLE DE REAJUSTE IPCA - MATERIAIS DIVERSOS</t>
  </si>
  <si>
    <t>CONTROLE DE REAJUSTE IPCA - EPI COVID</t>
  </si>
  <si>
    <t>CONTROLE DE REAJUSTE IPCA - SEGURO DE VIDA</t>
  </si>
  <si>
    <t>VALOR INICIAL DO CONTRATO</t>
  </si>
  <si>
    <t>1º REAJUSTE POR IPCA</t>
  </si>
  <si>
    <t>2º REAJUSTE POR IPCA</t>
  </si>
  <si>
    <t>3º REAJUSTE POR IPCA</t>
  </si>
  <si>
    <t>4º REAJUSTE POR IPCA</t>
  </si>
  <si>
    <t>5º REAJUSTE POR IPCA</t>
  </si>
  <si>
    <t>HISTÓRICO - CONTROLE DE CONTRATO - VERSÃO DE PLANILHA DE CUSTOS</t>
  </si>
  <si>
    <t>Planilha / Proposta comercial - Início do contrato (Licitação)</t>
  </si>
  <si>
    <t>PLANILHA - ID</t>
  </si>
  <si>
    <t>Obs: Planiha apresentada e aceita durante a fase de lances.</t>
  </si>
  <si>
    <t>1º Termo Aditivo</t>
  </si>
  <si>
    <t>Obs: Planilha ajustada com o acréscimo de 1 posto "X" - 200h.</t>
  </si>
  <si>
    <t>1º Termo de Apostilamento</t>
  </si>
  <si>
    <t>Obs: Repactuação CCT 2024 / Alteração do salário mínimo nacional.</t>
  </si>
  <si>
    <t>INFORMAR TERMO ADITIVO / APOSTILAMENTO / ALTERAÇÃO CONTRATUAL</t>
  </si>
  <si>
    <t>Obs: Descrever alerações. EX: Como é realizado no Extrato.</t>
  </si>
  <si>
    <t>Planilha de Encargos Sociais e Trabalhistas</t>
  </si>
  <si>
    <t>ANEXO X</t>
  </si>
  <si>
    <t>INSTRUÇÕES DE PREENCHIMENTO - Informar/Alterar somente as células destacadas na Cor Amarela, de acordo com o percentual da Licitante.</t>
  </si>
  <si>
    <t>QUADRO RESUMO</t>
  </si>
  <si>
    <t>DESCRIÇÃO</t>
  </si>
  <si>
    <t>PERCENTUAL</t>
  </si>
  <si>
    <t>Grupo A</t>
  </si>
  <si>
    <t>Encargos Previdenciários, FGTS e Outras Contribuições</t>
  </si>
  <si>
    <t>PREVIDÊNCIA SOCIAL - INSS</t>
  </si>
  <si>
    <t>SESI ou SESC</t>
  </si>
  <si>
    <t>SENAI ou SENAC</t>
  </si>
  <si>
    <t>INCRA</t>
  </si>
  <si>
    <t>Salário Educação</t>
  </si>
  <si>
    <t>FGTS</t>
  </si>
  <si>
    <t>SAT - Seguro Acidentes Trabalho - (RAT x FAP)</t>
  </si>
  <si>
    <t xml:space="preserve">  Alterar FAP e RAT na aba "DADOS"</t>
  </si>
  <si>
    <t>SEBRAE</t>
  </si>
  <si>
    <t>Total Grupo A - Encargos previdenciários, FGTS e Outras Contribuições</t>
  </si>
  <si>
    <t>Grupo B</t>
  </si>
  <si>
    <t>Grupo B.1</t>
  </si>
  <si>
    <t>13º Salário</t>
  </si>
  <si>
    <t>Adicional de Férias</t>
  </si>
  <si>
    <t>Subtotal</t>
  </si>
  <si>
    <t>Incidência do Grupo A sobre 13º salário e adicional de férias</t>
  </si>
  <si>
    <t>Total Grupo B.1 - 13º salário e adicional de férias</t>
  </si>
  <si>
    <t>Grupo B.2</t>
  </si>
  <si>
    <t>Afastamento Maternidade</t>
  </si>
  <si>
    <t>Licença Maternidade</t>
  </si>
  <si>
    <t>Incidência do Grupo A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</si>
  <si>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</si>
  <si>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</si>
  <si>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</si>
  <si>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</si>
  <si>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</si>
  <si>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</si>
  <si>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</si>
  <si>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Grupo A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</si>
  <si>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</si>
  <si>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</si>
  <si>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</si>
  <si>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</si>
  <si>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t>
  </si>
  <si>
    <t>Ausência por doença</t>
  </si>
  <si>
    <t>Licença Paternidade</t>
  </si>
  <si>
    <t>Ausências Legais</t>
  </si>
  <si>
    <t>Ausência por acidente de trabalho</t>
  </si>
  <si>
    <t>PERCENTUAIS PARA CONTINGENCIAMENTO DE ENCARGOS TRABALHISTAS A SEREM APLICADOS SOBRE A NOTA FISCAL (UTILIZAÇÃO DURANTE A VIGÊNCIA CONTRATUAL)</t>
  </si>
  <si>
    <t>Incidência do submódulo 4.1 sobre custo de reposição</t>
  </si>
  <si>
    <t>Total Grupo B.4 - Custo de reposição do profissional ausente</t>
  </si>
  <si>
    <t>Título</t>
  </si>
  <si>
    <t>VARIAÇÃO RAT AJUSTADO 0,50% A 6%</t>
  </si>
  <si>
    <t>Grupo C</t>
  </si>
  <si>
    <t>Outros (especificar)</t>
  </si>
  <si>
    <t>EMPRESAS</t>
  </si>
  <si>
    <t>Indenização Adicional</t>
  </si>
  <si>
    <t xml:space="preserve">Grupo </t>
  </si>
  <si>
    <t>Mínimo</t>
  </si>
  <si>
    <t>Máximo</t>
  </si>
  <si>
    <t>LICITANTE</t>
  </si>
  <si>
    <t>Total Grupo C - Indenização Adicional</t>
  </si>
  <si>
    <t>SUBMÓDULO E.1 - da IN 02/2008 MPOG:</t>
  </si>
  <si>
    <t>Quadro Resumo - Encargos Sociais e Trabalhistas</t>
  </si>
  <si>
    <t>SAT (RATxFAP):</t>
  </si>
  <si>
    <t>13º salário</t>
  </si>
  <si>
    <t>13º Salário + Adicional de Férias</t>
  </si>
  <si>
    <t>Férias</t>
  </si>
  <si>
    <t>1/3 constitucional</t>
  </si>
  <si>
    <t>Custo de Rescisão</t>
  </si>
  <si>
    <t>Custo de Reposição do profissional Ausente</t>
  </si>
  <si>
    <t>Incidência do Grupo A (*)</t>
  </si>
  <si>
    <t>Multa do FGTS</t>
  </si>
  <si>
    <t>Total dos Encargos Sociais Trabalhistas</t>
  </si>
  <si>
    <t>Encargos a contingenciar</t>
  </si>
  <si>
    <t>Taxa da conta-corrente vinculada (inciso II art. 2º IN 001/2013</t>
  </si>
  <si>
    <t>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</si>
  <si>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Total a contingenciar</t>
  </si>
  <si>
    <t>ANEXO X - CUSTO ESTIMATIVO DE MATERIAIS DE LIMPEZA</t>
  </si>
  <si>
    <t>INSTRUÇÕES DE PREENCHIMENTO - Informar/Alterar somente as células destacadas na Cor Amarela, de acordo com o valor unitário da Licitante.</t>
  </si>
  <si>
    <t>VALORES UNITÁRIOS DO CONTRATO, CORRIGIDOS PELO REAJUSTE DE IPCA.</t>
  </si>
  <si>
    <t>DESCRIÇÃO DO MATERIAL</t>
  </si>
  <si>
    <t>REFERÊNCIA</t>
  </si>
  <si>
    <t>Quantidade</t>
  </si>
  <si>
    <t>Preço Unitário</t>
  </si>
  <si>
    <t>DIVISOR</t>
  </si>
  <si>
    <t>VALOR INICIAL DO CONTRATO
(Informar após o término da licitação)</t>
  </si>
  <si>
    <t>Ácido muriático, para limpeza pesada ácida desincrustante. Composição: ativo, tensoativo, não iônico e veiculo. Embalagem de 1 lt.</t>
  </si>
  <si>
    <t>unid.</t>
  </si>
  <si>
    <t>Start</t>
  </si>
  <si>
    <t>mensal</t>
  </si>
  <si>
    <t>Água sanitária galão de 5 litros, composição do produto: hipoclorito de sódio 2,5%, hidróxido de sódio e veículo, teor de cloro ativo entre 2,0 e 2,5% p/p.</t>
  </si>
  <si>
    <t>Galão</t>
  </si>
  <si>
    <t>Santa Clara</t>
  </si>
  <si>
    <t>trimestral</t>
  </si>
  <si>
    <t>Álcool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</si>
  <si>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Asseptgel</t>
  </si>
  <si>
    <t>Balde plástico em polietileno de alta densidade, alta resistência a impacto, com paredes e fundo reforçados, com reforço no encaixe da alça de aço zincado constando no corpo a marcado fabricante, capacidade de 12 litros.</t>
  </si>
  <si>
    <t>Arqplast</t>
  </si>
  <si>
    <t>semestral</t>
  </si>
  <si>
    <t>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t>
  </si>
  <si>
    <t>Azulim</t>
  </si>
  <si>
    <t>Cesto para lixo de 100 litros - tipo balde, com tampa e pedal - confeccionado em material de polipropileno ou poliestireno resistente, atóxico, com tampa sobreposta, duas alças laterais, cesto em formato redondo.</t>
  </si>
  <si>
    <t>unid</t>
  </si>
  <si>
    <t>anual</t>
  </si>
  <si>
    <t>Cloro liquido concentrado com teor ativo de no minimo 10 a 12% para limpeza pesada. Embalagem com 5 litros</t>
  </si>
  <si>
    <t>bimestral</t>
  </si>
  <si>
    <t>Desentupidor Pia: Tipo: Sanfonado, Com Alto Poder De Sucção. Material: Borracha Flexível, Composto Por Polipropileno E Borracha Termoplástica. Plástico Resistente, Cabo Longo, mínimo 20 CM.</t>
  </si>
  <si>
    <t>Oliveira e Azevedo</t>
  </si>
  <si>
    <t>Desentupidor Vaso Sanitário Material: Borracha Flexível, Medidas aproximadas: Comprimento Cabo: 50 CM, Altura: 10 CM, Diâmetro: 16 CM, Material Cabo: Madeira</t>
  </si>
  <si>
    <t>Canada</t>
  </si>
  <si>
    <t>Desodorizador de ambiente com 360ml. Aromatizador de Ambientes Aerosol, conteúdo 360ml/240g sem Cfc. Essências suaves. Aplicação: aromatizador ambiental. Embalagemdeverá conter externamente os dados de identificação, procedência, número do lote, validade e número do registro no Ministério da Saúde. Marca igual ou superior a Bom Ar, Glade ou Ultra Fresh.</t>
  </si>
  <si>
    <t>Glade</t>
  </si>
  <si>
    <t>Detergente clorado. Desenvolvido para desinfecção, limpeza e clareamento das superfícies em ambientes de fluxo alto, médio e baixo. Com excelente ação bactericida. Aprovação Anvisa. CHEFF Clorado diluído (1 x 10) (p/ vasos sanitários). Embalagem Galão com 5 litros.</t>
  </si>
  <si>
    <t>Cheff, Audax Gold, Renko</t>
  </si>
  <si>
    <t>Desinfetante concentrado líquido. Aroma floral. Embalagem com 5 litros. Desinfetante líquido a base de pinho, para uso geral, ação bactericida e germicida, com 5 litros. Acondicionado em embalagem plástica original do fabricante, com o nome do responsável técnico, o lote, data de fabricação, validade. </t>
  </si>
  <si>
    <t>Mirax Floral Bouquet</t>
  </si>
  <si>
    <t>Detergente líquido para louça, neutro, embalagem de 500ml, com tampa Push Pool. Deverá conter glicerina e ser testado e aprovado por dermatologistas. Com fórmula biodegradável. Deve possuir registro na Anvisa/Ministério da Saúde, o qual deverá estar impresso no rótulo.</t>
  </si>
  <si>
    <t>Limpol</t>
  </si>
  <si>
    <t>Escova para lavar multiuso, oval, base plástica e cerdas de escova para lavar multiuso, oval, base plástica e cerdas de nylon.</t>
  </si>
  <si>
    <t>Condor</t>
  </si>
  <si>
    <t>Escova Sanitária Redonda em plástico Branco contendo 01 escova para vaso sanitário e 01 suporte redondo: Branco Tamanho aprox.: 14 x 42 cm</t>
  </si>
  <si>
    <t>Limpamania</t>
  </si>
  <si>
    <t>Esponja Para Lavagem De Louças E Limpeza Em Geral, Dupla Face Sintética, Um Lado Em Espuma Poliuretano E Outro Em Fibra Sintética Abrasiva, Antibacteriana, Formato Retangular, Medindo Aproximadamente 110mm X 75mm X 20mm De Espessura. Pacote com 4 unidades.</t>
  </si>
  <si>
    <t>pacote</t>
  </si>
  <si>
    <t>Scotch-Brite</t>
  </si>
  <si>
    <t>Esponja de LÃ DE AÇO, composição básica: aço carbono abrasivo, p/ limpeza em geral, acondicionada em embalagem plástica original do fabricante, peso líquido aproximado de 60g, pacote c/ 08 unidades.</t>
  </si>
  <si>
    <t>Bombril</t>
  </si>
  <si>
    <t>Espanador de pó de penas nº 25. Medidas aproximadas: 25 cm de penas e 40 cm de cabo</t>
  </si>
  <si>
    <t>Duster</t>
  </si>
  <si>
    <t>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</si>
  <si>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Intextil</t>
  </si>
  <si>
    <t>Limpa Pedras Pisos, lajota removedor de encardido pedra e cerâmica - Ácido Sulfônico - 5 litro concentrado com baixo odor e pH ácido sinergicamente balanceado para uma ação rápida e eficaz. Limpeza pesada, sem danificar, de sujidades como terra, fuligem, ferrugem, incrustações e encardidos em geral.</t>
  </si>
  <si>
    <t>Pedrex</t>
  </si>
  <si>
    <t>Lustra Móveis, Embalagem de 200 ml, Emulsão aquosa cremosa, perfumada, para aplicação em móveis e superfícies lisas. aromas diversos. frasco plástico de 200ml com bico econômico. embalagem certificada pelo INMETRO contendo data de fabricação, validade.</t>
  </si>
  <si>
    <t>Ypê</t>
  </si>
  <si>
    <t>Multiuso para limpeza diária 500ml - Limpador Geral Multiuso, para remoção de gorduras, fuligem, poeira, marcas de dedos e de sapatos, riscos de lápis, etc. ingredientes: alquil benzeno sulfonato de sódio, álcool etoxilado, coadjuvantes, sequestrante, fragrância e água. frascos de 500 ml de produto (marca de referência: veja).</t>
  </si>
  <si>
    <t>Veja</t>
  </si>
  <si>
    <t>Multiuso Limpeza Pesada 500ml - composição: alquil benzeno sulfonato de sódio, solvente, coadjuvantes, conservante, sequestrante, corante, fragrância e água. tensoativo biodegradável. Frascos de 500 ml de produto (marca de referência: veja).</t>
  </si>
  <si>
    <t>Luva Segurança Com Forro. Material: 100% Látex Nitrílico, Tamanho: M ou G, Aplicação: Manuseio Reagente Químico E Radioativo, Características Adicionais: Com Forro, Sem Talco, Pulso Com Bainha, Modelo: Palma Antiderrapante, Cor: Verde, Tipo: Ambidestra</t>
  </si>
  <si>
    <t>Par</t>
  </si>
  <si>
    <t>Bettanin</t>
  </si>
  <si>
    <t>Mangueira para jardim, com 50 metros de extensão ou mais, antitorção, com engate de torneira e esguicho jato regulável</t>
  </si>
  <si>
    <t>Tramontina</t>
  </si>
  <si>
    <t>Pá p/ lixo em plástico resistente c/ cabo de madeira de aprox. 60cm de altura na vertical</t>
  </si>
  <si>
    <t>Papel higiênico branco, folha dupla, de alta qualidade, com dimensões 10cm X 30m, com a marca do fabricante e indicação na embalagem, absorvente e resistente, fardo com 64 rolos de 30 metros. Tipo Neve ou de melhor qualidade.</t>
  </si>
  <si>
    <t>Fardo com 64 rolos</t>
  </si>
  <si>
    <t>Neve</t>
  </si>
  <si>
    <t>Papel Toalha Interfolhado, 2 dobras, 100% fibras celulósicas, branco extra luxo, sem pintas ou outros tipos de sujidades, boa qualidade , medindo aproximadamente 23cm x 23 cm , acondicionado em caixa c/1000 folhas.</t>
  </si>
  <si>
    <t>Pacote</t>
  </si>
  <si>
    <t>Economy (Jofel) ou similar</t>
  </si>
  <si>
    <t>Pedra sanitária c/ 25g - com suporte para fixar no vaso sanitário. Desinfetante sanitário em pedra 25 g</t>
  </si>
  <si>
    <t>Harpic, Pato</t>
  </si>
  <si>
    <t>Rodo Plástico e borracha dupla expandida de 40cm de largura, acompanha cabo de madeira plastificado de aproximadamente 1,26m, com garras pontiagudas nas laterais para melhor fixar panos de chão.</t>
  </si>
  <si>
    <t>Brubalar</t>
  </si>
  <si>
    <t>Rodo Mop Limpa Vidros Cabo Extensor Telescópio - Dupla Face </t>
  </si>
  <si>
    <t>Sabão em barra glicerinado - cor neutra. Pacote com 5 de 200g cada unidade.</t>
  </si>
  <si>
    <t>Minuano</t>
  </si>
  <si>
    <t>Sabão em Pó – Caixa de 0,8 a 1Kg. Sabão em pó, convencional, de primeira linha. Para lavar roupas e limpeza em geral.</t>
  </si>
  <si>
    <t>cx.</t>
  </si>
  <si>
    <t>Omo ou similar</t>
  </si>
  <si>
    <t>Sapólio em pó 300g</t>
  </si>
  <si>
    <t>Sabonete líquido Concentrado, cremoso perolizado, pronto pra uso, aroma erva-doce, lavanda ou similar, galão de 05 litros.</t>
  </si>
  <si>
    <t>Nobre, Start, Ikebana</t>
  </si>
  <si>
    <t>Saco de Algodão Tipo: Alvejado, Tamanho: 60 X 80 CM, Cor: Branco, Características Adicionais: Dupla Face</t>
  </si>
  <si>
    <t>Santa Margarida</t>
  </si>
  <si>
    <t>Saco plástico reforçado para lixo em polietileno, com capacidade de 20 litros, com estanqueidade suficiente para que não haja vazamento de lixo líquido. com espessura mínima de 08 micra, na cor preta. Pacote com 100 unidades.</t>
  </si>
  <si>
    <t>Altaplast</t>
  </si>
  <si>
    <t>Saco plástico reforçado para lixo em polietileno, com capacidade de 60 litros, com estanqueidade suficiente para que não haja vazamento de lixo líquido. com espessura mínima de 09 micra, na cor preta. Pacote com 100 unidades.</t>
  </si>
  <si>
    <t>Polisac</t>
  </si>
  <si>
    <t>Saco plástico reforçado para lixo em polietileno, com capacidade de 100 litros, com estanqueidade suficiente para que não haja vazamento de lixo líquido. com espessura mínima de 10 micra, na cor preta. Pacote com 100 unidades.</t>
  </si>
  <si>
    <t>Vassoura Material Cerdas: Pêlo Sintético, Comprimento Cepa: 60 CM, Tipo Cabo: Reforçado, Material Cabo: Madeira</t>
  </si>
  <si>
    <t>Vassoura Material Cerdas: Piaçava, Aplicação: Limpeza, Material Cepa: Madeira, Comprimento Cepa: 40 CM, Comprimento Cerdas: 13 CM, Largura Cepa: 5 CM, Altura Cepa: 4 CM, Material Cabo: Madeira</t>
  </si>
  <si>
    <t>Noviça</t>
  </si>
  <si>
    <t>Suporte De Parede Organizador Para Vassouras E Esfregoes E Ferramentas, Com 4 ou 5 Posiçoes E Ganchos. Material De Aço Relaminado De Alta Densidade, Comprimento aprox. De 25Cm, Largura 3Cm</t>
  </si>
  <si>
    <t>Suporte fixo de parede giratório de metal para mangueira até 50 metros</t>
  </si>
  <si>
    <t>N°de Postos para Rateio</t>
  </si>
  <si>
    <t>Valor por Posto</t>
  </si>
  <si>
    <t>ANEXO X - CUSTO ESTIMATIVO DE MATERIAIS DE LIMPEZA COPA</t>
  </si>
  <si>
    <t>OBSERVAÇÕES</t>
  </si>
  <si>
    <t>Marca de Referência</t>
  </si>
  <si>
    <t>Açucar Cristal 5kg - origem vegetal, constituído fundamentalmente por sacarose de cana de açucar, sólido com cristais bem definidos, odor próprio do produto, sabor próprio do produto, composição básica centesimal do açucar cristal branco empacotado: sacarose concentração mínima de 99,6%, sais mineirais concentração máxima de 0,10%, unidade máxima de 0,07% outros componentes 0,23%. </t>
  </si>
  <si>
    <t>União</t>
  </si>
  <si>
    <t>Adoçante 100ml - adoçante líquido dietético, aspecto límpido e transparente, embalagem: frasco de 100 ml, tipo: adoçante líquido composição: sucralose (aditivo edulcorante de origem sintética), com exceção de outros aditivos ou substâncias químicas, conforme regulamentação da Anvisa. Embalagem: frasco conta-gotas, com tampa vedante para evitar desperdício e facilitar a dosagem precisa. Validade: de acordo com o prazo indicado pelo fabricante, devendo ser respeitado o prazo de validade para garantir a qualidade do produto. </t>
  </si>
  <si>
    <t>Linea</t>
  </si>
  <si>
    <t>Bimestral</t>
  </si>
  <si>
    <t>Álcool granel 65% galão com 5 litros </t>
  </si>
  <si>
    <t>Tupi ou similar</t>
  </si>
  <si>
    <t>Balde Material: Plástico, Material Alça: Arame Galvanizado, Capacidade: 10 L, Cor: Preta, Características Adicionais: Reforço Fundo E Borda</t>
  </si>
  <si>
    <t>Sanremo</t>
  </si>
  <si>
    <t>Café 500G - Café Em Pó, Torrado E Moído, 100% Arábica, Especial, Qualidade Superior, Devendo Ser Produzido Exclusivamente Com Grãos Sãos E Limpos, Em Pó, Moído E Torrado Em Processo De Torração Homogênea Na Cor Castanho Claro A Moderado Escuro, Sem Amargor, Sem Impurezas, Com Validade Mínima 6 Meses A Contar Da Data De Entrega. Deverá Conter O Selo Da Abic De Pureza e Qualidade Ou Selo Equivalente Que Comprove A Qualidade Superior. Embalagem 500G. O Produto Deve Ter Os Registros Nos Órgãos Competentes De Fiscalização E Estar De Acordo Com A Legislação Vigente.</t>
  </si>
  <si>
    <t>3 Corações Gourmet, Orfeu</t>
  </si>
  <si>
    <t>Coador de Café. Especificação: Em pano 100% algodão, cor branca, dimensões de 20cm (diâmetro) x 30cm (profundidade), cabo 16 cm de comprimento feito de arame de aço galvanizado revestido com PVC. O rótulo do produto deve estampar o nome do fabricante.</t>
  </si>
  <si>
    <t>Stolf</t>
  </si>
  <si>
    <t>Desentupidor Pia Material: Borracha Flexível, Cor: Preta , Material Cabo: Plástico Resistente , Comprimento Cabo: 20 CM, Tipo: Sanfonado</t>
  </si>
  <si>
    <t>Limpol ou similar</t>
  </si>
  <si>
    <t>Escova para limpeza de mamadeira/garrafa, tipo redonda, base de arame galvanizado, com cerdas 100% polipropileno, medindo 15cm, cabo de arame duplo retorcido e ferro galvanizado, medindo 15cm, mínimo de 30 cerdas por tufos</t>
  </si>
  <si>
    <t>Dynasty</t>
  </si>
  <si>
    <t>Esponja de LÃ DE AÇO, composição básica: aço carbono abrasivo, p/ limpeza em geral, acondicionada em embalagem plástica original do fabricante, peso líquido aproximado de 60g, pacote c/ 08 unidades</t>
  </si>
  <si>
    <t>Guardanapo de limpeza, em papel absorvente, folha simples, na cor branca, não gofrado, 4 dobras, dimensões mínimas 24cm x 22cm, 100% fibras naturais, embalado em pacote com 50 unidades, com dados do fabricante, data de fabricação e prazo de validade. Produto fabricado de acordo com as normas da ABNT/NBR. Do tipo Coquetel, Santepel, Snob ou de melhor qualidade</t>
  </si>
  <si>
    <t>Santepel</t>
  </si>
  <si>
    <t>Guardanapo de limpeza, em papel absorvente, folha simples, na cor branca, não gofrado, 4 dobras, dimensões mínimas 33 cm x 30 cm, 100% fibras naturais, embalado em pacote com 50 unidades, com dados do fabricante, data de fabricação e prazo de validade. Produto fabricado de acordo com as normas da ABNT/NBR. Do tipo Coquetel, Santepel, Snob ou de melhor qualidade</t>
  </si>
  <si>
    <t>Luva Segurança Com Forro. Material: 100% Látex Nitrílico, Tamanho: M ou G, Aplicação: Manuseio Reagente Químico E Radioativo , Características Adicionais: Com Forro, Sem Talco, Pulso Com Bainha , Modelo: Palma Antiderrapante, Cor: Verde ,Tipo: Ambidestra</t>
  </si>
  <si>
    <t>Pá para lixo, material: plástico com cabo, material cabo: madeira, comprimento cabo: 60cm, tamanho:24x16,5x7cm.</t>
  </si>
  <si>
    <t>Pano de copa aberto 100% dimensões mínimas 40x60cm</t>
  </si>
  <si>
    <t>Karsten</t>
  </si>
  <si>
    <t>Rodo plástico push 60cm com borracha dupla cabo 120cm. Especificação: com cepa de polipropileno; propriedades mínimas; cepa medindo 60cm de comprimento; eva; duplo; com espessura 3,5mm(+/- 0,05mm); cepa pesando 230g, cabo de madeira (cedrinho) revestido de polipropileno; 120cm gancho de polietileno de alta densidade; rosca de polietileno de baixa densidade; embalado em embalagem apropriada.</t>
  </si>
  <si>
    <t>Sabão em barra glicerinado - cor neutra. Pacote com 5 de 200g cada unidade</t>
  </si>
  <si>
    <t>Saco De Algodão Tipo: Alvejado, Tamanho: 60 X 80 CM, Cor: Branco, Características Adicionais: Dupla Face</t>
  </si>
  <si>
    <t>Uzzilim</t>
  </si>
  <si>
    <t>ANEXO X - CUSTO ESTIMATIVO DE EPI</t>
  </si>
  <si>
    <t>Valores em R$</t>
  </si>
  <si>
    <t>Item</t>
  </si>
  <si>
    <t>Especificação</t>
  </si>
  <si>
    <t>Quant.</t>
  </si>
  <si>
    <t>Valor Unitário</t>
  </si>
  <si>
    <t>Valor Total</t>
  </si>
  <si>
    <t>Repasse Mensal</t>
  </si>
  <si>
    <t>RELAÇÃO DE EPI</t>
  </si>
  <si>
    <t>Cinturão de segurança tipo paraquedista, mod. 3 pontas cfe. ABNT NBR 15836</t>
  </si>
  <si>
    <t>Talabarte com 2 conectores, classe A ou classe T, conforme ABNT NBR 15837</t>
  </si>
  <si>
    <t>Total de EPI do Zelador</t>
  </si>
  <si>
    <t>N° de Postos para Rateio</t>
  </si>
  <si>
    <t>Valor por posto</t>
  </si>
  <si>
    <t xml:space="preserve"> Bota Segurança Material: Pvc - Cloreto De Polivinila ,
Material Sola: Antiderrapante , Cor: Preta , Tipo Cano: Longo</t>
  </si>
  <si>
    <t>Total de EPI de Servente e Zelador</t>
  </si>
  <si>
    <t>ANEXO X - CUSTO ESTIMATIVO DE PREÇOS DE EQUIPAMENTOS</t>
  </si>
  <si>
    <t>Depreciação 10% ao Ano</t>
  </si>
  <si>
    <t xml:space="preserve">RELAÇÃO DE MÁQUINAS E EQUIPAMENTOS </t>
  </si>
  <si>
    <t>Escada doméstica, material alumínio, número degraus 7, 8 ou 9, características adicionais pés antiderrapantes, trava de segurança, capacidade 120 kg, tipo dobrável.</t>
  </si>
  <si>
    <t>Escada doméstica, material alumínio, número degraus 16, características adicionais pésantiderrapantes, trava de segurança, capacidade 120 kg, tipo dobrável.</t>
  </si>
  <si>
    <t>Furadeira 5/8, potência mínima de 760w, marca Bosch ou Makita</t>
  </si>
  <si>
    <t>Jogo de brocas para madeira e metal, com no mínimo 10 peças</t>
  </si>
  <si>
    <t>Tesoura para corte de grama mínimo 48cm, qualidade superior - Profissional</t>
  </si>
  <si>
    <t>Aparador de grama. Potência mínima do motor de 1.500w, com cabo bipartido e punho ergonômico, com ajuste regulável. Voltagem 220V. Trava para extensão elétrica, fio de nylon com avanço automático. Garantia mínima 12 meses.</t>
  </si>
  <si>
    <t>Roçadeira Cortador de grama do tipo Roçadeira - Profissional - À Gasolina - mínimo 2 tempos</t>
  </si>
  <si>
    <t>Total da Depreciação de Máquinas e Equipamentos</t>
  </si>
  <si>
    <t>N° de postos para Rateio</t>
  </si>
  <si>
    <t>ANEXO X - CUSTO ESTIMATIVO DE PREÇOS DOS UNIFORMES</t>
  </si>
  <si>
    <t>Serviços de Limpeza e Conservação</t>
  </si>
  <si>
    <t>CATEGORIA</t>
  </si>
  <si>
    <t>QUANT.</t>
  </si>
  <si>
    <t>DESCRIÇÃO DE UNIFORME</t>
  </si>
  <si>
    <t>CORES</t>
  </si>
  <si>
    <t>TOTAL DO QUANTITATIVO</t>
  </si>
  <si>
    <t>PREÇO UNITÁRIO</t>
  </si>
  <si>
    <t xml:space="preserve">Servente </t>
  </si>
  <si>
    <t>Calça</t>
  </si>
  <si>
    <t>Calça com elástico
Material: brim leve misto 67% Algodão / 33% Poliéster; Modelo: Unissex; Quantidade Bolsos: 2 Laterais E 2 Traseiros; Tipo Cós: Com Elástico E Pala; Modelo: unissex; características adicionais: com elástico e cordão na cintura, sem fecho, tamanhos PP, P, M, G, GG e EX. 
Cor: Preta.</t>
  </si>
  <si>
    <t>Preta</t>
  </si>
  <si>
    <t>Camisa</t>
  </si>
  <si>
    <t>Camiseta Malha
Modelo unissex, confeccionado em Malha PV, com gramatura de 180g/m² ou superior, em tecido sem transparência, com manga curta, sem punho. Gola redonda e barra reta. Logotipo da empresa em silk screen.
COR: azul marinho, cinza chumbo ou preta.</t>
  </si>
  <si>
    <t>Azul marinho, cinza chumbo ou preta.</t>
  </si>
  <si>
    <t>TOTAL DE POSTOS</t>
  </si>
  <si>
    <t>Jaleco</t>
  </si>
  <si>
    <t>Jaleco
Modelo em brim, confeccionado preferencialmente em 100% algodão. Gola modelo italiana. fechamento em botão. Frente com 3 (três) bolsos, sendo um na altura do peito e dois na altura da cintura. Botões e aviamentos na cor do tecido. Logotipo da empresa bordado.
COR: azul marinho, cinza chumbo ou preto.</t>
  </si>
  <si>
    <t>Jaqueta</t>
  </si>
  <si>
    <t>Jaqueta
Forrada, gola padre, fechamento frontal com zíper aparente de nylon de primeira qualidade, punhos e cós com elástico, dois bolsos laterais embutidos fundos e grandes, acabamento retilíneo. Confeccionada em moletom, sendo 70% algodão e 30% poliéster. Características adicionais: sem capuz, aviamento e zíper na mesma cor do tecido e logotipo da empresa bordado.
COR: azul marinho, cinza chumbo ou preto</t>
  </si>
  <si>
    <t>Soma</t>
  </si>
  <si>
    <t xml:space="preserve">CÁLCULO VALOR DO REPASSE MENSAL SERVENTE DE LIMPEZA </t>
  </si>
  <si>
    <t xml:space="preserve"> Copeira</t>
  </si>
  <si>
    <t>Avental</t>
  </si>
  <si>
    <t>Avental Copeira - 1,20 x 0,60 m (Tecido Oxford). Cor: Preta , Características Adicionais: 2 Bolsos Dianteiros , Tamanho: Longo.
COR: branca</t>
  </si>
  <si>
    <t>Branco</t>
  </si>
  <si>
    <t>Touca</t>
  </si>
  <si>
    <t>Touca Copeira em tecido tule com lycra com aba 
COR: branca</t>
  </si>
  <si>
    <t>CÁLCULO VALOR DO REPASSE MENSAL ACÚMULO COPEIRA</t>
  </si>
  <si>
    <t>Calça Jeans
Calça jeans com 2 bolsos na frente e 2 bolsos externos atrás, com passador para cinto, fechamento em ziper e botão. Calça modelo em corte reto tradicional, confeccionada em jeans com elastano, sendo, no mínimo 97% algodão e 3% elastano. Frente com 2 bolsos embutidos e zíper de metal com um botão no cós para fechamento. Parte de trás com dois bolsos. Cós total no próprio tecido com 5 (cinco) passadores de cinto.
COR: azul marinho</t>
  </si>
  <si>
    <t>Azul Marinho</t>
  </si>
  <si>
    <t>Camisa Polo
Camisa Polo - Material: Piquet | Tipo Manga: Meia Manga | Tipo Colarinho: Gola Polo | Cor: Cinza Claro | Tamanho: P, M, G, GG. Confeccionada em malha Piquet ou similar, sendo 50% poliéster e 50% algodão, em tecido não transparente com gramatura entre 190 a 220g/m². Modelo gola: tipo colarinho, com pé de gola, pespontada, com um botão para fechamento. Manga curta simples, sem botões. Comprimento alongado para permitir colocar dentro da calça. Aviamento e botões na mesma cor do tecido. Logotipo da empresa bordado no lado esquerdo. Sem bolsos. Etiqueta de composição e identificação do tecido, confecção, tamanho da peça e instruções de lavagem, conforme determinação do INMETRO.
COR: azul marinho, cinza chumbo ou preta.</t>
  </si>
  <si>
    <t>CÁLCULO VALOR DO REPASSE MENSAL  DE ZELADOR</t>
  </si>
  <si>
    <t>Calça Social
Feminino: Modelo social, confeccionada em tecido Gabardine com elastano (lado interno acetinado), 95% poliéster, 5% elastano, 1ª qualidade ou confeccionada em tecido plano encorpado 74% Poliéster, 20% Viscose, 6% Elastano. Modelo: Sem pregas, com cós alto. Frente: fechável por zíper comum de nylon fino trava automática, com 01(um) botão no cós na cor do tecido para fechamento, e gancho metálico interno. Cós no próprio tecido entretelado com 6 passadores. Traseira: 2 (dois) pences. Barra: Máquina reta. Aviamento e botões na mesma cor do tecido. Etiqueta de composição e identificação do tecido, forro, confecção, tamanho da peça e instruções de lavagem, conforme determinação do INMETRO.
Masculino: Modelo social, confeccionada em Microfibra 100% poliéster maquinetada, sem pregas, 2 bolsos na frente tipo faca, 2 bolsos traseiros sendo um bolso do lado direito e um do lado esquerdo, embutidos sem portinhola, cerzidos, 1 pinchal em cada, fechamento por caseado e 1 botão. Ziper de nylon 18 cm trava automática; Cós no próprio tecido entretelado, fechável por gancho metálico e 1 botão na extensão, com 8 passantes de 1 cm; forro de bolso: 50% poliéster e 50% algodão na cor do tecido. Aviamento e botões na mesma cor do tecido. Etiqueta de composição e identificação do tecido, forro, confecção, tamanho da peça e instruções de lavagem, conforme determinação do INMETRO.
Cor: azul marinho, cinza chumbo ou preta.</t>
  </si>
  <si>
    <t>Calçado</t>
  </si>
  <si>
    <t>Tênis
Tênis maleável de nylon, com solado em borracha antiderrapante, forro e palmilha espumados, com acolchoamento no calcanhar. Fechamento em cadarço, com passador em cordão.
COR: preto</t>
  </si>
  <si>
    <t>Preto</t>
  </si>
  <si>
    <t>CÁLCULO VALOR DO REPASSE MENSAL AUXILIAR ADMINISTRATIVO</t>
  </si>
  <si>
    <t>ANEXO X - PLANILHA DE CUSTO E FORMAÇÃO DE PREÇO MENSAL ESTIMATIVO INTEGRAL - RESUMO</t>
  </si>
  <si>
    <t xml:space="preserve">MÊS: </t>
  </si>
  <si>
    <t>VALORES EM R$</t>
  </si>
  <si>
    <t>ELEMENTO DE DESPESA</t>
  </si>
  <si>
    <t>CATEGORIA PROFISSIONAL</t>
  </si>
  <si>
    <t>TOTAL DO FATURAMENTO MENSAL</t>
  </si>
  <si>
    <t>CUSTO MENSAL</t>
  </si>
  <si>
    <t>GLOSA VALE TRANSPORTE</t>
  </si>
  <si>
    <t>GLOSA DE ATRASOS, FALTAS E DESCONTO DO TITULAR EM FÉRIAS (sem material)</t>
  </si>
  <si>
    <t>GLOSA VALE ALIMENTAÇÃO</t>
  </si>
  <si>
    <t>TOTAL GLOSAS</t>
  </si>
  <si>
    <t>ACRÉSCIMO DE INSALUBRIDADE</t>
  </si>
  <si>
    <t>Homem-Mês</t>
  </si>
  <si>
    <t>Custo Mensal  do vale-transporte da categoria com Encargos</t>
  </si>
  <si>
    <t xml:space="preserve">GLOSA </t>
  </si>
  <si>
    <t>Glosa de Atrasos e Faltas</t>
  </si>
  <si>
    <t>Desconto Mensal do Titular em Férias sem substituição</t>
  </si>
  <si>
    <t>Desconto de Vale Alimentação em recesso forense ou ponto facultativo.</t>
  </si>
  <si>
    <t>Total da Glosa de Atrasos, Faltas, Desconto do Titular em Férias sem substituição e Desconto de V.A para recessos.</t>
  </si>
  <si>
    <t>PAGAMENTO INSALUBRIDADE EM SUBSTITUIÇÃO</t>
  </si>
  <si>
    <t>Custo Unitário da categoria</t>
  </si>
  <si>
    <t>Custo Mensal da categoria</t>
  </si>
  <si>
    <t>Dias de afastamento</t>
  </si>
  <si>
    <t>Valor da Glosa do vale transporte da categoria</t>
  </si>
  <si>
    <t>Custo Homem-Mês               (sem material)</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</si>
  <si>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</si>
  <si>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</si>
  <si>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</si>
  <si>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</si>
  <si>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</si>
  <si>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</si>
  <si>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Valor Insalubridade por dia</t>
  </si>
  <si>
    <t>Quantidade de Dias</t>
  </si>
  <si>
    <t>Valor Devido</t>
  </si>
  <si>
    <t xml:space="preserve">TOTAL DO FATURAMENTO MENSAL </t>
  </si>
  <si>
    <t>Valor para Lance - Registro de oferta</t>
  </si>
  <si>
    <t>VALOR DO MATERIAL</t>
  </si>
  <si>
    <t>TOTAL DO FATURAMENTO ANUAL</t>
  </si>
  <si>
    <t>2. Na célula “R12” deverá ser informado a quantidade de dias em que o trabalho insalubre foi realizado por outra servente do quadro, durante as férias da titular.</t>
  </si>
  <si>
    <t>Planilha de Custo e Formação de Preço Mensal Por Categoria Profissional</t>
  </si>
  <si>
    <t>COM MATERIAL</t>
  </si>
  <si>
    <t>SEM MATERIAL</t>
  </si>
  <si>
    <t>CUSTO DE VALE ALIMENTAÇÃO</t>
  </si>
  <si>
    <t>CUSTO DE VALE-TRANSPORTE</t>
  </si>
  <si>
    <t>CUSTO INSALUBRIDADE</t>
  </si>
  <si>
    <t>33390.37.02 - Limpeza e Conservação</t>
  </si>
  <si>
    <t>MONTANTE "A" - Mão de Obra</t>
  </si>
  <si>
    <t>Função</t>
  </si>
  <si>
    <t>Carga Horária Mensal</t>
  </si>
  <si>
    <t xml:space="preserve"> Salário Base</t>
  </si>
  <si>
    <t>Adicional de Insalubridade</t>
  </si>
  <si>
    <t>Adicional Acúmulo de Função</t>
  </si>
  <si>
    <t>TOTAL DA REMUNERAÇÃO</t>
  </si>
  <si>
    <t xml:space="preserve">Encargos sociais e trabalhistas                         </t>
  </si>
  <si>
    <t>Total do Montante "A" ( Mão de Obra)</t>
  </si>
  <si>
    <t>MONTANTE "B" - INSUMOS</t>
  </si>
  <si>
    <t>Itens</t>
  </si>
  <si>
    <t>Valores Unitários</t>
  </si>
  <si>
    <t>Uniforme</t>
  </si>
  <si>
    <t xml:space="preserve">Seguro de vida  </t>
  </si>
  <si>
    <t>Material de Limpeza</t>
  </si>
  <si>
    <t>Material de Copa</t>
  </si>
  <si>
    <t>Depreciação de Equipamentos</t>
  </si>
  <si>
    <t>Total do Montante "B" (Insumos)</t>
  </si>
  <si>
    <t>Montante "A" + Montante "B"</t>
  </si>
  <si>
    <t>MONTANTE "C" - DEMAIS COMPONENTES</t>
  </si>
  <si>
    <t>ITENS</t>
  </si>
  <si>
    <t>Percentual</t>
  </si>
  <si>
    <t>Despesas administrativas/operacionais</t>
  </si>
  <si>
    <t>Base de cálculo do lucro</t>
  </si>
  <si>
    <t>Total do Montante "C" (Demais componentes)</t>
  </si>
  <si>
    <t>Montante "A" + Montante "B" + Montante "C"</t>
  </si>
  <si>
    <t>MONTANTE "D" - TRIBUTOS</t>
  </si>
  <si>
    <t>Total do Montante "D" (Tributos)</t>
  </si>
  <si>
    <t>FATOR K</t>
  </si>
  <si>
    <t>Deslocamento Insalubridade</t>
  </si>
  <si>
    <t>Valores Unitarios</t>
  </si>
  <si>
    <t>33390.37.01 - Serviços Administrativos</t>
  </si>
  <si>
    <t xml:space="preserve">ANEXO X - PLANILHA DE CUSTO E FORMAÇÃO DE PREÇO MENSAL ESTIMATIVO DO PROFISSIONAL SUBSTITUTO DO TITULAR EM FÉRIAS </t>
  </si>
  <si>
    <t xml:space="preserve">DESCRIÇÃO </t>
  </si>
  <si>
    <t>4.5</t>
  </si>
  <si>
    <t>Valor em R$</t>
  </si>
  <si>
    <t>Módulo 1 - Total da Remuneração</t>
  </si>
  <si>
    <t>A</t>
  </si>
  <si>
    <t>G</t>
  </si>
  <si>
    <t>Total do Custo MENSAL de Reposição do Profissional Ausente em Férias</t>
  </si>
  <si>
    <t>Total do Custo ANUAL de Reposição do Profissional Ausente em Férias</t>
  </si>
  <si>
    <t>Módulo 2 - Benefícios Mensais e Diários</t>
  </si>
  <si>
    <t>Vale-Alimentação</t>
  </si>
  <si>
    <t>B</t>
  </si>
  <si>
    <t>Vale-Transporte</t>
  </si>
  <si>
    <t>C</t>
  </si>
  <si>
    <t>Outros (sem concessão do intervalo intrajornada)</t>
  </si>
  <si>
    <t>Total de Benefícios Mensais e Diários</t>
  </si>
  <si>
    <t>Módulo 5 - Custos Indiretos, Lucros e Tributos</t>
  </si>
  <si>
    <t>Custos Indiretos (Despesas Operacionais e Administrativas)</t>
  </si>
  <si>
    <t>Tributos</t>
  </si>
  <si>
    <t>C.1</t>
  </si>
  <si>
    <t>Tributos Federais (PIS E COFINS)</t>
  </si>
  <si>
    <t>C.2</t>
  </si>
  <si>
    <t>Tributos Estaduais (especificar)</t>
  </si>
  <si>
    <t>C.3</t>
  </si>
  <si>
    <t>Tributos Municipais (ISS)</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</si>
  <si>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</si>
  <si>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</si>
  <si>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</si>
  <si>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</si>
  <si>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</si>
  <si>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</si>
  <si>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</si>
  <si>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</si>
  <si>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</si>
  <si>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</si>
  <si>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Subseção Judiciária de Sete Lagoas</t>
  </si>
  <si>
    <t>Período:</t>
  </si>
  <si>
    <t xml:space="preserve">ÍNDICE </t>
  </si>
  <si>
    <t>IPCA/ IBGE</t>
  </si>
  <si>
    <t>DIAS</t>
  </si>
  <si>
    <t>Pró-rata</t>
  </si>
  <si>
    <t>VALOR ATUAL</t>
  </si>
  <si>
    <t>ANO</t>
  </si>
  <si>
    <t>MÊS</t>
  </si>
  <si>
    <t>ÍNDICE %</t>
  </si>
  <si>
    <t>%</t>
  </si>
  <si>
    <t>AGO</t>
  </si>
  <si>
    <t>SET</t>
  </si>
  <si>
    <t>OUT</t>
  </si>
  <si>
    <t>NOV</t>
  </si>
  <si>
    <t>DEZ</t>
  </si>
  <si>
    <t>JAN</t>
  </si>
  <si>
    <t>FEV</t>
  </si>
  <si>
    <t>MAR</t>
  </si>
  <si>
    <t>ABR</t>
  </si>
  <si>
    <t>MAI</t>
  </si>
  <si>
    <t>JUN</t>
  </si>
  <si>
    <t>JUL</t>
  </si>
  <si>
    <t>INDICE ACUMULADO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</si>
</sst>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_-;_-@_-"/>
    <numFmt numFmtId="165" formatCode="_-&quot;R$ &quot;* #,##0.00_-;&quot;-R$ &quot;* #,##0.00_-;_-&quot;R$ &quot;* \-??_-;_-@_-"/>
    <numFmt numFmtId="166" formatCode="#,##0_ ;\-#,##0\ "/>
    <numFmt numFmtId="167" formatCode="d/m/yyyy"/>
    <numFmt numFmtId="168" formatCode="0.0000"/>
    <numFmt numFmtId="169" formatCode="_(* #,##0.00_);_(* \(#,##0.00\);_(* \-??_);_(@_)"/>
    <numFmt numFmtId="170" formatCode="* #,##0.00\ ;* \(#,##0.00\);* \-#\ ;@\ "/>
  </numFmts>
  <fonts count="46" x14ac:knownFonts="1">
    <font>
      <sz val="11"/>
      <color rgb="FF000000"/>
      <name val="Calibri"/>
      <family val="2"/>
      <charset val="1"/>
    </font>
    <font>
      <sz val="11"/>
      <name val="Calibri"/>
      <family val="2"/>
      <charset val="1"/>
    </font>
    <font>
      <sz val="10"/>
      <color rgb="FF333333"/>
      <name val="Calibri"/>
      <family val="2"/>
      <charset val="1"/>
    </font>
    <font>
      <b/>
      <sz val="18"/>
      <name val="Calibri"/>
      <family val="2"/>
      <charset val="1"/>
    </font>
    <font>
      <b/>
      <sz val="16"/>
      <name val="Calibri"/>
      <family val="2"/>
      <charset val="1"/>
    </font>
    <font>
      <b/>
      <sz val="11"/>
      <name val="Calibri"/>
      <family val="2"/>
      <charset val="1"/>
    </font>
    <font>
      <sz val="12"/>
      <name val="Calibri"/>
      <family val="2"/>
      <charset val="1"/>
    </font>
    <font>
      <b/>
      <sz val="10"/>
      <name val="Calibri"/>
      <family val="2"/>
      <charset val="1"/>
    </font>
    <font>
      <b/>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b/>
      <i/>
      <u/>
      <sz val="11"/>
      <name val="Calibri"/>
      <family val="2"/>
      <charset val="1"/>
    </font>
    <font>
      <sz val="11"/>
      <color rgb="FFFF0000"/>
      <name val="Calibri"/>
      <family val="2"/>
      <charset val="1"/>
    </font>
    <font>
      <b/>
      <u/>
      <sz val="10"/>
      <name val="Calibri"/>
      <family val="2"/>
      <charset val="1"/>
    </font>
    <font>
      <sz val="10"/>
      <color rgb="FF000000"/>
      <name val="Calibri"/>
      <family val="2"/>
      <charset val="1"/>
    </font>
    <font>
      <sz val="8"/>
      <name val="Calibri"/>
      <family val="2"/>
      <charset val="1"/>
    </font>
    <font>
      <b/>
      <sz val="12"/>
      <name val="Calibri"/>
      <family val="2"/>
      <charset val="1"/>
    </font>
    <font>
      <sz val="10"/>
      <color rgb="FFFFFFFF"/>
      <name val="Calibri"/>
      <family val="2"/>
      <charset val="1"/>
    </font>
    <font>
      <b/>
      <sz val="14"/>
      <name val="Calibri"/>
      <family val="2"/>
      <charset val="1"/>
    </font>
    <font>
      <b/>
      <sz val="11"/>
      <color rgb="FF000000"/>
      <name val="Calibri"/>
      <family val="2"/>
      <charset val="1"/>
    </font>
    <font>
      <b/>
      <sz val="11"/>
      <color rgb="FFFF0000"/>
      <name val="Calibri"/>
      <family val="2"/>
      <charset val="1"/>
    </font>
    <font>
      <b/>
      <sz val="12"/>
      <color rgb="FF333333"/>
      <name val="Calibri"/>
      <family val="2"/>
      <charset val="1"/>
    </font>
    <font>
      <b/>
      <sz val="11"/>
      <color rgb="FF333333"/>
      <name val="Calibri"/>
      <family val="2"/>
      <charset val="1"/>
    </font>
    <font>
      <b/>
      <sz val="9"/>
      <color rgb="FF333333"/>
      <name val="Calibri"/>
      <family val="2"/>
      <charset val="1"/>
    </font>
    <font>
      <b/>
      <sz val="9"/>
      <name val="Calibri"/>
      <family val="2"/>
      <charset val="1"/>
    </font>
    <font>
      <b/>
      <sz val="10"/>
      <color rgb="FF000000"/>
      <name val="Calibri"/>
      <family val="2"/>
      <charset val="1"/>
    </font>
    <font>
      <b/>
      <sz val="8"/>
      <name val="Calibri"/>
      <family val="2"/>
      <charset val="1"/>
    </font>
    <font>
      <b/>
      <sz val="9"/>
      <color rgb="FFFF0000"/>
      <name val="Calibri"/>
      <family val="2"/>
      <charset val="1"/>
    </font>
    <font>
      <b/>
      <sz val="6"/>
      <name val="Calibri"/>
      <family val="2"/>
      <charset val="1"/>
    </font>
    <font>
      <b/>
      <sz val="12"/>
      <color rgb="FFBFBFBF"/>
      <name val="Calibri"/>
      <family val="2"/>
      <charset val="1"/>
    </font>
    <font>
      <b/>
      <sz val="10"/>
      <color rgb="FFC00000"/>
      <name val="Calibri"/>
      <family val="2"/>
      <charset val="1"/>
    </font>
    <font>
      <sz val="10"/>
      <color rgb="FFC00000"/>
      <name val="Calibri"/>
      <family val="2"/>
      <charset val="1"/>
    </font>
    <font>
      <b/>
      <sz val="12"/>
      <name val="Times New Roman"/>
      <family val="1"/>
      <charset val="1"/>
    </font>
    <font>
      <b/>
      <sz val="7"/>
      <name val="Calibri"/>
      <family val="2"/>
      <charset val="1"/>
    </font>
    <font>
      <b/>
      <sz val="28"/>
      <name val="Calibri"/>
      <family val="2"/>
      <charset val="1"/>
    </font>
    <font>
      <b/>
      <sz val="12"/>
      <color rgb="FFCCFFCC"/>
      <name val="Calibri"/>
      <family val="2"/>
      <charset val="1"/>
    </font>
    <font>
      <sz val="14"/>
      <name val="Calibri"/>
      <family val="2"/>
      <charset val="1"/>
    </font>
    <font>
      <b/>
      <sz val="12.5"/>
      <name val="Calibri"/>
      <family val="2"/>
      <charset val="1"/>
    </font>
    <font>
      <b/>
      <sz val="12"/>
      <color rgb="FF000000"/>
      <name val="Calibri"/>
      <family val="2"/>
      <charset val="1"/>
    </font>
    <font>
      <b/>
      <sz val="9"/>
      <color rgb="FF000000"/>
      <name val="Calibri"/>
      <family val="2"/>
      <charset val="1"/>
    </font>
    <font>
      <b/>
      <sz val="10"/>
      <color rgb="FFFFFFFF"/>
      <name val="Calibri"/>
      <family val="2"/>
      <charset val="1"/>
    </font>
    <font>
      <sz val="10"/>
      <name val="Times New Roman"/>
      <family val="1"/>
      <charset val="1"/>
    </font>
    <font>
      <b/>
      <sz val="8"/>
      <color rgb="FFFF0000"/>
      <name val="Calibri"/>
      <family val="2"/>
      <charset val="1"/>
    </font>
    <font>
      <sz val="11"/>
      <color rgb="FF000000"/>
      <name val="Calibri"/>
      <family val="2"/>
      <charset val="1"/>
    </font>
  </fonts>
  <fills count="21">
    <fill>
      <patternFill patternType="none"/>
    </fill>
    <fill>
      <patternFill patternType="gray125"/>
    </fill>
    <fill>
      <patternFill patternType="solid">
        <fgColor rgb="FFFFFF99"/>
        <bgColor rgb="FFFFFFCC"/>
      </patternFill>
    </fill>
    <fill>
      <patternFill patternType="solid">
        <fgColor rgb="FFF8CBAD"/>
        <bgColor rgb="FFFFC7CE"/>
      </patternFill>
    </fill>
    <fill>
      <patternFill patternType="solid">
        <fgColor rgb="FFFFFFCC"/>
        <bgColor rgb="FFFFF2CC"/>
      </patternFill>
    </fill>
    <fill>
      <patternFill patternType="solid">
        <fgColor rgb="FFDCE6F2"/>
        <bgColor rgb="FFDEEBF7"/>
      </patternFill>
    </fill>
    <fill>
      <patternFill patternType="solid">
        <fgColor rgb="FFF2DCDB"/>
        <bgColor rgb="FFD9D9D9"/>
      </patternFill>
    </fill>
    <fill>
      <patternFill patternType="solid">
        <fgColor rgb="FF606060"/>
        <bgColor rgb="FF595959"/>
      </patternFill>
    </fill>
    <fill>
      <patternFill patternType="solid">
        <fgColor rgb="FFFFFFFF"/>
        <bgColor rgb="FFF2F2F2"/>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rgb="FF595959"/>
        <bgColor rgb="FF606060"/>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FFF2CC"/>
        <bgColor rgb="FFFFFFCC"/>
      </patternFill>
    </fill>
    <fill>
      <patternFill patternType="solid">
        <fgColor rgb="FFADB9CA"/>
        <bgColor rgb="FFBFBFBF"/>
      </patternFill>
    </fill>
    <fill>
      <patternFill patternType="solid">
        <fgColor rgb="FF00B0F0"/>
        <bgColor rgb="FF33CCCC"/>
      </patternFill>
    </fill>
    <fill>
      <patternFill patternType="solid">
        <fgColor rgb="FF808080"/>
        <bgColor rgb="FF606060"/>
      </patternFill>
    </fill>
  </fills>
  <borders count="71">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bottom/>
      <diagonal/>
    </border>
    <border>
      <left/>
      <right/>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medium">
        <color auto="1"/>
      </right>
      <top/>
      <bottom style="medium">
        <color auto="1"/>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style="thin">
        <color auto="1"/>
      </left>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thin">
        <color auto="1"/>
      </right>
      <top/>
      <bottom/>
      <diagonal/>
    </border>
    <border>
      <left style="medium">
        <color auto="1"/>
      </left>
      <right style="thin">
        <color auto="1"/>
      </right>
      <top/>
      <bottom/>
      <diagonal/>
    </border>
    <border>
      <left style="medium">
        <color auto="1"/>
      </left>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diagonal/>
    </border>
  </borders>
  <cellStyleXfs count="5">
    <xf numFmtId="0" fontId="0" fillId="0" borderId="0"/>
    <xf numFmtId="164" fontId="45" fillId="0" borderId="0" applyBorder="0" applyProtection="0"/>
    <xf numFmtId="165" fontId="45" fillId="0" borderId="0" applyBorder="0" applyProtection="0"/>
    <xf numFmtId="9" fontId="45" fillId="0" borderId="0" applyBorder="0" applyProtection="0"/>
    <xf numFmtId="170" fontId="43" fillId="0" borderId="0" applyBorder="0" applyProtection="0"/>
  </cellStyleXfs>
  <cellXfs count="727">
    <xf numFmtId="0" fontId="0" fillId="0" borderId="0" xfId="0"/>
    <xf numFmtId="0" fontId="7" fillId="5" borderId="4" xfId="0" applyFont="1" applyFill="1" applyBorder="1" applyAlignment="1">
      <alignment horizontal="center" vertical="center" wrapText="1"/>
    </xf>
    <xf numFmtId="0" fontId="3" fillId="0" borderId="0" xfId="0" applyFont="1" applyAlignment="1">
      <alignment horizontal="center" vertical="top"/>
    </xf>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1" xfId="0" applyFont="1" applyBorder="1"/>
    <xf numFmtId="0" fontId="2" fillId="0" borderId="2" xfId="0" applyFont="1" applyBorder="1" applyAlignment="1">
      <alignment horizontal="left" vertical="center"/>
    </xf>
    <xf numFmtId="0" fontId="3" fillId="0" borderId="0" xfId="0" applyFont="1" applyAlignment="1">
      <alignment vertical="center"/>
    </xf>
    <xf numFmtId="0" fontId="1" fillId="0" borderId="3" xfId="0" applyFont="1" applyBorder="1" applyAlignment="1">
      <alignment vertical="top"/>
    </xf>
    <xf numFmtId="0" fontId="2" fillId="0" borderId="0" xfId="0" applyFont="1" applyAlignment="1">
      <alignment horizontal="left" vertical="center"/>
    </xf>
    <xf numFmtId="0" fontId="3" fillId="0" borderId="0" xfId="0" applyFont="1" applyAlignment="1">
      <alignment vertical="top"/>
    </xf>
    <xf numFmtId="0" fontId="1" fillId="0" borderId="0" xfId="0" applyFont="1" applyAlignment="1">
      <alignment vertical="top"/>
    </xf>
    <xf numFmtId="0" fontId="2" fillId="0" borderId="0" xfId="0" applyFont="1" applyAlignment="1">
      <alignment horizontal="left" vertical="top"/>
    </xf>
    <xf numFmtId="0" fontId="5" fillId="2"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left" vertical="center"/>
    </xf>
    <xf numFmtId="0" fontId="3"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1" fontId="9" fillId="0" borderId="17" xfId="0" applyNumberFormat="1" applyFont="1" applyBorder="1" applyAlignment="1">
      <alignment horizontal="center" vertical="center"/>
    </xf>
    <xf numFmtId="0" fontId="9" fillId="0" borderId="4" xfId="0" applyFont="1" applyBorder="1" applyAlignment="1">
      <alignment vertical="center" wrapText="1"/>
    </xf>
    <xf numFmtId="1" fontId="9" fillId="0" borderId="4" xfId="0" applyNumberFormat="1" applyFont="1" applyBorder="1" applyAlignment="1">
      <alignment horizontal="center" vertical="center"/>
    </xf>
    <xf numFmtId="0" fontId="11" fillId="6" borderId="18" xfId="0" applyFont="1" applyFill="1" applyBorder="1" applyAlignment="1" applyProtection="1">
      <alignment horizontal="center" vertical="center"/>
      <protection locked="0"/>
    </xf>
    <xf numFmtId="0" fontId="11" fillId="6" borderId="4" xfId="0" applyFont="1" applyFill="1" applyBorder="1" applyAlignment="1" applyProtection="1">
      <alignment horizontal="center" vertical="center"/>
      <protection locked="0"/>
    </xf>
    <xf numFmtId="2" fontId="11" fillId="6" borderId="17" xfId="0" applyNumberFormat="1" applyFont="1" applyFill="1" applyBorder="1" applyAlignment="1" applyProtection="1">
      <alignment horizontal="center" vertical="center"/>
      <protection locked="0"/>
    </xf>
    <xf numFmtId="2" fontId="9" fillId="0" borderId="19" xfId="0" applyNumberFormat="1" applyFont="1" applyBorder="1" applyAlignment="1">
      <alignment horizontal="center" vertical="center"/>
    </xf>
    <xf numFmtId="0" fontId="11" fillId="6" borderId="20" xfId="0" applyFont="1" applyFill="1" applyBorder="1" applyAlignment="1" applyProtection="1">
      <alignment horizontal="center" vertical="center"/>
      <protection locked="0"/>
    </xf>
    <xf numFmtId="164" fontId="12" fillId="7" borderId="20" xfId="0" applyNumberFormat="1" applyFont="1" applyFill="1" applyBorder="1" applyAlignment="1">
      <alignment horizontal="center" vertical="center"/>
    </xf>
    <xf numFmtId="164" fontId="9" fillId="0" borderId="21" xfId="0" applyNumberFormat="1" applyFont="1" applyBorder="1" applyAlignment="1">
      <alignment horizontal="center" vertical="center"/>
    </xf>
    <xf numFmtId="164" fontId="12" fillId="7" borderId="4" xfId="0" applyNumberFormat="1" applyFont="1" applyFill="1" applyBorder="1" applyAlignment="1">
      <alignment horizontal="center" vertical="center"/>
    </xf>
    <xf numFmtId="165" fontId="9" fillId="0" borderId="4" xfId="0" applyNumberFormat="1" applyFont="1" applyBorder="1" applyAlignment="1">
      <alignment horizontal="center" vertical="center"/>
    </xf>
    <xf numFmtId="0" fontId="9" fillId="0" borderId="4" xfId="0" applyFont="1" applyBorder="1" applyAlignment="1">
      <alignment horizontal="center" vertical="center"/>
    </xf>
    <xf numFmtId="165" fontId="9" fillId="0" borderId="4" xfId="2" applyFont="1" applyBorder="1" applyAlignment="1" applyProtection="1">
      <alignment horizontal="center" vertical="center"/>
    </xf>
    <xf numFmtId="0" fontId="9" fillId="0" borderId="21" xfId="0" applyFont="1" applyBorder="1" applyAlignment="1">
      <alignment horizontal="center" vertical="center"/>
    </xf>
    <xf numFmtId="1" fontId="9" fillId="0" borderId="22" xfId="0" applyNumberFormat="1" applyFont="1" applyBorder="1" applyAlignment="1">
      <alignment horizontal="center" vertical="center"/>
    </xf>
    <xf numFmtId="1" fontId="9" fillId="0" borderId="23" xfId="0" applyNumberFormat="1" applyFont="1" applyBorder="1" applyAlignment="1">
      <alignment horizontal="center" vertical="center"/>
    </xf>
    <xf numFmtId="0" fontId="11" fillId="6" borderId="23" xfId="0" applyFont="1" applyFill="1" applyBorder="1" applyAlignment="1" applyProtection="1">
      <alignment horizontal="center" vertical="center"/>
      <protection locked="0"/>
    </xf>
    <xf numFmtId="0" fontId="11" fillId="6" borderId="24" xfId="0" applyFont="1" applyFill="1" applyBorder="1" applyAlignment="1" applyProtection="1">
      <alignment horizontal="center" vertical="center"/>
      <protection locked="0"/>
    </xf>
    <xf numFmtId="2" fontId="11" fillId="6" borderId="22" xfId="0" applyNumberFormat="1" applyFont="1" applyFill="1" applyBorder="1" applyAlignment="1" applyProtection="1">
      <alignment horizontal="center" vertical="center"/>
      <protection locked="0"/>
    </xf>
    <xf numFmtId="2" fontId="9" fillId="0" borderId="25" xfId="0" applyNumberFormat="1" applyFont="1" applyBorder="1" applyAlignment="1">
      <alignment horizontal="center" vertical="center"/>
    </xf>
    <xf numFmtId="0" fontId="11" fillId="6" borderId="26" xfId="0" applyFont="1" applyFill="1" applyBorder="1" applyAlignment="1" applyProtection="1">
      <alignment horizontal="center" vertical="center"/>
      <protection locked="0"/>
    </xf>
    <xf numFmtId="0" fontId="7" fillId="5" borderId="27" xfId="0" applyFont="1" applyFill="1" applyBorder="1" applyAlignment="1">
      <alignment horizontal="center" vertical="center" wrapText="1"/>
    </xf>
    <xf numFmtId="4" fontId="7" fillId="5" borderId="29" xfId="0" applyNumberFormat="1"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22" xfId="0" applyFont="1" applyFill="1" applyBorder="1" applyAlignment="1">
      <alignment vertical="center" wrapText="1"/>
    </xf>
    <xf numFmtId="0" fontId="9" fillId="0" borderId="0" xfId="0" applyFont="1" applyAlignment="1">
      <alignment vertical="center"/>
    </xf>
    <xf numFmtId="0" fontId="13"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9"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center" vertical="center" wrapText="1"/>
    </xf>
    <xf numFmtId="0" fontId="9" fillId="0" borderId="0" xfId="0" applyFont="1" applyAlignment="1">
      <alignment horizontal="center" vertical="center"/>
    </xf>
    <xf numFmtId="0" fontId="9" fillId="0" borderId="4" xfId="0" applyFont="1" applyBorder="1" applyAlignment="1" applyProtection="1">
      <alignment horizontal="center" vertical="center"/>
      <protection locked="0"/>
    </xf>
    <xf numFmtId="2" fontId="9" fillId="0" borderId="4" xfId="0" applyNumberFormat="1" applyFont="1" applyBorder="1" applyAlignment="1" applyProtection="1">
      <alignment horizontal="center" vertical="center"/>
      <protection locked="0"/>
    </xf>
    <xf numFmtId="165" fontId="1" fillId="0" borderId="0" xfId="2" applyFont="1" applyBorder="1" applyAlignment="1" applyProtection="1">
      <alignment horizontal="center" vertical="center"/>
    </xf>
    <xf numFmtId="0" fontId="7" fillId="0" borderId="0" xfId="0" applyFont="1" applyAlignment="1">
      <alignment horizontal="center" vertical="center" wrapText="1"/>
    </xf>
    <xf numFmtId="0" fontId="9" fillId="0" borderId="0" xfId="0" applyFont="1"/>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center" wrapText="1"/>
    </xf>
    <xf numFmtId="0" fontId="11" fillId="6" borderId="12" xfId="0" applyFont="1" applyFill="1" applyBorder="1" applyAlignment="1" applyProtection="1">
      <alignment horizontal="center" vertical="center"/>
      <protection locked="0"/>
    </xf>
    <xf numFmtId="0" fontId="9" fillId="0" borderId="14" xfId="0" applyFont="1" applyBorder="1" applyAlignment="1">
      <alignment horizontal="center" vertical="center"/>
    </xf>
    <xf numFmtId="0" fontId="10" fillId="0" borderId="11" xfId="0" applyFont="1" applyBorder="1" applyAlignment="1">
      <alignment horizontal="center" vertical="center" wrapText="1"/>
    </xf>
    <xf numFmtId="166" fontId="9" fillId="0" borderId="12"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xf>
    <xf numFmtId="1" fontId="2" fillId="0" borderId="17" xfId="0" applyNumberFormat="1" applyFont="1" applyBorder="1" applyAlignment="1">
      <alignment horizontal="center" vertical="center" wrapText="1"/>
    </xf>
    <xf numFmtId="0" fontId="16" fillId="0" borderId="4" xfId="0" applyFont="1" applyBorder="1" applyAlignment="1">
      <alignment vertical="center" wrapText="1"/>
    </xf>
    <xf numFmtId="165" fontId="7" fillId="5" borderId="14" xfId="2" applyFont="1" applyFill="1" applyBorder="1" applyAlignment="1" applyProtection="1">
      <alignment horizontal="center" vertical="center" wrapText="1"/>
    </xf>
    <xf numFmtId="10" fontId="7" fillId="5" borderId="21" xfId="0" applyNumberFormat="1" applyFont="1" applyFill="1" applyBorder="1" applyAlignment="1">
      <alignment horizontal="center" vertical="center" wrapText="1"/>
    </xf>
    <xf numFmtId="165" fontId="7" fillId="5" borderId="19" xfId="2" applyFont="1" applyFill="1" applyBorder="1" applyAlignment="1" applyProtection="1">
      <alignment horizontal="center" vertical="center" wrapText="1"/>
    </xf>
    <xf numFmtId="165" fontId="7" fillId="5" borderId="25" xfId="2" applyFont="1" applyFill="1" applyBorder="1" applyAlignment="1" applyProtection="1">
      <alignment horizontal="center" vertical="center" wrapText="1"/>
    </xf>
    <xf numFmtId="0" fontId="9" fillId="0" borderId="0" xfId="0" applyFont="1" applyAlignment="1">
      <alignment horizontal="center"/>
    </xf>
    <xf numFmtId="1" fontId="9" fillId="0" borderId="17"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65" fontId="7" fillId="5" borderId="34" xfId="2" applyFont="1" applyFill="1" applyBorder="1" applyAlignment="1" applyProtection="1">
      <alignment horizontal="center" vertical="center" wrapText="1"/>
    </xf>
    <xf numFmtId="0" fontId="1" fillId="0" borderId="4" xfId="0" applyFont="1" applyBorder="1"/>
    <xf numFmtId="3" fontId="1" fillId="0" borderId="18" xfId="0" applyNumberFormat="1" applyFont="1" applyBorder="1" applyAlignment="1">
      <alignment horizontal="center" vertical="center"/>
    </xf>
    <xf numFmtId="0" fontId="1" fillId="0" borderId="18" xfId="0" applyFont="1" applyBorder="1" applyAlignment="1">
      <alignment horizontal="center" vertical="center"/>
    </xf>
    <xf numFmtId="0" fontId="1" fillId="0" borderId="4" xfId="0" applyFont="1" applyBorder="1" applyAlignment="1">
      <alignment horizontal="left"/>
    </xf>
    <xf numFmtId="0" fontId="9" fillId="0" borderId="0" xfId="0" applyFont="1" applyAlignment="1">
      <alignment horizontal="left"/>
    </xf>
    <xf numFmtId="0" fontId="17" fillId="0" borderId="1" xfId="0" applyFont="1" applyBorder="1"/>
    <xf numFmtId="0" fontId="2" fillId="0" borderId="2" xfId="0" applyFont="1" applyBorder="1" applyAlignment="1">
      <alignment vertical="center"/>
    </xf>
    <xf numFmtId="0" fontId="17" fillId="0" borderId="3" xfId="0" applyFont="1" applyBorder="1"/>
    <xf numFmtId="0" fontId="2" fillId="0" borderId="0" xfId="0" applyFont="1" applyAlignment="1">
      <alignment vertical="center"/>
    </xf>
    <xf numFmtId="0" fontId="18" fillId="0" borderId="0" xfId="0" applyFont="1" applyAlignment="1">
      <alignment horizontal="center" vertical="center"/>
    </xf>
    <xf numFmtId="0" fontId="7" fillId="0" borderId="0" xfId="0" applyFont="1" applyAlignment="1">
      <alignment horizontal="center" vertical="center"/>
    </xf>
    <xf numFmtId="0" fontId="15" fillId="0" borderId="0" xfId="0" applyFont="1" applyAlignment="1">
      <alignment horizontal="left"/>
    </xf>
    <xf numFmtId="0" fontId="9" fillId="2" borderId="9" xfId="0" applyFont="1" applyFill="1" applyBorder="1" applyAlignment="1">
      <alignment horizontal="left"/>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xf>
    <xf numFmtId="0" fontId="9" fillId="2" borderId="0" xfId="0" applyFont="1" applyFill="1"/>
    <xf numFmtId="0" fontId="7" fillId="0" borderId="0" xfId="0" applyFont="1"/>
    <xf numFmtId="0" fontId="9" fillId="9" borderId="0" xfId="0" applyFont="1" applyFill="1"/>
    <xf numFmtId="0" fontId="19" fillId="10" borderId="0" xfId="0" applyFont="1" applyFill="1"/>
    <xf numFmtId="0" fontId="9" fillId="9" borderId="0" xfId="0" applyFont="1" applyFill="1" applyAlignment="1">
      <alignment vertical="center"/>
    </xf>
    <xf numFmtId="0" fontId="9" fillId="8" borderId="0" xfId="0" applyFont="1" applyFill="1" applyAlignment="1">
      <alignment vertical="center"/>
    </xf>
    <xf numFmtId="0" fontId="2" fillId="0" borderId="0" xfId="0" applyFont="1"/>
    <xf numFmtId="0" fontId="20" fillId="0" borderId="0" xfId="0" applyFont="1" applyAlignment="1">
      <alignment horizontal="left" vertical="center"/>
    </xf>
    <xf numFmtId="0" fontId="1" fillId="0" borderId="0" xfId="0" applyFont="1" applyAlignment="1">
      <alignment vertical="center"/>
    </xf>
    <xf numFmtId="167" fontId="5" fillId="0" borderId="0" xfId="0" applyNumberFormat="1" applyFont="1" applyAlignment="1">
      <alignment horizontal="left" vertical="center"/>
    </xf>
    <xf numFmtId="0" fontId="5" fillId="0" borderId="0" xfId="0" applyFont="1" applyAlignment="1">
      <alignment vertical="center" wrapText="1"/>
    </xf>
    <xf numFmtId="0" fontId="9" fillId="11" borderId="4" xfId="0" applyFont="1" applyFill="1" applyBorder="1" applyAlignment="1">
      <alignment horizontal="center" vertical="center" wrapText="1"/>
    </xf>
    <xf numFmtId="0" fontId="5" fillId="11" borderId="4" xfId="0" applyFont="1" applyFill="1" applyBorder="1" applyAlignment="1">
      <alignment horizontal="center" vertical="center" wrapText="1"/>
    </xf>
    <xf numFmtId="168" fontId="6" fillId="0" borderId="0" xfId="0" applyNumberFormat="1" applyFont="1" applyAlignment="1">
      <alignment vertical="center"/>
    </xf>
    <xf numFmtId="0" fontId="5" fillId="0" borderId="4" xfId="0" applyFont="1" applyBorder="1" applyAlignment="1">
      <alignment horizontal="center" vertical="center" wrapText="1"/>
    </xf>
    <xf numFmtId="1" fontId="1" fillId="0" borderId="4" xfId="0" applyNumberFormat="1" applyFont="1" applyBorder="1" applyAlignment="1">
      <alignment horizontal="center" vertical="center"/>
    </xf>
    <xf numFmtId="0" fontId="1" fillId="0" borderId="4" xfId="0" applyFont="1" applyBorder="1" applyAlignment="1">
      <alignment vertical="center" wrapText="1"/>
    </xf>
    <xf numFmtId="4" fontId="1" fillId="2" borderId="4" xfId="1" applyNumberFormat="1" applyFont="1" applyFill="1" applyBorder="1" applyAlignment="1" applyProtection="1">
      <alignment horizontal="center" vertical="center"/>
      <protection locked="0"/>
    </xf>
    <xf numFmtId="4" fontId="1" fillId="0" borderId="4" xfId="1" applyNumberFormat="1" applyFont="1" applyBorder="1" applyAlignment="1" applyProtection="1">
      <alignment horizontal="center" vertical="center"/>
    </xf>
    <xf numFmtId="10" fontId="1" fillId="0" borderId="4" xfId="3" applyNumberFormat="1" applyFont="1" applyBorder="1" applyAlignment="1" applyProtection="1">
      <alignment horizontal="center" vertical="center"/>
    </xf>
    <xf numFmtId="4" fontId="5" fillId="0" borderId="4" xfId="1" applyNumberFormat="1" applyFont="1" applyBorder="1" applyAlignment="1" applyProtection="1">
      <alignment horizontal="center" vertical="center"/>
    </xf>
    <xf numFmtId="3" fontId="1" fillId="0" borderId="4" xfId="0" applyNumberFormat="1" applyFont="1" applyBorder="1" applyAlignment="1">
      <alignment horizontal="center" vertical="center"/>
    </xf>
    <xf numFmtId="164" fontId="12" fillId="7" borderId="4" xfId="1" applyFont="1" applyFill="1" applyBorder="1" applyAlignment="1" applyProtection="1">
      <alignment horizontal="center" vertical="center"/>
    </xf>
    <xf numFmtId="10" fontId="1" fillId="2" borderId="4" xfId="3" applyNumberFormat="1" applyFont="1" applyFill="1" applyBorder="1" applyAlignment="1" applyProtection="1">
      <alignment horizontal="center" vertical="center"/>
      <protection locked="0"/>
    </xf>
    <xf numFmtId="10" fontId="1" fillId="8" borderId="4" xfId="3" applyNumberFormat="1" applyFont="1" applyFill="1" applyBorder="1" applyAlignment="1" applyProtection="1">
      <alignment horizontal="center" vertical="center"/>
    </xf>
    <xf numFmtId="2" fontId="1" fillId="0" borderId="4" xfId="3" applyNumberFormat="1" applyFont="1" applyBorder="1" applyAlignment="1" applyProtection="1">
      <alignment horizontal="center" vertical="center"/>
    </xf>
    <xf numFmtId="10" fontId="1" fillId="12" borderId="4" xfId="3" applyNumberFormat="1" applyFont="1" applyFill="1" applyBorder="1" applyAlignment="1" applyProtection="1">
      <alignment horizontal="center" vertical="center"/>
      <protection locked="0"/>
    </xf>
    <xf numFmtId="4" fontId="1" fillId="12" borderId="4" xfId="1" applyNumberFormat="1" applyFont="1" applyFill="1" applyBorder="1" applyAlignment="1" applyProtection="1">
      <alignment horizontal="center" vertical="center"/>
      <protection locked="0"/>
    </xf>
    <xf numFmtId="2" fontId="1" fillId="12" borderId="4" xfId="3" applyNumberFormat="1" applyFont="1" applyFill="1" applyBorder="1" applyAlignment="1" applyProtection="1">
      <alignment horizontal="center" vertical="center"/>
    </xf>
    <xf numFmtId="4" fontId="1" fillId="0" borderId="4" xfId="0" applyNumberFormat="1" applyFont="1" applyBorder="1" applyAlignment="1">
      <alignment horizontal="center" vertical="center"/>
    </xf>
    <xf numFmtId="0" fontId="5" fillId="0" borderId="4" xfId="0" applyFont="1" applyBorder="1" applyAlignment="1">
      <alignment vertical="center"/>
    </xf>
    <xf numFmtId="0" fontId="5" fillId="0" borderId="0" xfId="0" applyFont="1" applyAlignment="1">
      <alignment vertical="center"/>
    </xf>
    <xf numFmtId="0" fontId="5" fillId="0" borderId="12" xfId="0" applyFont="1" applyBorder="1" applyAlignment="1">
      <alignment horizontal="center" vertical="center"/>
    </xf>
    <xf numFmtId="4" fontId="5" fillId="0" borderId="12" xfId="1" applyNumberFormat="1" applyFont="1" applyBorder="1" applyAlignment="1" applyProtection="1">
      <alignment horizontal="center" vertical="center"/>
    </xf>
    <xf numFmtId="0" fontId="5" fillId="11" borderId="4" xfId="0" applyFont="1" applyFill="1" applyBorder="1" applyAlignment="1">
      <alignment horizontal="center" vertical="center"/>
    </xf>
    <xf numFmtId="0" fontId="1" fillId="0" borderId="4" xfId="0" applyFont="1" applyBorder="1" applyAlignment="1">
      <alignment horizontal="center" vertical="center"/>
    </xf>
    <xf numFmtId="0" fontId="1" fillId="0" borderId="40" xfId="0" applyFont="1" applyBorder="1" applyAlignment="1">
      <alignment vertical="center"/>
    </xf>
    <xf numFmtId="10" fontId="5" fillId="0" borderId="4" xfId="3" applyNumberFormat="1" applyFont="1" applyBorder="1" applyAlignment="1" applyProtection="1">
      <alignment horizontal="center" vertical="center"/>
    </xf>
    <xf numFmtId="2" fontId="1" fillId="2" borderId="4" xfId="0" applyNumberFormat="1" applyFont="1" applyFill="1" applyBorder="1" applyAlignment="1" applyProtection="1">
      <alignment horizontal="center" vertical="center"/>
      <protection locked="0"/>
    </xf>
    <xf numFmtId="0" fontId="1" fillId="0" borderId="18" xfId="0" applyFont="1" applyBorder="1" applyAlignment="1">
      <alignment vertical="center"/>
    </xf>
    <xf numFmtId="0" fontId="1" fillId="0" borderId="41" xfId="0" applyFont="1" applyBorder="1" applyAlignment="1">
      <alignment vertical="center"/>
    </xf>
    <xf numFmtId="164" fontId="1" fillId="0" borderId="21" xfId="1" applyFont="1" applyBorder="1" applyAlignment="1" applyProtection="1">
      <alignment vertical="center"/>
    </xf>
    <xf numFmtId="0" fontId="1" fillId="2" borderId="4" xfId="0" applyFont="1" applyFill="1" applyBorder="1" applyAlignment="1" applyProtection="1">
      <alignment horizontal="center" vertical="center"/>
      <protection locked="0"/>
    </xf>
    <xf numFmtId="0" fontId="1" fillId="0" borderId="40" xfId="0" applyFont="1" applyBorder="1" applyAlignment="1">
      <alignment horizontal="center" vertical="center"/>
    </xf>
    <xf numFmtId="2" fontId="1" fillId="2" borderId="4" xfId="0" applyNumberFormat="1" applyFont="1" applyFill="1" applyBorder="1" applyAlignment="1" applyProtection="1">
      <alignment horizontal="center" vertical="center" wrapText="1"/>
      <protection locked="0"/>
    </xf>
    <xf numFmtId="4" fontId="21" fillId="0" borderId="4" xfId="0" applyNumberFormat="1" applyFont="1" applyBorder="1" applyAlignment="1">
      <alignment horizontal="center" vertical="center"/>
    </xf>
    <xf numFmtId="10" fontId="1" fillId="2" borderId="4" xfId="0" applyNumberFormat="1" applyFont="1" applyFill="1" applyBorder="1" applyAlignment="1" applyProtection="1">
      <alignment horizontal="center" vertical="center"/>
      <protection locked="0"/>
    </xf>
    <xf numFmtId="164" fontId="1" fillId="0" borderId="0" xfId="1" applyFont="1" applyBorder="1" applyProtection="1"/>
    <xf numFmtId="10" fontId="14" fillId="0" borderId="4" xfId="0" applyNumberFormat="1" applyFont="1" applyBorder="1" applyAlignment="1">
      <alignment horizontal="center" vertical="center"/>
    </xf>
    <xf numFmtId="0" fontId="14" fillId="0" borderId="4" xfId="0" applyFont="1" applyBorder="1" applyAlignment="1">
      <alignment horizontal="center" vertical="center"/>
    </xf>
    <xf numFmtId="167" fontId="1" fillId="0" borderId="4" xfId="0" applyNumberFormat="1" applyFont="1" applyBorder="1" applyAlignment="1">
      <alignment horizontal="center" vertical="center"/>
    </xf>
    <xf numFmtId="2" fontId="1" fillId="0" borderId="4" xfId="0" applyNumberFormat="1" applyFont="1" applyBorder="1" applyAlignment="1">
      <alignment horizontal="center" vertical="center"/>
    </xf>
    <xf numFmtId="0" fontId="1" fillId="0" borderId="0" xfId="0" applyFont="1" applyAlignment="1">
      <alignment horizontal="left"/>
    </xf>
    <xf numFmtId="0" fontId="22" fillId="11" borderId="4" xfId="0" applyFont="1" applyFill="1" applyBorder="1" applyAlignment="1">
      <alignment horizontal="center" vertical="center" wrapText="1"/>
    </xf>
    <xf numFmtId="0" fontId="1" fillId="0" borderId="33" xfId="0" applyFont="1" applyBorder="1"/>
    <xf numFmtId="0" fontId="1" fillId="0" borderId="12" xfId="0" applyFont="1" applyBorder="1"/>
    <xf numFmtId="0" fontId="2" fillId="0" borderId="1" xfId="0" applyFont="1" applyBorder="1"/>
    <xf numFmtId="0" fontId="2" fillId="0" borderId="44" xfId="0" applyFont="1" applyBorder="1" applyAlignment="1">
      <alignment vertical="center"/>
    </xf>
    <xf numFmtId="0" fontId="2" fillId="0" borderId="3" xfId="0" applyFont="1" applyBorder="1"/>
    <xf numFmtId="0" fontId="2" fillId="0" borderId="45" xfId="0" applyFont="1" applyBorder="1" applyAlignment="1">
      <alignment vertical="center"/>
    </xf>
    <xf numFmtId="0" fontId="10" fillId="0" borderId="3" xfId="0" applyFont="1" applyBorder="1"/>
    <xf numFmtId="0" fontId="24" fillId="0" borderId="17" xfId="0" applyFont="1" applyBorder="1" applyAlignment="1">
      <alignment horizontal="center"/>
    </xf>
    <xf numFmtId="0" fontId="24" fillId="0" borderId="4" xfId="0" applyFont="1" applyBorder="1" applyAlignment="1">
      <alignment horizontal="center"/>
    </xf>
    <xf numFmtId="0" fontId="24" fillId="0" borderId="19" xfId="0" applyFont="1" applyBorder="1" applyAlignment="1">
      <alignment horizontal="center"/>
    </xf>
    <xf numFmtId="0" fontId="25" fillId="11" borderId="17" xfId="0" applyFont="1" applyFill="1" applyBorder="1" applyAlignment="1">
      <alignment horizontal="center" vertical="center"/>
    </xf>
    <xf numFmtId="0" fontId="10" fillId="0" borderId="17" xfId="0" applyFont="1" applyBorder="1" applyAlignment="1">
      <alignment horizontal="center" vertical="center"/>
    </xf>
    <xf numFmtId="0" fontId="10" fillId="0" borderId="4" xfId="0" applyFont="1" applyBorder="1" applyAlignment="1">
      <alignment vertical="center"/>
    </xf>
    <xf numFmtId="10" fontId="10" fillId="2" borderId="19" xfId="0" applyNumberFormat="1" applyFont="1" applyFill="1" applyBorder="1" applyAlignment="1" applyProtection="1">
      <alignment horizontal="center" vertical="center"/>
      <protection locked="0"/>
    </xf>
    <xf numFmtId="10" fontId="10" fillId="0" borderId="19" xfId="0" applyNumberFormat="1" applyFont="1" applyBorder="1" applyAlignment="1">
      <alignment horizontal="center" vertical="center"/>
    </xf>
    <xf numFmtId="2" fontId="0" fillId="0" borderId="0" xfId="0" applyNumberFormat="1"/>
    <xf numFmtId="10" fontId="25" fillId="11" borderId="19" xfId="0" applyNumberFormat="1" applyFont="1" applyFill="1" applyBorder="1" applyAlignment="1">
      <alignment horizontal="center" vertical="center"/>
    </xf>
    <xf numFmtId="0" fontId="10" fillId="0" borderId="18" xfId="0" applyFont="1" applyBorder="1" applyAlignment="1">
      <alignment vertical="center"/>
    </xf>
    <xf numFmtId="10" fontId="19" fillId="14" borderId="19" xfId="3" applyNumberFormat="1" applyFont="1" applyFill="1" applyBorder="1" applyAlignment="1" applyProtection="1">
      <alignment horizontal="center" vertical="center"/>
    </xf>
    <xf numFmtId="10" fontId="26" fillId="0" borderId="19" xfId="0" applyNumberFormat="1" applyFont="1" applyBorder="1" applyAlignment="1">
      <alignment horizontal="center" vertical="center"/>
    </xf>
    <xf numFmtId="10" fontId="16" fillId="0" borderId="14" xfId="0" applyNumberFormat="1" applyFont="1" applyBorder="1" applyAlignment="1">
      <alignment horizontal="center" vertical="center"/>
    </xf>
    <xf numFmtId="10" fontId="27" fillId="0" borderId="19" xfId="0" applyNumberFormat="1" applyFont="1" applyBorder="1" applyAlignment="1">
      <alignment horizontal="center" vertical="center"/>
    </xf>
    <xf numFmtId="0" fontId="26" fillId="0" borderId="17" xfId="0" applyFont="1" applyBorder="1" applyAlignment="1">
      <alignment horizontal="center" vertical="center"/>
    </xf>
    <xf numFmtId="0" fontId="26" fillId="0" borderId="4" xfId="0" applyFont="1" applyBorder="1" applyAlignment="1">
      <alignment horizontal="left" vertical="center"/>
    </xf>
    <xf numFmtId="0" fontId="9" fillId="15" borderId="17" xfId="0" applyFont="1" applyFill="1" applyBorder="1" applyAlignment="1">
      <alignment horizontal="center" vertical="center" wrapText="1"/>
    </xf>
    <xf numFmtId="0" fontId="9" fillId="15" borderId="4" xfId="0" applyFont="1" applyFill="1" applyBorder="1" applyAlignment="1">
      <alignment horizontal="center" vertical="center" wrapText="1"/>
    </xf>
    <xf numFmtId="0" fontId="8" fillId="15" borderId="19" xfId="0" applyFont="1" applyFill="1" applyBorder="1" applyAlignment="1">
      <alignment horizontal="center" vertical="center" wrapText="1"/>
    </xf>
    <xf numFmtId="10" fontId="9" fillId="15" borderId="4" xfId="0" applyNumberFormat="1" applyFont="1" applyFill="1" applyBorder="1" applyAlignment="1">
      <alignment horizontal="center" vertical="center" wrapText="1"/>
    </xf>
    <xf numFmtId="10" fontId="11" fillId="15" borderId="19" xfId="0" applyNumberFormat="1" applyFont="1" applyFill="1" applyBorder="1" applyAlignment="1">
      <alignment horizontal="center" vertical="center" wrapText="1"/>
    </xf>
    <xf numFmtId="0" fontId="10" fillId="0" borderId="17" xfId="0" applyFont="1" applyBorder="1" applyAlignment="1">
      <alignment horizontal="center" vertical="center" wrapText="1"/>
    </xf>
    <xf numFmtId="10" fontId="10" fillId="0" borderId="4" xfId="0" applyNumberFormat="1" applyFont="1" applyBorder="1" applyAlignment="1">
      <alignment horizontal="center" vertical="center" wrapText="1"/>
    </xf>
    <xf numFmtId="10" fontId="10" fillId="0" borderId="19" xfId="0" applyNumberFormat="1" applyFont="1" applyBorder="1" applyAlignment="1">
      <alignment horizontal="center" vertical="center" wrapText="1"/>
    </xf>
    <xf numFmtId="0" fontId="26" fillId="15" borderId="17" xfId="0" applyFont="1" applyFill="1" applyBorder="1" applyAlignment="1">
      <alignment horizontal="center" vertical="center" wrapText="1"/>
    </xf>
    <xf numFmtId="10" fontId="26" fillId="15" borderId="4" xfId="0" applyNumberFormat="1" applyFont="1" applyFill="1" applyBorder="1" applyAlignment="1">
      <alignment horizontal="center" vertical="center" wrapText="1"/>
    </xf>
    <xf numFmtId="10" fontId="26" fillId="15" borderId="19" xfId="0" applyNumberFormat="1" applyFont="1" applyFill="1" applyBorder="1" applyAlignment="1">
      <alignment horizontal="center" vertical="center" wrapText="1"/>
    </xf>
    <xf numFmtId="10" fontId="10" fillId="0" borderId="47" xfId="0" applyNumberFormat="1" applyFont="1" applyBorder="1" applyAlignment="1">
      <alignment horizontal="center" vertical="center" wrapText="1"/>
    </xf>
    <xf numFmtId="0" fontId="26" fillId="0" borderId="17" xfId="0" applyFont="1" applyBorder="1" applyAlignment="1">
      <alignment horizontal="center" vertical="center" wrapText="1"/>
    </xf>
    <xf numFmtId="10" fontId="26" fillId="0" borderId="4" xfId="0" applyNumberFormat="1" applyFont="1" applyBorder="1" applyAlignment="1">
      <alignment horizontal="center" vertical="center" wrapText="1"/>
    </xf>
    <xf numFmtId="10" fontId="29" fillId="0" borderId="47" xfId="0" applyNumberFormat="1" applyFont="1" applyBorder="1" applyAlignment="1">
      <alignment horizontal="center" vertical="center" wrapText="1"/>
    </xf>
    <xf numFmtId="0" fontId="19" fillId="14" borderId="3" xfId="0" applyFont="1" applyFill="1" applyBorder="1" applyAlignment="1">
      <alignment horizontal="left" vertical="center"/>
    </xf>
    <xf numFmtId="0" fontId="19" fillId="14" borderId="0" xfId="0" applyFont="1" applyFill="1"/>
    <xf numFmtId="0" fontId="19" fillId="14" borderId="45" xfId="0" applyFont="1" applyFill="1" applyBorder="1"/>
    <xf numFmtId="0" fontId="26" fillId="15" borderId="22" xfId="0" applyFont="1" applyFill="1" applyBorder="1" applyAlignment="1">
      <alignment horizontal="center" vertical="center" wrapText="1"/>
    </xf>
    <xf numFmtId="10" fontId="26" fillId="15" borderId="23" xfId="0" applyNumberFormat="1" applyFont="1" applyFill="1" applyBorder="1" applyAlignment="1">
      <alignment horizontal="center" vertical="center" wrapText="1"/>
    </xf>
    <xf numFmtId="10" fontId="29" fillId="15" borderId="25" xfId="0" applyNumberFormat="1" applyFont="1" applyFill="1" applyBorder="1" applyAlignment="1">
      <alignment horizontal="center" vertical="center" wrapText="1"/>
    </xf>
    <xf numFmtId="0" fontId="9" fillId="0" borderId="1" xfId="0" applyFont="1" applyBorder="1"/>
    <xf numFmtId="0" fontId="9" fillId="0" borderId="2" xfId="0" applyFont="1" applyBorder="1"/>
    <xf numFmtId="0" fontId="9" fillId="0" borderId="44" xfId="0" applyFont="1" applyBorder="1"/>
    <xf numFmtId="0" fontId="9" fillId="0" borderId="3" xfId="0" applyFont="1" applyBorder="1"/>
    <xf numFmtId="0" fontId="9" fillId="0" borderId="45" xfId="0" applyFont="1" applyBorder="1"/>
    <xf numFmtId="0" fontId="20" fillId="0" borderId="0" xfId="0" applyFont="1" applyAlignment="1">
      <alignment horizontal="center" vertical="center"/>
    </xf>
    <xf numFmtId="0" fontId="5" fillId="0" borderId="0" xfId="0" applyFont="1" applyAlignment="1">
      <alignment horizontal="center" vertical="center"/>
    </xf>
    <xf numFmtId="0" fontId="7" fillId="11" borderId="4" xfId="0" applyFont="1" applyFill="1" applyBorder="1" applyAlignment="1">
      <alignment horizontal="center" vertical="center" wrapText="1"/>
    </xf>
    <xf numFmtId="0" fontId="7" fillId="16" borderId="4" xfId="0" applyFont="1" applyFill="1" applyBorder="1" applyAlignment="1">
      <alignment horizontal="center" vertical="center" wrapText="1"/>
    </xf>
    <xf numFmtId="0" fontId="7" fillId="11" borderId="43" xfId="0" applyFont="1" applyFill="1" applyBorder="1" applyAlignment="1">
      <alignment horizontal="center" vertical="center" wrapText="1"/>
    </xf>
    <xf numFmtId="0" fontId="26" fillId="11" borderId="4" xfId="0" applyFont="1" applyFill="1" applyBorder="1" applyAlignment="1">
      <alignment horizontal="center" vertical="center" wrapText="1"/>
    </xf>
    <xf numFmtId="0" fontId="7" fillId="16" borderId="12" xfId="0" applyFont="1" applyFill="1" applyBorder="1" applyAlignment="1">
      <alignment horizontal="center" vertical="center" wrapText="1"/>
    </xf>
    <xf numFmtId="0" fontId="7" fillId="16" borderId="13" xfId="0" applyFont="1" applyFill="1" applyBorder="1" applyAlignment="1">
      <alignment horizontal="center" vertical="center" wrapText="1"/>
    </xf>
    <xf numFmtId="0" fontId="8" fillId="5" borderId="11" xfId="0" applyFont="1" applyFill="1" applyBorder="1" applyAlignment="1">
      <alignment horizontal="center" vertical="center" wrapText="1"/>
    </xf>
    <xf numFmtId="1" fontId="2" fillId="0" borderId="37" xfId="0" applyNumberFormat="1" applyFont="1" applyBorder="1" applyAlignment="1">
      <alignment horizontal="center" vertical="center" wrapText="1"/>
    </xf>
    <xf numFmtId="0" fontId="0" fillId="0" borderId="4" xfId="0" applyBorder="1" applyAlignment="1">
      <alignment horizontal="justify" wrapText="1"/>
    </xf>
    <xf numFmtId="0" fontId="9" fillId="8" borderId="21" xfId="0" applyFont="1" applyFill="1" applyBorder="1" applyAlignment="1">
      <alignment horizontal="center" vertical="center" wrapText="1"/>
    </xf>
    <xf numFmtId="0" fontId="9" fillId="8" borderId="4" xfId="0" applyFont="1" applyFill="1" applyBorder="1" applyAlignment="1">
      <alignment horizontal="center" vertical="center" wrapText="1"/>
    </xf>
    <xf numFmtId="1" fontId="9" fillId="8" borderId="4" xfId="0" applyNumberFormat="1" applyFont="1" applyFill="1" applyBorder="1" applyAlignment="1">
      <alignment horizontal="center" vertical="center" wrapText="1"/>
    </xf>
    <xf numFmtId="0" fontId="9" fillId="8" borderId="18" xfId="0" applyFont="1" applyFill="1" applyBorder="1" applyAlignment="1">
      <alignment horizontal="center" vertical="center" wrapText="1"/>
    </xf>
    <xf numFmtId="2" fontId="9" fillId="2" borderId="4" xfId="0" applyNumberFormat="1" applyFont="1" applyFill="1" applyBorder="1" applyAlignment="1" applyProtection="1">
      <alignment horizontal="center" vertical="center"/>
      <protection locked="0"/>
    </xf>
    <xf numFmtId="0" fontId="9" fillId="2" borderId="19" xfId="0" applyFont="1" applyFill="1" applyBorder="1" applyAlignment="1" applyProtection="1">
      <alignment vertical="center" wrapText="1"/>
      <protection locked="0"/>
    </xf>
    <xf numFmtId="2" fontId="9" fillId="0" borderId="4" xfId="0" applyNumberFormat="1" applyFont="1" applyBorder="1" applyAlignment="1">
      <alignment horizontal="center" vertical="center" wrapText="1"/>
    </xf>
    <xf numFmtId="0" fontId="11" fillId="0" borderId="17" xfId="0" applyFont="1" applyBorder="1" applyAlignment="1">
      <alignment horizontal="center" vertical="center"/>
    </xf>
    <xf numFmtId="0" fontId="9" fillId="2" borderId="19" xfId="0" applyFont="1" applyFill="1" applyBorder="1" applyAlignment="1" applyProtection="1">
      <alignment vertical="center"/>
      <protection locked="0"/>
    </xf>
    <xf numFmtId="0" fontId="0" fillId="8" borderId="4" xfId="0" applyFill="1" applyBorder="1" applyAlignment="1">
      <alignment horizontal="justify" wrapText="1"/>
    </xf>
    <xf numFmtId="169" fontId="7" fillId="11" borderId="25" xfId="0" applyNumberFormat="1" applyFont="1" applyFill="1" applyBorder="1" applyAlignment="1">
      <alignment vertical="center"/>
    </xf>
    <xf numFmtId="0" fontId="18" fillId="11" borderId="4" xfId="0" applyFont="1" applyFill="1" applyBorder="1" applyAlignment="1">
      <alignment horizontal="center" vertical="center"/>
    </xf>
    <xf numFmtId="2" fontId="18" fillId="11" borderId="4" xfId="0" applyNumberFormat="1" applyFont="1" applyFill="1" applyBorder="1" applyAlignment="1">
      <alignment horizontal="center" vertical="center"/>
    </xf>
    <xf numFmtId="0" fontId="11" fillId="0" borderId="0" xfId="0" applyFont="1" applyAlignment="1">
      <alignment horizontal="center" vertical="center"/>
    </xf>
    <xf numFmtId="0" fontId="9" fillId="0" borderId="3" xfId="0" applyFont="1" applyBorder="1" applyAlignment="1">
      <alignment horizontal="center" vertical="center"/>
    </xf>
    <xf numFmtId="0" fontId="0" fillId="0" borderId="45" xfId="0" applyBorder="1"/>
    <xf numFmtId="0" fontId="18" fillId="11" borderId="4"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45" xfId="0" applyFont="1" applyBorder="1" applyAlignment="1">
      <alignment horizontal="center" vertical="center"/>
    </xf>
    <xf numFmtId="0" fontId="26" fillId="16" borderId="12" xfId="0" applyFont="1" applyFill="1" applyBorder="1" applyAlignment="1">
      <alignment horizontal="center" vertical="center" wrapText="1"/>
    </xf>
    <xf numFmtId="0" fontId="7" fillId="2" borderId="19" xfId="0" applyFont="1" applyFill="1" applyBorder="1" applyAlignment="1" applyProtection="1">
      <alignment horizontal="center" vertical="center" wrapText="1"/>
      <protection locked="0"/>
    </xf>
    <xf numFmtId="0" fontId="14" fillId="0" borderId="17" xfId="0" applyFont="1" applyBorder="1" applyAlignment="1">
      <alignment horizontal="center" vertical="center"/>
    </xf>
    <xf numFmtId="169" fontId="7" fillId="0" borderId="25" xfId="0" applyNumberFormat="1" applyFont="1" applyBorder="1" applyAlignment="1">
      <alignment vertical="center"/>
    </xf>
    <xf numFmtId="0" fontId="18" fillId="11" borderId="4" xfId="0" applyFont="1" applyFill="1" applyBorder="1" applyAlignment="1">
      <alignment horizontal="center"/>
    </xf>
    <xf numFmtId="2" fontId="18" fillId="11" borderId="4" xfId="0" applyNumberFormat="1" applyFont="1" applyFill="1" applyBorder="1" applyAlignment="1">
      <alignment horizontal="center"/>
    </xf>
    <xf numFmtId="0" fontId="6" fillId="0" borderId="2" xfId="0" applyFont="1" applyBorder="1" applyAlignment="1">
      <alignment horizontal="center"/>
    </xf>
    <xf numFmtId="0" fontId="6" fillId="0" borderId="2" xfId="0" applyFont="1" applyBorder="1"/>
    <xf numFmtId="0" fontId="6" fillId="0" borderId="44" xfId="0" applyFont="1" applyBorder="1"/>
    <xf numFmtId="0" fontId="6" fillId="0" borderId="0" xfId="0" applyFont="1" applyAlignment="1">
      <alignment horizontal="center"/>
    </xf>
    <xf numFmtId="0" fontId="6" fillId="0" borderId="0" xfId="0" applyFont="1"/>
    <xf numFmtId="0" fontId="6" fillId="0" borderId="45" xfId="0" applyFont="1" applyBorder="1"/>
    <xf numFmtId="0" fontId="18" fillId="0" borderId="3" xfId="0" applyFont="1" applyBorder="1" applyAlignment="1">
      <alignment horizontal="center" vertical="center"/>
    </xf>
    <xf numFmtId="9" fontId="31" fillId="0" borderId="45" xfId="0" applyNumberFormat="1" applyFont="1" applyBorder="1" applyAlignment="1">
      <alignment horizontal="center" vertical="center"/>
    </xf>
    <xf numFmtId="0" fontId="7" fillId="11" borderId="17" xfId="0" applyFont="1" applyFill="1" applyBorder="1" applyAlignment="1">
      <alignment horizontal="center" vertical="center" wrapText="1"/>
    </xf>
    <xf numFmtId="4" fontId="7" fillId="11" borderId="4" xfId="0" applyNumberFormat="1" applyFont="1" applyFill="1" applyBorder="1" applyAlignment="1">
      <alignment horizontal="center" vertical="center" wrapText="1"/>
    </xf>
    <xf numFmtId="4" fontId="7" fillId="11" borderId="19" xfId="0" applyNumberFormat="1" applyFont="1" applyFill="1" applyBorder="1" applyAlignment="1">
      <alignment horizontal="center" vertical="center" wrapText="1"/>
    </xf>
    <xf numFmtId="0" fontId="7" fillId="0" borderId="17" xfId="1" applyNumberFormat="1" applyFont="1" applyBorder="1" applyAlignment="1" applyProtection="1">
      <alignment horizontal="center" vertical="center"/>
    </xf>
    <xf numFmtId="0" fontId="16" fillId="0" borderId="4" xfId="0" applyFont="1" applyBorder="1" applyAlignment="1">
      <alignment wrapText="1"/>
    </xf>
    <xf numFmtId="0" fontId="9" fillId="0" borderId="4" xfId="1" applyNumberFormat="1" applyFont="1" applyBorder="1" applyAlignment="1" applyProtection="1">
      <alignment horizontal="center" vertical="center"/>
    </xf>
    <xf numFmtId="4" fontId="9" fillId="2" borderId="4" xfId="1" applyNumberFormat="1" applyFont="1" applyFill="1" applyBorder="1" applyAlignment="1" applyProtection="1">
      <alignment horizontal="center" vertical="center"/>
      <protection locked="0"/>
    </xf>
    <xf numFmtId="4" fontId="9" fillId="0" borderId="4" xfId="1" applyNumberFormat="1" applyFont="1" applyBorder="1" applyAlignment="1" applyProtection="1">
      <alignment horizontal="center" vertical="center"/>
    </xf>
    <xf numFmtId="4" fontId="9" fillId="0" borderId="19" xfId="1" applyNumberFormat="1" applyFont="1" applyBorder="1" applyAlignment="1" applyProtection="1">
      <alignment horizontal="center" vertical="center"/>
    </xf>
    <xf numFmtId="4" fontId="7" fillId="11" borderId="19" xfId="1" applyNumberFormat="1" applyFont="1" applyFill="1" applyBorder="1" applyAlignment="1" applyProtection="1">
      <alignment horizontal="center" vertical="center"/>
    </xf>
    <xf numFmtId="0" fontId="7" fillId="0" borderId="48" xfId="1" applyNumberFormat="1" applyFont="1" applyBorder="1" applyAlignment="1" applyProtection="1">
      <alignment horizontal="center" vertical="center"/>
    </xf>
    <xf numFmtId="164" fontId="16" fillId="0" borderId="43" xfId="1" applyFont="1" applyBorder="1" applyAlignment="1" applyProtection="1">
      <alignment wrapText="1"/>
    </xf>
    <xf numFmtId="4" fontId="9" fillId="2" borderId="43" xfId="1" applyNumberFormat="1" applyFont="1" applyFill="1" applyBorder="1" applyAlignment="1" applyProtection="1">
      <alignment horizontal="center" vertical="center" wrapText="1"/>
      <protection locked="0"/>
    </xf>
    <xf numFmtId="4" fontId="9" fillId="0" borderId="43" xfId="1" applyNumberFormat="1" applyFont="1" applyBorder="1" applyAlignment="1" applyProtection="1">
      <alignment horizontal="center" vertical="center"/>
    </xf>
    <xf numFmtId="4" fontId="9" fillId="0" borderId="50" xfId="1" applyNumberFormat="1" applyFont="1" applyBorder="1" applyAlignment="1" applyProtection="1">
      <alignment horizontal="center" vertical="center"/>
    </xf>
    <xf numFmtId="4" fontId="27" fillId="11" borderId="19" xfId="1" applyNumberFormat="1" applyFont="1" applyFill="1" applyBorder="1" applyAlignment="1" applyProtection="1">
      <alignment horizontal="center" vertical="center"/>
    </xf>
    <xf numFmtId="1" fontId="9" fillId="0" borderId="19" xfId="0" applyNumberFormat="1" applyFont="1" applyBorder="1" applyAlignment="1">
      <alignment horizontal="center"/>
    </xf>
    <xf numFmtId="0" fontId="7" fillId="0" borderId="25" xfId="0" applyFont="1" applyBorder="1" applyAlignment="1">
      <alignment horizontal="center"/>
    </xf>
    <xf numFmtId="164" fontId="16" fillId="0" borderId="4" xfId="1" applyFont="1" applyBorder="1" applyAlignment="1" applyProtection="1">
      <alignment vertical="center" wrapText="1"/>
    </xf>
    <xf numFmtId="4" fontId="9" fillId="2" borderId="4" xfId="1" applyNumberFormat="1" applyFont="1" applyFill="1" applyBorder="1" applyAlignment="1" applyProtection="1">
      <alignment horizontal="center" vertical="center" wrapText="1"/>
      <protection locked="0"/>
    </xf>
    <xf numFmtId="4" fontId="9" fillId="2" borderId="51" xfId="1" applyNumberFormat="1" applyFont="1" applyFill="1" applyBorder="1" applyAlignment="1" applyProtection="1">
      <alignment horizontal="center" vertical="center" wrapText="1"/>
      <protection locked="0"/>
    </xf>
    <xf numFmtId="0" fontId="16" fillId="0" borderId="51" xfId="0" applyFont="1" applyBorder="1" applyAlignment="1">
      <alignment wrapText="1"/>
    </xf>
    <xf numFmtId="0" fontId="9" fillId="0" borderId="51" xfId="1" applyNumberFormat="1" applyFont="1" applyBorder="1" applyAlignment="1" applyProtection="1">
      <alignment horizontal="center" vertical="center"/>
    </xf>
    <xf numFmtId="4" fontId="27" fillId="11" borderId="25" xfId="1" applyNumberFormat="1" applyFont="1" applyFill="1" applyBorder="1" applyAlignment="1" applyProtection="1">
      <alignment horizontal="center" vertical="center"/>
    </xf>
    <xf numFmtId="1" fontId="1" fillId="0" borderId="0" xfId="0" applyNumberFormat="1" applyFont="1" applyAlignment="1">
      <alignment horizontal="center"/>
    </xf>
    <xf numFmtId="2" fontId="1" fillId="0" borderId="0" xfId="0" applyNumberFormat="1" applyFont="1" applyAlignment="1">
      <alignment horizontal="center"/>
    </xf>
    <xf numFmtId="4" fontId="1" fillId="0" borderId="0" xfId="0" applyNumberFormat="1" applyFont="1" applyAlignment="1">
      <alignment horizontal="center"/>
    </xf>
    <xf numFmtId="0" fontId="0" fillId="0" borderId="0" xfId="0" applyAlignment="1">
      <alignment horizontal="center"/>
    </xf>
    <xf numFmtId="0" fontId="17" fillId="0" borderId="52" xfId="0" applyFont="1" applyBorder="1" applyAlignment="1">
      <alignment horizontal="left" vertical="center"/>
    </xf>
    <xf numFmtId="0" fontId="17" fillId="0" borderId="31" xfId="0" applyFont="1" applyBorder="1" applyAlignment="1">
      <alignment horizontal="left"/>
    </xf>
    <xf numFmtId="1" fontId="17" fillId="0" borderId="31" xfId="0" applyNumberFormat="1" applyFont="1" applyBorder="1" applyAlignment="1">
      <alignment horizontal="center"/>
    </xf>
    <xf numFmtId="0" fontId="17" fillId="0" borderId="31" xfId="0" applyFont="1" applyBorder="1"/>
    <xf numFmtId="0" fontId="1" fillId="0" borderId="31" xfId="0" applyFont="1" applyBorder="1"/>
    <xf numFmtId="1" fontId="1" fillId="0" borderId="31" xfId="0" applyNumberFormat="1" applyFont="1" applyBorder="1" applyAlignment="1">
      <alignment horizontal="center"/>
    </xf>
    <xf numFmtId="2" fontId="1" fillId="0" borderId="31" xfId="0" applyNumberFormat="1" applyFont="1" applyBorder="1" applyAlignment="1">
      <alignment horizontal="center"/>
    </xf>
    <xf numFmtId="4" fontId="1" fillId="0" borderId="53" xfId="0" applyNumberFormat="1" applyFont="1" applyBorder="1" applyAlignment="1">
      <alignment horizontal="center"/>
    </xf>
    <xf numFmtId="0" fontId="17" fillId="0" borderId="3" xfId="0" applyFont="1" applyBorder="1" applyAlignment="1">
      <alignment horizontal="left" vertical="center"/>
    </xf>
    <xf numFmtId="0" fontId="17" fillId="0" borderId="0" xfId="0" applyFont="1" applyAlignment="1">
      <alignment horizontal="left"/>
    </xf>
    <xf numFmtId="1" fontId="17" fillId="0" borderId="0" xfId="0" applyNumberFormat="1" applyFont="1" applyAlignment="1">
      <alignment horizontal="center"/>
    </xf>
    <xf numFmtId="0" fontId="17" fillId="0" borderId="0" xfId="0" applyFont="1"/>
    <xf numFmtId="4" fontId="1" fillId="0" borderId="45" xfId="0" applyNumberFormat="1" applyFont="1" applyBorder="1" applyAlignment="1">
      <alignment horizontal="center"/>
    </xf>
    <xf numFmtId="0" fontId="17" fillId="0" borderId="0" xfId="0" applyFont="1" applyAlignment="1">
      <alignment horizontal="left" vertical="center"/>
    </xf>
    <xf numFmtId="1" fontId="17" fillId="0" borderId="0" xfId="0" applyNumberFormat="1" applyFont="1" applyAlignment="1">
      <alignment horizontal="center" vertical="center"/>
    </xf>
    <xf numFmtId="0" fontId="17" fillId="0" borderId="0" xfId="0" applyFont="1" applyAlignment="1">
      <alignment vertical="center"/>
    </xf>
    <xf numFmtId="1" fontId="1" fillId="0" borderId="0" xfId="0" applyNumberFormat="1" applyFont="1" applyAlignment="1">
      <alignment horizontal="center" vertical="center"/>
    </xf>
    <xf numFmtId="2" fontId="1" fillId="0" borderId="0" xfId="0" applyNumberFormat="1" applyFont="1" applyAlignment="1">
      <alignment horizontal="center" vertical="center"/>
    </xf>
    <xf numFmtId="4" fontId="1" fillId="0" borderId="45" xfId="0" applyNumberFormat="1" applyFont="1" applyBorder="1" applyAlignment="1">
      <alignment horizontal="center" vertical="center"/>
    </xf>
    <xf numFmtId="0" fontId="1" fillId="0" borderId="37" xfId="0" applyFont="1" applyBorder="1" applyAlignment="1">
      <alignment horizontal="center" vertical="center"/>
    </xf>
    <xf numFmtId="0" fontId="1" fillId="0" borderId="54" xfId="0" applyFont="1" applyBorder="1" applyAlignment="1">
      <alignment horizontal="left" vertical="center"/>
    </xf>
    <xf numFmtId="1" fontId="1" fillId="0" borderId="54" xfId="0" applyNumberFormat="1" applyFont="1" applyBorder="1" applyAlignment="1">
      <alignment horizontal="center" vertical="center"/>
    </xf>
    <xf numFmtId="2" fontId="1" fillId="0" borderId="54" xfId="0" applyNumberFormat="1" applyFont="1" applyBorder="1" applyAlignment="1">
      <alignment horizontal="center" vertical="center"/>
    </xf>
    <xf numFmtId="4" fontId="1" fillId="0" borderId="47" xfId="0" applyNumberFormat="1" applyFont="1" applyBorder="1" applyAlignment="1">
      <alignment horizontal="center" vertical="center"/>
    </xf>
    <xf numFmtId="2" fontId="7" fillId="0" borderId="43" xfId="0" applyNumberFormat="1" applyFont="1" applyBorder="1" applyAlignment="1">
      <alignment horizontal="center" vertical="center" wrapText="1"/>
    </xf>
    <xf numFmtId="1" fontId="9" fillId="0" borderId="4" xfId="1" applyNumberFormat="1" applyFont="1" applyBorder="1" applyAlignment="1" applyProtection="1">
      <alignment horizontal="center" vertical="center"/>
    </xf>
    <xf numFmtId="0" fontId="16" fillId="8" borderId="4" xfId="0" applyFont="1" applyFill="1" applyBorder="1" applyAlignment="1">
      <alignment vertical="top" wrapText="1"/>
    </xf>
    <xf numFmtId="1" fontId="9" fillId="8" borderId="18" xfId="1" applyNumberFormat="1" applyFont="1" applyFill="1" applyBorder="1" applyAlignment="1" applyProtection="1">
      <alignment horizontal="center" vertical="center"/>
    </xf>
    <xf numFmtId="2" fontId="1" fillId="17" borderId="4" xfId="0" applyNumberFormat="1" applyFont="1" applyFill="1" applyBorder="1" applyAlignment="1" applyProtection="1">
      <alignment horizontal="center" vertical="center"/>
      <protection locked="0"/>
    </xf>
    <xf numFmtId="4" fontId="9" fillId="0" borderId="47" xfId="1" applyNumberFormat="1" applyFont="1" applyBorder="1" applyAlignment="1" applyProtection="1">
      <alignment horizontal="center" vertical="center"/>
    </xf>
    <xf numFmtId="0" fontId="33" fillId="0" borderId="4" xfId="0" applyFont="1" applyBorder="1" applyAlignment="1">
      <alignment horizontal="center" vertical="center"/>
    </xf>
    <xf numFmtId="0" fontId="9" fillId="0" borderId="17" xfId="0" applyFont="1" applyBorder="1" applyAlignment="1">
      <alignment horizontal="center" vertical="center" wrapText="1"/>
    </xf>
    <xf numFmtId="0" fontId="16" fillId="8" borderId="4" xfId="0" applyFont="1" applyFill="1" applyBorder="1" applyAlignment="1">
      <alignment wrapText="1"/>
    </xf>
    <xf numFmtId="1" fontId="3" fillId="0" borderId="11" xfId="0" applyNumberFormat="1" applyFont="1" applyBorder="1" applyAlignment="1">
      <alignment horizontal="center" vertical="center"/>
    </xf>
    <xf numFmtId="0" fontId="16" fillId="0" borderId="4" xfId="0" applyFont="1" applyBorder="1" applyAlignment="1">
      <alignment vertical="top" wrapText="1"/>
    </xf>
    <xf numFmtId="4" fontId="7" fillId="0" borderId="19" xfId="1" applyNumberFormat="1" applyFont="1" applyBorder="1" applyAlignment="1" applyProtection="1">
      <alignment horizontal="center" vertical="center"/>
    </xf>
    <xf numFmtId="2" fontId="18" fillId="11" borderId="56" xfId="0" applyNumberFormat="1" applyFont="1" applyFill="1" applyBorder="1" applyAlignment="1">
      <alignment horizontal="center" vertical="center"/>
    </xf>
    <xf numFmtId="4" fontId="34" fillId="11" borderId="29" xfId="1" applyNumberFormat="1" applyFont="1" applyFill="1" applyBorder="1" applyAlignment="1" applyProtection="1">
      <alignment horizontal="center" vertical="center"/>
    </xf>
    <xf numFmtId="0" fontId="9" fillId="0" borderId="3" xfId="0" applyFont="1" applyBorder="1" applyAlignment="1">
      <alignment horizontal="center" vertical="center" wrapText="1"/>
    </xf>
    <xf numFmtId="1" fontId="9" fillId="0" borderId="0" xfId="1" applyNumberFormat="1" applyFont="1" applyBorder="1" applyAlignment="1" applyProtection="1">
      <alignment horizontal="center" vertical="center"/>
    </xf>
    <xf numFmtId="0" fontId="9" fillId="0" borderId="0" xfId="0" applyFont="1" applyAlignment="1">
      <alignment vertical="center" wrapText="1"/>
    </xf>
    <xf numFmtId="2" fontId="9" fillId="0" borderId="0" xfId="1" applyNumberFormat="1" applyFont="1" applyBorder="1" applyAlignment="1" applyProtection="1">
      <alignment horizontal="center" vertical="center"/>
    </xf>
    <xf numFmtId="4" fontId="9" fillId="0" borderId="45" xfId="1" applyNumberFormat="1" applyFont="1" applyBorder="1" applyAlignment="1" applyProtection="1">
      <alignment horizontal="center" vertical="center"/>
    </xf>
    <xf numFmtId="0" fontId="7" fillId="0" borderId="17" xfId="0" applyFont="1" applyBorder="1" applyAlignment="1">
      <alignment horizontal="center" vertical="center"/>
    </xf>
    <xf numFmtId="0" fontId="30" fillId="0" borderId="4" xfId="0" applyFont="1" applyBorder="1" applyAlignment="1">
      <alignment horizontal="center" vertical="center"/>
    </xf>
    <xf numFmtId="1" fontId="30" fillId="0" borderId="4" xfId="0" applyNumberFormat="1" applyFont="1" applyBorder="1" applyAlignment="1">
      <alignment horizontal="center" vertical="center"/>
    </xf>
    <xf numFmtId="0" fontId="7" fillId="0" borderId="4" xfId="0" applyFont="1" applyBorder="1" applyAlignment="1">
      <alignment horizontal="center" vertical="center"/>
    </xf>
    <xf numFmtId="1" fontId="35" fillId="0" borderId="4" xfId="0" applyNumberFormat="1" applyFont="1" applyBorder="1" applyAlignment="1">
      <alignment horizontal="center" vertical="center" wrapText="1"/>
    </xf>
    <xf numFmtId="4" fontId="7" fillId="0" borderId="19" xfId="0" applyNumberFormat="1" applyFont="1" applyBorder="1" applyAlignment="1">
      <alignment horizontal="center" vertical="center"/>
    </xf>
    <xf numFmtId="0" fontId="32" fillId="5" borderId="43" xfId="0" applyFont="1" applyFill="1" applyBorder="1" applyAlignment="1">
      <alignment horizontal="center" vertical="center" wrapText="1"/>
    </xf>
    <xf numFmtId="0" fontId="7" fillId="5" borderId="43" xfId="0" applyFont="1" applyFill="1" applyBorder="1" applyAlignment="1">
      <alignment horizontal="center" vertical="center" wrapText="1"/>
    </xf>
    <xf numFmtId="1" fontId="9" fillId="0" borderId="18" xfId="1" applyNumberFormat="1" applyFont="1" applyBorder="1" applyAlignment="1" applyProtection="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xf>
    <xf numFmtId="1" fontId="9" fillId="0" borderId="12" xfId="1" applyNumberFormat="1" applyFont="1" applyBorder="1" applyAlignment="1" applyProtection="1">
      <alignment horizontal="center" vertical="center"/>
    </xf>
    <xf numFmtId="0" fontId="9" fillId="8" borderId="4" xfId="0" applyFont="1" applyFill="1" applyBorder="1" applyAlignment="1">
      <alignment vertical="center" wrapText="1"/>
    </xf>
    <xf numFmtId="1" fontId="36" fillId="0" borderId="17" xfId="0" applyNumberFormat="1" applyFont="1" applyBorder="1" applyAlignment="1">
      <alignment horizontal="center" vertical="center"/>
    </xf>
    <xf numFmtId="4" fontId="7" fillId="0" borderId="25" xfId="1" applyNumberFormat="1" applyFont="1" applyBorder="1" applyAlignment="1" applyProtection="1">
      <alignment horizontal="center" vertical="center"/>
    </xf>
    <xf numFmtId="0" fontId="18" fillId="0" borderId="0" xfId="0" applyFont="1" applyAlignment="1">
      <alignment horizontal="left" vertical="center"/>
    </xf>
    <xf numFmtId="1" fontId="18" fillId="0" borderId="0" xfId="0" applyNumberFormat="1" applyFont="1" applyAlignment="1">
      <alignment horizontal="center" vertical="center"/>
    </xf>
    <xf numFmtId="2" fontId="18" fillId="0" borderId="0" xfId="0" applyNumberFormat="1" applyFont="1" applyAlignment="1">
      <alignment horizontal="center" vertical="center"/>
    </xf>
    <xf numFmtId="4" fontId="18" fillId="0" borderId="45" xfId="1" applyNumberFormat="1" applyFont="1" applyBorder="1" applyAlignment="1" applyProtection="1">
      <alignment horizontal="center" vertical="center"/>
    </xf>
    <xf numFmtId="4" fontId="7" fillId="0" borderId="29" xfId="1" applyNumberFormat="1" applyFont="1" applyBorder="1" applyAlignment="1" applyProtection="1">
      <alignment horizontal="center" vertical="center"/>
    </xf>
    <xf numFmtId="4" fontId="7" fillId="0" borderId="19" xfId="0" applyNumberFormat="1" applyFont="1" applyBorder="1" applyAlignment="1">
      <alignment horizontal="center" vertical="center" wrapText="1"/>
    </xf>
    <xf numFmtId="0" fontId="16" fillId="0" borderId="0" xfId="0" applyFont="1" applyAlignment="1">
      <alignment wrapText="1"/>
    </xf>
    <xf numFmtId="0" fontId="16" fillId="0" borderId="0" xfId="0" applyFont="1" applyAlignment="1">
      <alignment vertical="top" wrapText="1"/>
    </xf>
    <xf numFmtId="4" fontId="0" fillId="0" borderId="19" xfId="0" applyNumberFormat="1" applyBorder="1" applyAlignment="1">
      <alignment horizontal="center"/>
    </xf>
    <xf numFmtId="0" fontId="2" fillId="0" borderId="2" xfId="0" applyFont="1" applyBorder="1"/>
    <xf numFmtId="0" fontId="1" fillId="0" borderId="2" xfId="0" applyFont="1" applyBorder="1"/>
    <xf numFmtId="0" fontId="1" fillId="0" borderId="44" xfId="0" applyFont="1" applyBorder="1"/>
    <xf numFmtId="0" fontId="1" fillId="0" borderId="3" xfId="0" applyFont="1" applyBorder="1"/>
    <xf numFmtId="0" fontId="1" fillId="0" borderId="45" xfId="0" applyFont="1" applyBorder="1"/>
    <xf numFmtId="0" fontId="38" fillId="0" borderId="0" xfId="0" applyFont="1" applyAlignment="1">
      <alignment vertical="center"/>
    </xf>
    <xf numFmtId="0" fontId="6" fillId="11" borderId="58" xfId="0" applyFont="1" applyFill="1" applyBorder="1" applyAlignment="1">
      <alignment vertical="center"/>
    </xf>
    <xf numFmtId="0" fontId="39" fillId="11" borderId="59" xfId="0" applyFont="1" applyFill="1" applyBorder="1" applyAlignment="1">
      <alignment vertical="center" wrapText="1"/>
    </xf>
    <xf numFmtId="0" fontId="20" fillId="11" borderId="59" xfId="0" applyFont="1" applyFill="1" applyBorder="1" applyAlignment="1">
      <alignment vertical="center"/>
    </xf>
    <xf numFmtId="0" fontId="18" fillId="11" borderId="59" xfId="0" applyFont="1" applyFill="1" applyBorder="1" applyAlignment="1">
      <alignment vertical="center"/>
    </xf>
    <xf numFmtId="0" fontId="6" fillId="11" borderId="59" xfId="0" applyFont="1" applyFill="1" applyBorder="1" applyAlignment="1">
      <alignment vertical="center"/>
    </xf>
    <xf numFmtId="0" fontId="5" fillId="11" borderId="2" xfId="0" applyFont="1" applyFill="1" applyBorder="1" applyAlignment="1">
      <alignment horizontal="center" vertical="center" wrapText="1"/>
    </xf>
    <xf numFmtId="0" fontId="9" fillId="11" borderId="22" xfId="0" applyFont="1" applyFill="1" applyBorder="1" applyAlignment="1">
      <alignment horizontal="center" vertical="center" wrapText="1"/>
    </xf>
    <xf numFmtId="0" fontId="10" fillId="11" borderId="25" xfId="0" applyFont="1" applyFill="1" applyBorder="1" applyAlignment="1">
      <alignment horizontal="center" vertical="center" wrapText="1"/>
    </xf>
    <xf numFmtId="0" fontId="9" fillId="11" borderId="22" xfId="0" applyFont="1" applyFill="1" applyBorder="1" applyAlignment="1">
      <alignment horizontal="center" vertical="center"/>
    </xf>
    <xf numFmtId="0" fontId="9" fillId="11" borderId="23" xfId="0" applyFont="1" applyFill="1" applyBorder="1" applyAlignment="1">
      <alignment horizontal="center" vertical="center" wrapText="1"/>
    </xf>
    <xf numFmtId="0" fontId="9" fillId="11" borderId="24" xfId="0" applyFont="1" applyFill="1" applyBorder="1" applyAlignment="1">
      <alignment horizontal="center" vertical="center" wrapText="1"/>
    </xf>
    <xf numFmtId="0" fontId="9" fillId="11" borderId="43" xfId="0" applyFont="1" applyFill="1" applyBorder="1" applyAlignment="1">
      <alignment horizontal="center" vertical="center" wrapText="1"/>
    </xf>
    <xf numFmtId="0" fontId="9" fillId="11" borderId="50" xfId="0" applyFont="1" applyFill="1" applyBorder="1" applyAlignment="1">
      <alignment horizontal="center" vertical="center" wrapText="1"/>
    </xf>
    <xf numFmtId="0" fontId="9" fillId="11" borderId="51" xfId="0" applyFont="1" applyFill="1" applyBorder="1" applyAlignment="1">
      <alignment horizontal="center" vertical="center" wrapText="1"/>
    </xf>
    <xf numFmtId="0" fontId="9" fillId="11" borderId="63" xfId="0" applyFont="1" applyFill="1" applyBorder="1" applyAlignment="1">
      <alignment horizontal="center" vertical="center" wrapText="1"/>
    </xf>
    <xf numFmtId="0" fontId="10" fillId="11" borderId="24" xfId="0" applyFont="1" applyFill="1" applyBorder="1" applyAlignment="1">
      <alignment horizontal="center" vertical="center" wrapText="1"/>
    </xf>
    <xf numFmtId="0" fontId="9" fillId="11" borderId="25" xfId="0" applyFont="1" applyFill="1" applyBorder="1" applyAlignment="1">
      <alignment horizontal="center" vertical="center" wrapText="1"/>
    </xf>
    <xf numFmtId="0" fontId="1" fillId="0" borderId="12" xfId="0" applyFont="1" applyBorder="1" applyAlignment="1">
      <alignment vertical="center" wrapText="1"/>
    </xf>
    <xf numFmtId="1" fontId="1" fillId="0" borderId="12" xfId="0" applyNumberFormat="1" applyFont="1" applyBorder="1" applyAlignment="1">
      <alignment horizontal="center" vertical="center"/>
    </xf>
    <xf numFmtId="1" fontId="1" fillId="0" borderId="11" xfId="0" applyNumberFormat="1" applyFont="1" applyBorder="1" applyAlignment="1">
      <alignment horizontal="center" vertical="center"/>
    </xf>
    <xf numFmtId="4" fontId="1" fillId="0" borderId="12" xfId="0" applyNumberFormat="1" applyFont="1" applyBorder="1" applyAlignment="1">
      <alignment horizontal="center" vertical="center"/>
    </xf>
    <xf numFmtId="4" fontId="1" fillId="0" borderId="13" xfId="0" applyNumberFormat="1" applyFont="1" applyBorder="1" applyAlignment="1">
      <alignment horizontal="center" vertical="center"/>
    </xf>
    <xf numFmtId="4" fontId="1" fillId="0" borderId="32" xfId="0" applyNumberFormat="1" applyFont="1" applyBorder="1" applyAlignment="1">
      <alignment horizontal="center" vertical="center"/>
    </xf>
    <xf numFmtId="164" fontId="5" fillId="0" borderId="33" xfId="1" applyFont="1" applyBorder="1" applyAlignment="1" applyProtection="1">
      <alignment horizontal="center" vertical="center"/>
    </xf>
    <xf numFmtId="164" fontId="5" fillId="0" borderId="34" xfId="1" applyFont="1" applyBorder="1" applyAlignment="1" applyProtection="1">
      <alignment horizontal="center" vertical="center"/>
    </xf>
    <xf numFmtId="4" fontId="1" fillId="0" borderId="42" xfId="0" applyNumberFormat="1" applyFont="1" applyBorder="1" applyAlignment="1">
      <alignment horizontal="center" vertical="center"/>
    </xf>
    <xf numFmtId="4" fontId="1" fillId="0" borderId="16" xfId="0" applyNumberFormat="1" applyFont="1" applyBorder="1" applyAlignment="1">
      <alignment horizontal="center" vertical="center"/>
    </xf>
    <xf numFmtId="164" fontId="5" fillId="0" borderId="12" xfId="1" applyFont="1" applyBorder="1" applyAlignment="1" applyProtection="1">
      <alignment horizontal="center" vertical="center"/>
    </xf>
    <xf numFmtId="164" fontId="5" fillId="0" borderId="13" xfId="1" applyFont="1" applyBorder="1" applyAlignment="1" applyProtection="1">
      <alignment horizontal="center" vertical="center"/>
    </xf>
    <xf numFmtId="164" fontId="1" fillId="0" borderId="11" xfId="1" applyFont="1" applyBorder="1" applyAlignment="1" applyProtection="1">
      <alignment horizontal="center" vertical="center"/>
    </xf>
    <xf numFmtId="164" fontId="1" fillId="0" borderId="12" xfId="1" applyFont="1" applyBorder="1" applyAlignment="1" applyProtection="1">
      <alignment horizontal="center" vertical="center"/>
    </xf>
    <xf numFmtId="164" fontId="5" fillId="0" borderId="64" xfId="1" applyFont="1" applyBorder="1" applyAlignment="1" applyProtection="1">
      <alignment horizontal="center" vertical="center"/>
    </xf>
    <xf numFmtId="164" fontId="5" fillId="11" borderId="11" xfId="1" applyFont="1" applyFill="1" applyBorder="1" applyAlignment="1" applyProtection="1">
      <alignment horizontal="center" vertical="center"/>
    </xf>
    <xf numFmtId="164" fontId="5" fillId="11" borderId="12" xfId="1" applyFont="1" applyFill="1" applyBorder="1" applyAlignment="1" applyProtection="1">
      <alignment horizontal="center" vertical="center"/>
    </xf>
    <xf numFmtId="164" fontId="5" fillId="11" borderId="14" xfId="1" applyFont="1" applyFill="1" applyBorder="1" applyAlignment="1" applyProtection="1">
      <alignment horizontal="center" vertical="center"/>
    </xf>
    <xf numFmtId="165" fontId="1" fillId="0" borderId="65" xfId="2" applyFont="1" applyBorder="1" applyAlignment="1" applyProtection="1">
      <alignment horizontal="right" vertical="center"/>
    </xf>
    <xf numFmtId="4" fontId="1" fillId="0" borderId="17" xfId="0" applyNumberFormat="1" applyFont="1" applyBorder="1" applyAlignment="1">
      <alignment horizontal="center" vertical="center"/>
    </xf>
    <xf numFmtId="164" fontId="5" fillId="0" borderId="4" xfId="1" applyFont="1" applyBorder="1" applyAlignment="1" applyProtection="1">
      <alignment horizontal="center" vertical="center"/>
    </xf>
    <xf numFmtId="164" fontId="5" fillId="0" borderId="19" xfId="1" applyFont="1" applyBorder="1" applyAlignment="1" applyProtection="1">
      <alignment horizontal="center" vertical="center"/>
    </xf>
    <xf numFmtId="4" fontId="1" fillId="0" borderId="21" xfId="0" applyNumberFormat="1" applyFont="1" applyBorder="1" applyAlignment="1">
      <alignment horizontal="center" vertical="center"/>
    </xf>
    <xf numFmtId="164" fontId="5" fillId="0" borderId="18" xfId="1" applyFont="1" applyBorder="1" applyAlignment="1" applyProtection="1">
      <alignment horizontal="center" vertical="center"/>
    </xf>
    <xf numFmtId="164" fontId="1" fillId="0" borderId="17" xfId="1" applyFont="1" applyBorder="1" applyAlignment="1" applyProtection="1">
      <alignment horizontal="center" vertical="center"/>
    </xf>
    <xf numFmtId="164" fontId="1" fillId="0" borderId="4" xfId="1" applyFont="1" applyBorder="1" applyAlignment="1" applyProtection="1">
      <alignment horizontal="center" vertical="center"/>
    </xf>
    <xf numFmtId="164" fontId="5" fillId="0" borderId="37" xfId="1" applyFont="1" applyBorder="1" applyAlignment="1" applyProtection="1">
      <alignment horizontal="center" vertical="center"/>
    </xf>
    <xf numFmtId="164" fontId="1" fillId="0" borderId="19" xfId="1" applyFont="1" applyBorder="1" applyAlignment="1" applyProtection="1">
      <alignment horizontal="center" vertical="center"/>
    </xf>
    <xf numFmtId="164" fontId="5" fillId="11" borderId="17" xfId="1" applyFont="1" applyFill="1" applyBorder="1" applyAlignment="1" applyProtection="1">
      <alignment horizontal="center" vertical="center"/>
    </xf>
    <xf numFmtId="164" fontId="5" fillId="11" borderId="4" xfId="1" applyFont="1" applyFill="1" applyBorder="1" applyAlignment="1" applyProtection="1">
      <alignment horizontal="center" vertical="center"/>
    </xf>
    <xf numFmtId="164" fontId="5" fillId="11" borderId="19" xfId="1" applyFont="1" applyFill="1" applyBorder="1" applyAlignment="1" applyProtection="1">
      <alignment horizontal="center" vertical="center"/>
    </xf>
    <xf numFmtId="0" fontId="5" fillId="0" borderId="66" xfId="0" applyFont="1" applyBorder="1" applyAlignment="1">
      <alignment horizontal="center" vertical="center" wrapText="1"/>
    </xf>
    <xf numFmtId="0" fontId="1" fillId="0" borderId="66" xfId="0" applyFont="1" applyBorder="1" applyAlignment="1">
      <alignment vertical="center" wrapText="1"/>
    </xf>
    <xf numFmtId="1" fontId="1" fillId="0" borderId="66" xfId="0" applyNumberFormat="1" applyFont="1" applyBorder="1" applyAlignment="1">
      <alignment horizontal="center" vertical="center"/>
    </xf>
    <xf numFmtId="1" fontId="1" fillId="0" borderId="67" xfId="0" applyNumberFormat="1" applyFont="1" applyBorder="1" applyAlignment="1">
      <alignment horizontal="center" vertical="center"/>
    </xf>
    <xf numFmtId="4" fontId="1" fillId="0" borderId="66" xfId="0" applyNumberFormat="1" applyFont="1" applyBorder="1" applyAlignment="1">
      <alignment horizontal="center" vertical="center"/>
    </xf>
    <xf numFmtId="4" fontId="1" fillId="0" borderId="40" xfId="0" applyNumberFormat="1" applyFont="1" applyBorder="1" applyAlignment="1">
      <alignment horizontal="center" vertical="center"/>
    </xf>
    <xf numFmtId="4" fontId="1" fillId="0" borderId="48" xfId="0" applyNumberFormat="1" applyFont="1" applyBorder="1" applyAlignment="1">
      <alignment horizontal="center" vertical="center"/>
    </xf>
    <xf numFmtId="164" fontId="5" fillId="0" borderId="43" xfId="1" applyFont="1" applyBorder="1" applyAlignment="1" applyProtection="1">
      <alignment horizontal="center" vertical="center"/>
    </xf>
    <xf numFmtId="164" fontId="5" fillId="0" borderId="50" xfId="1" applyFont="1" applyBorder="1" applyAlignment="1" applyProtection="1">
      <alignment horizontal="center" vertical="center"/>
    </xf>
    <xf numFmtId="4" fontId="1" fillId="0" borderId="51" xfId="0" applyNumberFormat="1" applyFont="1" applyBorder="1" applyAlignment="1">
      <alignment horizontal="center" vertical="center"/>
    </xf>
    <xf numFmtId="164" fontId="5" fillId="0" borderId="63" xfId="1" applyFont="1" applyBorder="1" applyAlignment="1" applyProtection="1">
      <alignment horizontal="center" vertical="center"/>
    </xf>
    <xf numFmtId="164" fontId="1" fillId="0" borderId="48" xfId="1" applyFont="1" applyBorder="1" applyAlignment="1" applyProtection="1">
      <alignment horizontal="center" vertical="center"/>
    </xf>
    <xf numFmtId="164" fontId="1" fillId="0" borderId="43" xfId="1" applyFont="1" applyBorder="1" applyAlignment="1" applyProtection="1">
      <alignment horizontal="center" vertical="center"/>
    </xf>
    <xf numFmtId="164" fontId="5" fillId="0" borderId="52" xfId="1" applyFont="1" applyBorder="1" applyAlignment="1" applyProtection="1">
      <alignment horizontal="center" vertical="center"/>
    </xf>
    <xf numFmtId="164" fontId="5" fillId="11" borderId="48" xfId="1" applyFont="1" applyFill="1" applyBorder="1" applyAlignment="1" applyProtection="1">
      <alignment horizontal="center" vertical="center"/>
    </xf>
    <xf numFmtId="164" fontId="5" fillId="11" borderId="43" xfId="1" applyFont="1" applyFill="1" applyBorder="1" applyAlignment="1" applyProtection="1">
      <alignment horizontal="center" vertical="center"/>
    </xf>
    <xf numFmtId="164" fontId="5" fillId="11" borderId="50" xfId="1" applyFont="1" applyFill="1" applyBorder="1" applyAlignment="1" applyProtection="1">
      <alignment horizontal="center" vertical="center"/>
    </xf>
    <xf numFmtId="165" fontId="1" fillId="0" borderId="45" xfId="2" applyFont="1" applyBorder="1" applyAlignment="1" applyProtection="1">
      <alignment horizontal="right" vertical="center"/>
    </xf>
    <xf numFmtId="1" fontId="18" fillId="11" borderId="5" xfId="0" applyNumberFormat="1" applyFont="1" applyFill="1" applyBorder="1" applyAlignment="1">
      <alignment horizontal="center" vertical="center"/>
    </xf>
    <xf numFmtId="4" fontId="18" fillId="11" borderId="7" xfId="0" applyNumberFormat="1" applyFont="1" applyFill="1" applyBorder="1" applyAlignment="1">
      <alignment horizontal="center" vertical="center"/>
    </xf>
    <xf numFmtId="4" fontId="18" fillId="11" borderId="6" xfId="0" applyNumberFormat="1" applyFont="1" applyFill="1" applyBorder="1" applyAlignment="1">
      <alignment horizontal="center" vertical="center"/>
    </xf>
    <xf numFmtId="4" fontId="18" fillId="11" borderId="5" xfId="0" applyNumberFormat="1" applyFont="1" applyFill="1" applyBorder="1" applyAlignment="1">
      <alignment horizontal="center" vertical="center"/>
    </xf>
    <xf numFmtId="4" fontId="18" fillId="11" borderId="8" xfId="0" applyNumberFormat="1" applyFont="1" applyFill="1" applyBorder="1" applyAlignment="1">
      <alignment horizontal="center" vertical="center"/>
    </xf>
    <xf numFmtId="164" fontId="18" fillId="11" borderId="10" xfId="1" applyFont="1" applyFill="1" applyBorder="1" applyAlignment="1" applyProtection="1">
      <alignment horizontal="center" vertical="center"/>
    </xf>
    <xf numFmtId="4" fontId="18" fillId="11" borderId="10" xfId="0" applyNumberFormat="1" applyFont="1" applyFill="1" applyBorder="1" applyAlignment="1">
      <alignment horizontal="center" vertical="center"/>
    </xf>
    <xf numFmtId="164" fontId="18" fillId="11" borderId="58" xfId="1" applyFont="1" applyFill="1" applyBorder="1" applyAlignment="1" applyProtection="1">
      <alignment horizontal="center" vertical="center"/>
    </xf>
    <xf numFmtId="164" fontId="18" fillId="11" borderId="5" xfId="1" applyFont="1" applyFill="1" applyBorder="1" applyAlignment="1" applyProtection="1">
      <alignment horizontal="center" vertical="center"/>
    </xf>
    <xf numFmtId="165" fontId="18" fillId="19" borderId="60" xfId="2" applyFont="1" applyFill="1" applyBorder="1" applyAlignment="1" applyProtection="1">
      <alignment horizontal="center" vertical="center"/>
    </xf>
    <xf numFmtId="0" fontId="7" fillId="0" borderId="3" xfId="0" applyFont="1" applyBorder="1" applyAlignment="1">
      <alignment vertical="center"/>
    </xf>
    <xf numFmtId="165" fontId="6" fillId="11" borderId="49" xfId="2" applyFont="1" applyFill="1" applyBorder="1" applyAlignment="1" applyProtection="1">
      <alignment vertical="center"/>
    </xf>
    <xf numFmtId="165" fontId="18" fillId="11" borderId="9" xfId="2" applyFont="1" applyFill="1" applyBorder="1" applyAlignment="1" applyProtection="1">
      <alignment vertical="center"/>
    </xf>
    <xf numFmtId="0" fontId="9" fillId="0" borderId="0" xfId="0" applyFont="1" applyAlignment="1">
      <alignment vertical="top"/>
    </xf>
    <xf numFmtId="4" fontId="9" fillId="0" borderId="0" xfId="0" applyNumberFormat="1" applyFont="1" applyAlignment="1">
      <alignment horizontal="center"/>
    </xf>
    <xf numFmtId="0" fontId="2" fillId="0" borderId="1" xfId="0" applyFont="1" applyBorder="1" applyAlignment="1">
      <alignment vertical="center"/>
    </xf>
    <xf numFmtId="0" fontId="9" fillId="0" borderId="2" xfId="0" applyFont="1" applyBorder="1" applyAlignment="1">
      <alignment vertical="center"/>
    </xf>
    <xf numFmtId="4" fontId="9" fillId="0" borderId="2" xfId="0" applyNumberFormat="1" applyFont="1" applyBorder="1" applyAlignment="1">
      <alignment horizontal="center" vertical="center"/>
    </xf>
    <xf numFmtId="4" fontId="9" fillId="0" borderId="2" xfId="0" applyNumberFormat="1" applyFont="1" applyBorder="1" applyAlignment="1">
      <alignment horizontal="center"/>
    </xf>
    <xf numFmtId="4" fontId="9" fillId="0" borderId="44" xfId="0" applyNumberFormat="1" applyFont="1" applyBorder="1" applyAlignment="1">
      <alignment horizontal="center"/>
    </xf>
    <xf numFmtId="0" fontId="2" fillId="0" borderId="3" xfId="0" applyFont="1" applyBorder="1" applyAlignment="1">
      <alignment vertical="center"/>
    </xf>
    <xf numFmtId="4" fontId="9" fillId="0" borderId="0" xfId="0" applyNumberFormat="1" applyFont="1" applyAlignment="1">
      <alignment horizontal="center" vertical="center"/>
    </xf>
    <xf numFmtId="4" fontId="9" fillId="0" borderId="45" xfId="0" applyNumberFormat="1" applyFont="1" applyBorder="1" applyAlignment="1">
      <alignment horizontal="center"/>
    </xf>
    <xf numFmtId="0" fontId="10" fillId="0" borderId="0" xfId="0" applyFont="1"/>
    <xf numFmtId="0" fontId="9" fillId="11" borderId="56" xfId="0" applyFont="1" applyFill="1" applyBorder="1" applyAlignment="1">
      <alignment vertical="center" wrapText="1"/>
    </xf>
    <xf numFmtId="0" fontId="10" fillId="0" borderId="4" xfId="0" applyFont="1" applyBorder="1" applyAlignment="1">
      <alignment horizontal="center" vertical="center" wrapText="1"/>
    </xf>
    <xf numFmtId="0" fontId="10" fillId="0" borderId="63" xfId="0" applyFont="1" applyBorder="1" applyAlignment="1">
      <alignment horizontal="center" vertical="center"/>
    </xf>
    <xf numFmtId="0" fontId="9" fillId="0" borderId="48" xfId="0" applyFont="1" applyBorder="1" applyAlignment="1">
      <alignment horizontal="center" vertical="center"/>
    </xf>
    <xf numFmtId="4" fontId="9" fillId="11" borderId="4" xfId="0" applyNumberFormat="1" applyFont="1" applyFill="1" applyBorder="1" applyAlignment="1">
      <alignment horizontal="center" vertical="center"/>
    </xf>
    <xf numFmtId="4" fontId="9" fillId="0" borderId="4" xfId="0" applyNumberFormat="1" applyFont="1" applyBorder="1" applyAlignment="1">
      <alignment horizontal="center" vertical="center"/>
    </xf>
    <xf numFmtId="4" fontId="9" fillId="0" borderId="19" xfId="0" applyNumberFormat="1" applyFont="1" applyBorder="1" applyAlignment="1">
      <alignment horizontal="center" vertical="center"/>
    </xf>
    <xf numFmtId="10" fontId="9" fillId="0" borderId="4" xfId="0" applyNumberFormat="1" applyFont="1" applyBorder="1" applyAlignment="1">
      <alignment horizontal="center" vertical="center"/>
    </xf>
    <xf numFmtId="0" fontId="9" fillId="0" borderId="43" xfId="0" applyFont="1" applyBorder="1" applyAlignment="1">
      <alignment vertical="center" wrapText="1"/>
    </xf>
    <xf numFmtId="10" fontId="9" fillId="0" borderId="43" xfId="0" applyNumberFormat="1" applyFont="1" applyBorder="1" applyAlignment="1">
      <alignment horizontal="center" vertical="center" wrapText="1"/>
    </xf>
    <xf numFmtId="4" fontId="9" fillId="11" borderId="43" xfId="0" applyNumberFormat="1" applyFont="1" applyFill="1" applyBorder="1" applyAlignment="1">
      <alignment horizontal="center" vertical="center"/>
    </xf>
    <xf numFmtId="4" fontId="9" fillId="0" borderId="43" xfId="0" applyNumberFormat="1" applyFont="1" applyBorder="1" applyAlignment="1">
      <alignment horizontal="center" vertical="center"/>
    </xf>
    <xf numFmtId="4" fontId="9" fillId="0" borderId="50" xfId="0" applyNumberFormat="1" applyFont="1" applyBorder="1" applyAlignment="1">
      <alignment horizontal="center" vertical="center"/>
    </xf>
    <xf numFmtId="4" fontId="7" fillId="11" borderId="4" xfId="0" applyNumberFormat="1" applyFont="1" applyFill="1" applyBorder="1" applyAlignment="1">
      <alignment horizontal="center" vertical="center"/>
    </xf>
    <xf numFmtId="4" fontId="7" fillId="11" borderId="19" xfId="0" applyNumberFormat="1" applyFont="1" applyFill="1" applyBorder="1" applyAlignment="1">
      <alignment horizontal="center" vertical="center"/>
    </xf>
    <xf numFmtId="10" fontId="9" fillId="0" borderId="12" xfId="0" applyNumberFormat="1" applyFont="1" applyBorder="1" applyAlignment="1">
      <alignment horizontal="center" vertical="center"/>
    </xf>
    <xf numFmtId="4" fontId="7" fillId="11" borderId="7" xfId="0" applyNumberFormat="1" applyFont="1" applyFill="1" applyBorder="1" applyAlignment="1">
      <alignment horizontal="center" vertical="center"/>
    </xf>
    <xf numFmtId="4" fontId="7" fillId="11" borderId="8" xfId="0" applyNumberFormat="1" applyFont="1" applyFill="1" applyBorder="1" applyAlignment="1">
      <alignment horizontal="center" vertical="center"/>
    </xf>
    <xf numFmtId="0" fontId="9" fillId="0" borderId="17" xfId="0" applyFont="1" applyBorder="1" applyAlignment="1">
      <alignment horizontal="center" vertical="center"/>
    </xf>
    <xf numFmtId="0" fontId="9" fillId="0" borderId="17" xfId="0" applyFont="1" applyBorder="1" applyAlignment="1">
      <alignment horizontal="left" vertical="center"/>
    </xf>
    <xf numFmtId="2" fontId="9" fillId="0" borderId="4" xfId="0" applyNumberFormat="1" applyFont="1" applyBorder="1" applyAlignment="1">
      <alignment horizontal="center" vertical="center"/>
    </xf>
    <xf numFmtId="2" fontId="9" fillId="0" borderId="4" xfId="1" applyNumberFormat="1" applyFont="1" applyBorder="1" applyAlignment="1" applyProtection="1">
      <alignment horizontal="center" vertical="center"/>
    </xf>
    <xf numFmtId="10" fontId="9" fillId="0" borderId="4" xfId="3" applyNumberFormat="1" applyFont="1" applyBorder="1" applyAlignment="1" applyProtection="1">
      <alignment horizontal="center" vertical="center"/>
    </xf>
    <xf numFmtId="0" fontId="9" fillId="0" borderId="4" xfId="0" applyFont="1" applyBorder="1" applyAlignment="1">
      <alignment horizontal="left" vertical="center"/>
    </xf>
    <xf numFmtId="2" fontId="9" fillId="0" borderId="43" xfId="1" applyNumberFormat="1" applyFont="1" applyBorder="1" applyAlignment="1" applyProtection="1">
      <alignment horizontal="center" vertical="center"/>
    </xf>
    <xf numFmtId="2" fontId="9" fillId="0" borderId="43" xfId="0" applyNumberFormat="1" applyFont="1" applyBorder="1" applyAlignment="1">
      <alignment horizontal="center" vertical="center"/>
    </xf>
    <xf numFmtId="0" fontId="9" fillId="0" borderId="37" xfId="0" applyFont="1" applyBorder="1" applyAlignment="1">
      <alignment vertical="center"/>
    </xf>
    <xf numFmtId="0" fontId="9" fillId="0" borderId="54" xfId="0" applyFont="1" applyBorder="1" applyAlignment="1">
      <alignment vertical="center"/>
    </xf>
    <xf numFmtId="4" fontId="9" fillId="0" borderId="54" xfId="0" applyNumberFormat="1" applyFont="1" applyBorder="1" applyAlignment="1">
      <alignment vertical="center"/>
    </xf>
    <xf numFmtId="0" fontId="9" fillId="0" borderId="52" xfId="0" applyFont="1" applyBorder="1" applyAlignment="1">
      <alignment vertical="center"/>
    </xf>
    <xf numFmtId="0" fontId="9" fillId="0" borderId="31" xfId="0" applyFont="1" applyBorder="1" applyAlignment="1">
      <alignment vertical="center"/>
    </xf>
    <xf numFmtId="10" fontId="9" fillId="0" borderId="43" xfId="0" applyNumberFormat="1" applyFont="1" applyBorder="1" applyAlignment="1">
      <alignment horizontal="center" vertical="center"/>
    </xf>
    <xf numFmtId="4" fontId="9" fillId="0" borderId="31" xfId="0" applyNumberFormat="1" applyFont="1" applyBorder="1" applyAlignment="1">
      <alignment vertical="center"/>
    </xf>
    <xf numFmtId="0" fontId="7" fillId="11" borderId="58" xfId="0" applyFont="1" applyFill="1" applyBorder="1" applyAlignment="1">
      <alignment vertical="center"/>
    </xf>
    <xf numFmtId="0" fontId="7" fillId="11" borderId="59" xfId="0" applyFont="1" applyFill="1" applyBorder="1" applyAlignment="1">
      <alignment vertical="center"/>
    </xf>
    <xf numFmtId="10" fontId="7" fillId="11" borderId="7" xfId="0" applyNumberFormat="1" applyFont="1" applyFill="1" applyBorder="1" applyAlignment="1">
      <alignment horizontal="center" vertical="center"/>
    </xf>
    <xf numFmtId="4" fontId="7" fillId="11" borderId="7" xfId="0" applyNumberFormat="1" applyFont="1" applyFill="1" applyBorder="1" applyAlignment="1">
      <alignment vertical="center"/>
    </xf>
    <xf numFmtId="4" fontId="7" fillId="11" borderId="69" xfId="0" applyNumberFormat="1" applyFont="1" applyFill="1" applyBorder="1" applyAlignment="1">
      <alignment horizontal="center" vertical="center"/>
    </xf>
    <xf numFmtId="4" fontId="7" fillId="11" borderId="29" xfId="0" applyNumberFormat="1" applyFont="1" applyFill="1" applyBorder="1" applyAlignment="1">
      <alignment horizontal="center" vertical="center"/>
    </xf>
    <xf numFmtId="10" fontId="7" fillId="11" borderId="43" xfId="0" applyNumberFormat="1" applyFont="1" applyFill="1" applyBorder="1" applyAlignment="1">
      <alignment horizontal="center" vertical="center"/>
    </xf>
    <xf numFmtId="4" fontId="7" fillId="11" borderId="43" xfId="0" applyNumberFormat="1" applyFont="1" applyFill="1" applyBorder="1" applyAlignment="1">
      <alignment horizontal="center" vertical="center"/>
    </xf>
    <xf numFmtId="4" fontId="7" fillId="11" borderId="66" xfId="0" applyNumberFormat="1" applyFont="1" applyFill="1" applyBorder="1" applyAlignment="1">
      <alignment horizontal="center" vertical="center"/>
    </xf>
    <xf numFmtId="4" fontId="7" fillId="11" borderId="70" xfId="0" applyNumberFormat="1" applyFont="1" applyFill="1" applyBorder="1" applyAlignment="1">
      <alignment horizontal="center" vertical="center"/>
    </xf>
    <xf numFmtId="4" fontId="18" fillId="11" borderId="4" xfId="0" applyNumberFormat="1" applyFont="1" applyFill="1" applyBorder="1" applyAlignment="1">
      <alignment horizontal="center" vertical="center"/>
    </xf>
    <xf numFmtId="4" fontId="18" fillId="11" borderId="19" xfId="0" applyNumberFormat="1" applyFont="1" applyFill="1" applyBorder="1" applyAlignment="1">
      <alignment horizontal="center" vertical="center"/>
    </xf>
    <xf numFmtId="164" fontId="9" fillId="0" borderId="0" xfId="0" applyNumberFormat="1" applyFont="1"/>
    <xf numFmtId="2" fontId="18" fillId="11" borderId="23" xfId="0" applyNumberFormat="1" applyFont="1" applyFill="1" applyBorder="1" applyAlignment="1">
      <alignment horizontal="center" vertical="center"/>
    </xf>
    <xf numFmtId="165" fontId="7" fillId="13" borderId="25" xfId="2" applyFont="1" applyFill="1" applyBorder="1" applyAlignment="1" applyProtection="1">
      <alignment horizontal="center" vertical="center"/>
    </xf>
    <xf numFmtId="164" fontId="9" fillId="0" borderId="4" xfId="0" applyNumberFormat="1" applyFont="1" applyBorder="1" applyAlignment="1">
      <alignment horizontal="center" vertical="center"/>
    </xf>
    <xf numFmtId="4" fontId="9" fillId="0" borderId="4" xfId="0" applyNumberFormat="1" applyFont="1" applyBorder="1" applyAlignment="1">
      <alignment horizontal="center"/>
    </xf>
    <xf numFmtId="0" fontId="10" fillId="0" borderId="45" xfId="0" applyFont="1" applyBorder="1"/>
    <xf numFmtId="0" fontId="40" fillId="0" borderId="0" xfId="0" applyFont="1" applyAlignment="1">
      <alignment vertical="center" wrapText="1"/>
    </xf>
    <xf numFmtId="49" fontId="41" fillId="8" borderId="10" xfId="0" applyNumberFormat="1" applyFont="1" applyFill="1" applyBorder="1" applyAlignment="1">
      <alignment horizontal="center" vertical="center" wrapText="1"/>
    </xf>
    <xf numFmtId="49" fontId="26" fillId="0" borderId="7" xfId="0" applyNumberFormat="1" applyFont="1" applyBorder="1" applyAlignment="1">
      <alignment horizontal="center" vertical="center" wrapText="1"/>
    </xf>
    <xf numFmtId="49" fontId="26" fillId="0" borderId="8" xfId="0" applyNumberFormat="1" applyFont="1" applyBorder="1" applyAlignment="1">
      <alignment horizontal="center" vertical="center" wrapText="1"/>
    </xf>
    <xf numFmtId="0" fontId="26" fillId="0" borderId="0" xfId="0" applyFont="1" applyAlignment="1">
      <alignment vertical="center"/>
    </xf>
    <xf numFmtId="0" fontId="27" fillId="8" borderId="3" xfId="0" applyFont="1" applyFill="1" applyBorder="1" applyAlignment="1">
      <alignment horizontal="center" vertical="center"/>
    </xf>
    <xf numFmtId="0" fontId="42" fillId="20" borderId="5" xfId="0" applyFont="1" applyFill="1" applyBorder="1" applyAlignment="1">
      <alignment horizontal="center" vertical="center"/>
    </xf>
    <xf numFmtId="4" fontId="42" fillId="20" borderId="7" xfId="0" applyNumberFormat="1" applyFont="1" applyFill="1" applyBorder="1" applyAlignment="1">
      <alignment vertical="center"/>
    </xf>
    <xf numFmtId="4" fontId="42" fillId="20" borderId="8" xfId="0" applyNumberFormat="1" applyFont="1" applyFill="1" applyBorder="1" applyAlignment="1">
      <alignment vertical="center"/>
    </xf>
    <xf numFmtId="0" fontId="9" fillId="0" borderId="11" xfId="0" applyFont="1" applyBorder="1" applyAlignment="1">
      <alignment horizontal="center" vertical="center"/>
    </xf>
    <xf numFmtId="4" fontId="9" fillId="8" borderId="12" xfId="4" applyNumberFormat="1" applyFont="1" applyFill="1" applyBorder="1" applyAlignment="1" applyProtection="1">
      <alignment vertical="center"/>
    </xf>
    <xf numFmtId="4" fontId="9" fillId="8" borderId="14" xfId="4" applyNumberFormat="1" applyFont="1" applyFill="1" applyBorder="1" applyAlignment="1" applyProtection="1">
      <alignment vertical="center"/>
    </xf>
    <xf numFmtId="10" fontId="16" fillId="0" borderId="4" xfId="0" applyNumberFormat="1" applyFont="1" applyBorder="1" applyAlignment="1">
      <alignment horizontal="center" vertical="center"/>
    </xf>
    <xf numFmtId="4" fontId="9" fillId="8" borderId="4" xfId="4" applyNumberFormat="1" applyFont="1" applyFill="1" applyBorder="1" applyAlignment="1" applyProtection="1">
      <alignment vertical="center"/>
    </xf>
    <xf numFmtId="4" fontId="9" fillId="8" borderId="19" xfId="4" applyNumberFormat="1" applyFont="1" applyFill="1" applyBorder="1" applyAlignment="1" applyProtection="1">
      <alignment vertical="center"/>
    </xf>
    <xf numFmtId="10" fontId="27" fillId="0" borderId="4" xfId="0" applyNumberFormat="1" applyFont="1" applyBorder="1" applyAlignment="1">
      <alignment horizontal="center" vertical="center"/>
    </xf>
    <xf numFmtId="4" fontId="7" fillId="8" borderId="4" xfId="4" applyNumberFormat="1" applyFont="1" applyFill="1" applyBorder="1" applyAlignment="1" applyProtection="1">
      <alignment horizontal="right" vertical="center"/>
    </xf>
    <xf numFmtId="4" fontId="7" fillId="8" borderId="19" xfId="4" applyNumberFormat="1" applyFont="1" applyFill="1" applyBorder="1" applyAlignment="1" applyProtection="1">
      <alignment horizontal="right" vertical="center"/>
    </xf>
    <xf numFmtId="0" fontId="27" fillId="11" borderId="17" xfId="0" applyFont="1" applyFill="1" applyBorder="1" applyAlignment="1">
      <alignment horizontal="center" vertical="center"/>
    </xf>
    <xf numFmtId="0" fontId="27" fillId="11" borderId="4" xfId="0" applyFont="1" applyFill="1" applyBorder="1" applyAlignment="1">
      <alignment vertical="center"/>
    </xf>
    <xf numFmtId="0" fontId="9" fillId="0" borderId="4" xfId="0" applyFont="1" applyBorder="1" applyAlignment="1">
      <alignment vertical="center"/>
    </xf>
    <xf numFmtId="4" fontId="9" fillId="0" borderId="4" xfId="0" applyNumberFormat="1" applyFont="1" applyBorder="1" applyAlignment="1">
      <alignment vertical="center"/>
    </xf>
    <xf numFmtId="4" fontId="9" fillId="0" borderId="19" xfId="0" applyNumberFormat="1" applyFont="1" applyBorder="1" applyAlignment="1">
      <alignment vertical="center"/>
    </xf>
    <xf numFmtId="4" fontId="27" fillId="0" borderId="4" xfId="0" applyNumberFormat="1" applyFont="1" applyBorder="1" applyAlignment="1">
      <alignment vertical="center"/>
    </xf>
    <xf numFmtId="4" fontId="27" fillId="0" borderId="19" xfId="0" applyNumberFormat="1" applyFont="1" applyBorder="1" applyAlignment="1">
      <alignment vertical="center"/>
    </xf>
    <xf numFmtId="10" fontId="27" fillId="11" borderId="4" xfId="0" applyNumberFormat="1" applyFont="1" applyFill="1" applyBorder="1" applyAlignment="1">
      <alignment horizontal="center" vertical="center"/>
    </xf>
    <xf numFmtId="10" fontId="9" fillId="0" borderId="4" xfId="0" applyNumberFormat="1" applyFont="1" applyBorder="1" applyAlignment="1">
      <alignment vertical="center" wrapText="1"/>
    </xf>
    <xf numFmtId="4" fontId="9" fillId="8" borderId="4" xfId="0" applyNumberFormat="1" applyFont="1" applyFill="1" applyBorder="1" applyAlignment="1">
      <alignment horizontal="right" vertical="center"/>
    </xf>
    <xf numFmtId="4" fontId="9" fillId="8" borderId="19" xfId="0" applyNumberFormat="1" applyFont="1" applyFill="1" applyBorder="1" applyAlignment="1">
      <alignment horizontal="right" vertical="center"/>
    </xf>
    <xf numFmtId="0" fontId="27" fillId="0" borderId="17" xfId="0" applyFont="1" applyBorder="1" applyAlignment="1">
      <alignment horizontal="center" vertical="center"/>
    </xf>
    <xf numFmtId="10" fontId="27" fillId="0" borderId="4" xfId="0" applyNumberFormat="1" applyFont="1" applyBorder="1" applyAlignment="1">
      <alignment vertical="center" wrapText="1"/>
    </xf>
    <xf numFmtId="4" fontId="27" fillId="8" borderId="4" xfId="0" applyNumberFormat="1" applyFont="1" applyFill="1" applyBorder="1" applyAlignment="1">
      <alignment horizontal="right" vertical="center"/>
    </xf>
    <xf numFmtId="4" fontId="27" fillId="8" borderId="19" xfId="0" applyNumberFormat="1" applyFont="1" applyFill="1" applyBorder="1" applyAlignment="1">
      <alignment horizontal="right" vertical="center"/>
    </xf>
    <xf numFmtId="0" fontId="9" fillId="8" borderId="17" xfId="0" applyFont="1" applyFill="1" applyBorder="1" applyAlignment="1">
      <alignment horizontal="center" vertical="center"/>
    </xf>
    <xf numFmtId="0" fontId="27" fillId="0" borderId="48" xfId="0" applyFont="1" applyBorder="1" applyAlignment="1">
      <alignment vertical="center"/>
    </xf>
    <xf numFmtId="4" fontId="27" fillId="0" borderId="43" xfId="0" applyNumberFormat="1" applyFont="1" applyBorder="1" applyAlignment="1">
      <alignment horizontal="right" vertical="center"/>
    </xf>
    <xf numFmtId="4" fontId="27" fillId="0" borderId="50" xfId="0" applyNumberFormat="1" applyFont="1" applyBorder="1" applyAlignment="1">
      <alignment horizontal="right" vertical="center"/>
    </xf>
    <xf numFmtId="0" fontId="27" fillId="11" borderId="11" xfId="0" applyFont="1" applyFill="1" applyBorder="1" applyAlignment="1">
      <alignment vertical="center"/>
    </xf>
    <xf numFmtId="0" fontId="27" fillId="11" borderId="12" xfId="0" applyFont="1" applyFill="1" applyBorder="1" applyAlignment="1">
      <alignment vertical="center"/>
    </xf>
    <xf numFmtId="4" fontId="16" fillId="8" borderId="4" xfId="0" applyNumberFormat="1" applyFont="1" applyFill="1" applyBorder="1" applyAlignment="1">
      <alignment vertical="center"/>
    </xf>
    <xf numFmtId="4" fontId="16" fillId="8" borderId="19" xfId="0" applyNumberFormat="1" applyFont="1" applyFill="1" applyBorder="1" applyAlignment="1">
      <alignment vertical="center"/>
    </xf>
    <xf numFmtId="0" fontId="27" fillId="0" borderId="4" xfId="0" applyFont="1" applyBorder="1" applyAlignment="1">
      <alignment vertical="center"/>
    </xf>
    <xf numFmtId="4" fontId="27" fillId="8" borderId="4" xfId="0" applyNumberFormat="1" applyFont="1" applyFill="1" applyBorder="1" applyAlignment="1">
      <alignment vertical="center"/>
    </xf>
    <xf numFmtId="4" fontId="27" fillId="8" borderId="19" xfId="0" applyNumberFormat="1" applyFont="1" applyFill="1" applyBorder="1" applyAlignment="1">
      <alignment vertical="center"/>
    </xf>
    <xf numFmtId="0" fontId="9" fillId="0" borderId="43" xfId="0" applyFont="1" applyBorder="1" applyAlignment="1">
      <alignment vertical="center"/>
    </xf>
    <xf numFmtId="4" fontId="16" fillId="8" borderId="43" xfId="0" applyNumberFormat="1" applyFont="1" applyFill="1" applyBorder="1" applyAlignment="1">
      <alignment vertical="center"/>
    </xf>
    <xf numFmtId="4" fontId="16" fillId="8" borderId="50" xfId="0" applyNumberFormat="1" applyFont="1" applyFill="1" applyBorder="1" applyAlignment="1">
      <alignment vertical="center"/>
    </xf>
    <xf numFmtId="0" fontId="27" fillId="11" borderId="5" xfId="0" applyFont="1" applyFill="1" applyBorder="1" applyAlignment="1">
      <alignment vertical="center"/>
    </xf>
    <xf numFmtId="0" fontId="27" fillId="11" borderId="7" xfId="0" applyFont="1" applyFill="1" applyBorder="1" applyAlignment="1">
      <alignment vertical="center"/>
    </xf>
    <xf numFmtId="4" fontId="27" fillId="11" borderId="7" xfId="0" applyNumberFormat="1" applyFont="1" applyFill="1" applyBorder="1" applyAlignment="1">
      <alignment vertical="center"/>
    </xf>
    <xf numFmtId="4" fontId="27" fillId="11" borderId="8" xfId="0" applyNumberFormat="1" applyFont="1" applyFill="1" applyBorder="1" applyAlignment="1">
      <alignment vertical="center"/>
    </xf>
    <xf numFmtId="0" fontId="26" fillId="0" borderId="18" xfId="0" applyFont="1" applyBorder="1" applyAlignment="1">
      <alignment horizontal="right" vertical="center"/>
    </xf>
    <xf numFmtId="0" fontId="28" fillId="16" borderId="4" xfId="0" applyFont="1" applyFill="1" applyBorder="1" applyAlignment="1">
      <alignment horizontal="center" vertical="center"/>
    </xf>
    <xf numFmtId="0" fontId="5" fillId="16" borderId="4" xfId="0" applyFont="1" applyFill="1" applyBorder="1" applyAlignment="1">
      <alignment horizontal="center" vertical="center"/>
    </xf>
    <xf numFmtId="0" fontId="17" fillId="0" borderId="4" xfId="0" applyFont="1" applyBorder="1" applyAlignment="1">
      <alignment horizontal="center" vertical="center"/>
    </xf>
    <xf numFmtId="10" fontId="28" fillId="0" borderId="4" xfId="0" applyNumberFormat="1" applyFont="1" applyBorder="1" applyAlignment="1">
      <alignment horizontal="center" vertical="center"/>
    </xf>
    <xf numFmtId="0" fontId="28" fillId="0" borderId="4" xfId="0" applyFont="1" applyBorder="1" applyAlignment="1">
      <alignment horizontal="center" vertical="center"/>
    </xf>
    <xf numFmtId="4" fontId="1" fillId="0" borderId="4" xfId="0" applyNumberFormat="1" applyFont="1" applyBorder="1" applyAlignment="1">
      <alignment horizontal="center"/>
    </xf>
    <xf numFmtId="0" fontId="17" fillId="0" borderId="12" xfId="0" applyFont="1" applyBorder="1" applyAlignment="1">
      <alignment horizontal="center" vertical="center"/>
    </xf>
    <xf numFmtId="10" fontId="28" fillId="0" borderId="12" xfId="0" applyNumberFormat="1" applyFont="1" applyBorder="1" applyAlignment="1">
      <alignment horizontal="center" vertical="center"/>
    </xf>
    <xf numFmtId="0" fontId="28" fillId="0" borderId="12" xfId="0" applyFont="1" applyBorder="1" applyAlignment="1">
      <alignment horizontal="center" vertical="center"/>
    </xf>
    <xf numFmtId="10" fontId="44" fillId="8" borderId="4" xfId="0" applyNumberFormat="1" applyFont="1" applyFill="1" applyBorder="1" applyAlignment="1">
      <alignment horizontal="center" vertical="center"/>
    </xf>
    <xf numFmtId="0" fontId="16" fillId="0" borderId="4" xfId="0" applyFont="1" applyBorder="1" applyAlignment="1">
      <alignment horizontal="left" wrapText="1"/>
    </xf>
    <xf numFmtId="0" fontId="7" fillId="0" borderId="20" xfId="0" applyFont="1" applyBorder="1" applyAlignment="1">
      <alignment horizontal="center" vertical="center" wrapText="1"/>
    </xf>
    <xf numFmtId="0" fontId="7" fillId="5" borderId="32" xfId="0" applyFont="1" applyFill="1" applyBorder="1" applyAlignment="1">
      <alignment horizontal="center" vertical="center" wrapText="1"/>
    </xf>
    <xf numFmtId="0" fontId="7" fillId="5" borderId="37" xfId="0" applyFont="1" applyFill="1" applyBorder="1" applyAlignment="1">
      <alignment horizontal="right" vertical="center" wrapText="1"/>
    </xf>
    <xf numFmtId="0" fontId="7" fillId="5" borderId="22" xfId="0" applyFont="1" applyFill="1" applyBorder="1" applyAlignment="1">
      <alignment horizontal="right" vertical="center" wrapText="1"/>
    </xf>
    <xf numFmtId="0" fontId="1" fillId="0" borderId="4" xfId="0" applyFont="1" applyBorder="1" applyAlignment="1">
      <alignment horizontal="center"/>
    </xf>
    <xf numFmtId="0" fontId="7" fillId="5" borderId="38"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6" fillId="0" borderId="4" xfId="0" applyFont="1" applyBorder="1" applyAlignment="1">
      <alignment vertical="center" wrapText="1"/>
    </xf>
    <xf numFmtId="0" fontId="7" fillId="5" borderId="11" xfId="0" applyFont="1" applyFill="1" applyBorder="1" applyAlignment="1">
      <alignment horizontal="center" vertical="center" wrapText="1"/>
    </xf>
    <xf numFmtId="0" fontId="16" fillId="0" borderId="4" xfId="0" applyFont="1" applyBorder="1" applyAlignment="1">
      <alignment horizontal="left" vertical="center" wrapText="1"/>
    </xf>
    <xf numFmtId="0" fontId="5" fillId="4" borderId="8"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9" fillId="0" borderId="31" xfId="0" applyFont="1" applyBorder="1" applyAlignment="1">
      <alignment horizontal="left" vertical="center" wrapText="1"/>
    </xf>
    <xf numFmtId="0" fontId="7" fillId="5" borderId="33"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36" xfId="0" applyFont="1" applyFill="1" applyBorder="1" applyAlignment="1">
      <alignment horizontal="center" vertical="center" wrapText="1"/>
    </xf>
    <xf numFmtId="0" fontId="3" fillId="0" borderId="0" xfId="0" applyFont="1" applyAlignment="1">
      <alignment horizontal="center" vertical="top"/>
    </xf>
    <xf numFmtId="0" fontId="4" fillId="2"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8" fillId="0" borderId="0" xfId="0" applyFont="1" applyAlignment="1">
      <alignment horizontal="center" vertical="center"/>
    </xf>
    <xf numFmtId="0" fontId="1" fillId="0" borderId="23" xfId="0" applyFont="1" applyBorder="1" applyAlignment="1">
      <alignment horizontal="left" vertical="center"/>
    </xf>
    <xf numFmtId="0" fontId="1" fillId="0" borderId="43" xfId="0" applyFont="1" applyBorder="1" applyAlignment="1">
      <alignment horizontal="left" vertical="center"/>
    </xf>
    <xf numFmtId="0" fontId="5" fillId="0" borderId="33" xfId="0" applyFont="1" applyBorder="1" applyAlignment="1">
      <alignment horizontal="left" vertical="center"/>
    </xf>
    <xf numFmtId="0" fontId="1" fillId="0" borderId="42" xfId="0" applyFont="1" applyBorder="1" applyAlignment="1">
      <alignment horizontal="center"/>
    </xf>
    <xf numFmtId="0" fontId="5" fillId="0" borderId="12" xfId="0" applyFont="1" applyBorder="1" applyAlignment="1">
      <alignment horizontal="left" vertical="center"/>
    </xf>
    <xf numFmtId="0" fontId="5" fillId="11" borderId="4" xfId="0" applyFont="1" applyFill="1" applyBorder="1" applyAlignment="1">
      <alignment horizontal="center" vertical="center" wrapText="1"/>
    </xf>
    <xf numFmtId="0" fontId="5" fillId="11" borderId="23"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xf>
    <xf numFmtId="2" fontId="1" fillId="9" borderId="4" xfId="0" applyNumberFormat="1" applyFont="1" applyFill="1" applyBorder="1" applyAlignment="1">
      <alignment horizontal="center" vertical="center"/>
    </xf>
    <xf numFmtId="0" fontId="1" fillId="2" borderId="4" xfId="0" applyFont="1" applyFill="1" applyBorder="1" applyAlignment="1" applyProtection="1">
      <alignment horizontal="left" vertical="center"/>
      <protection locked="0"/>
    </xf>
    <xf numFmtId="0" fontId="5" fillId="11" borderId="4"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1" fillId="0" borderId="18" xfId="0" applyFont="1" applyBorder="1" applyAlignment="1">
      <alignment horizontal="left" vertical="center"/>
    </xf>
    <xf numFmtId="0" fontId="1" fillId="0" borderId="4" xfId="0" applyFont="1" applyBorder="1" applyAlignment="1">
      <alignment horizontal="left" vertical="center" wrapText="1"/>
    </xf>
    <xf numFmtId="0" fontId="9" fillId="11" borderId="4" xfId="0" applyFont="1" applyFill="1" applyBorder="1" applyAlignment="1">
      <alignment horizontal="center" vertical="center" wrapText="1"/>
    </xf>
    <xf numFmtId="0" fontId="5" fillId="0" borderId="4" xfId="0" applyFont="1" applyBorder="1" applyAlignment="1">
      <alignment horizontal="center" vertical="center" textRotation="90"/>
    </xf>
    <xf numFmtId="0" fontId="10" fillId="0" borderId="17" xfId="0" applyFont="1" applyBorder="1" applyAlignment="1">
      <alignment horizontal="left" vertical="center"/>
    </xf>
    <xf numFmtId="0" fontId="25" fillId="11" borderId="48" xfId="0" applyFont="1" applyFill="1" applyBorder="1" applyAlignment="1">
      <alignment horizontal="left" vertical="center"/>
    </xf>
    <xf numFmtId="0" fontId="19" fillId="14" borderId="49" xfId="0" applyFont="1" applyFill="1" applyBorder="1" applyAlignment="1">
      <alignment horizontal="justify" wrapText="1"/>
    </xf>
    <xf numFmtId="0" fontId="26" fillId="0" borderId="17" xfId="0" applyFont="1" applyBorder="1" applyAlignment="1">
      <alignment horizontal="left" vertical="center"/>
    </xf>
    <xf numFmtId="0" fontId="25" fillId="11" borderId="20" xfId="0" applyFont="1" applyFill="1" applyBorder="1" applyAlignment="1">
      <alignment horizontal="center" vertical="center"/>
    </xf>
    <xf numFmtId="0" fontId="28" fillId="15" borderId="35"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0" borderId="19" xfId="0" applyFont="1" applyBorder="1" applyAlignment="1">
      <alignment horizontal="center" vertical="center" wrapText="1"/>
    </xf>
    <xf numFmtId="0" fontId="25" fillId="11" borderId="19" xfId="0" applyFont="1" applyFill="1" applyBorder="1" applyAlignment="1">
      <alignment horizontal="left" vertical="center"/>
    </xf>
    <xf numFmtId="0" fontId="25" fillId="0" borderId="17" xfId="0" applyFont="1" applyBorder="1" applyAlignment="1">
      <alignment horizontal="left" vertical="center"/>
    </xf>
    <xf numFmtId="0" fontId="10" fillId="0" borderId="17" xfId="0" applyFont="1" applyBorder="1" applyAlignment="1">
      <alignment horizontal="left" vertical="center" wrapText="1"/>
    </xf>
    <xf numFmtId="0" fontId="25" fillId="11" borderId="17" xfId="0" applyFont="1" applyFill="1" applyBorder="1" applyAlignment="1">
      <alignment horizontal="left" vertical="center"/>
    </xf>
    <xf numFmtId="0" fontId="25" fillId="11" borderId="20" xfId="0" applyFont="1" applyFill="1" applyBorder="1" applyAlignment="1">
      <alignment horizontal="left" vertical="center"/>
    </xf>
    <xf numFmtId="0" fontId="23" fillId="11" borderId="46" xfId="0" applyFont="1" applyFill="1" applyBorder="1" applyAlignment="1">
      <alignment horizontal="center" vertical="center"/>
    </xf>
    <xf numFmtId="0" fontId="7" fillId="13" borderId="15" xfId="0" applyFont="1" applyFill="1" applyBorder="1" applyAlignment="1">
      <alignment horizontal="center" wrapText="1"/>
    </xf>
    <xf numFmtId="0" fontId="7" fillId="11" borderId="20" xfId="0" applyFont="1" applyFill="1" applyBorder="1" applyAlignment="1">
      <alignment horizontal="center" vertical="center"/>
    </xf>
    <xf numFmtId="0" fontId="18" fillId="0" borderId="22" xfId="0" applyFont="1" applyBorder="1" applyAlignment="1">
      <alignment horizontal="center" vertical="center"/>
    </xf>
    <xf numFmtId="0" fontId="20" fillId="11" borderId="46" xfId="0" applyFont="1" applyFill="1" applyBorder="1" applyAlignment="1">
      <alignment horizontal="center" vertical="center"/>
    </xf>
    <xf numFmtId="0" fontId="30" fillId="11" borderId="17"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1" borderId="19" xfId="0" applyFont="1" applyFill="1" applyBorder="1" applyAlignment="1">
      <alignment horizontal="center" vertical="center" wrapText="1"/>
    </xf>
    <xf numFmtId="0" fontId="7" fillId="16" borderId="4" xfId="0" applyFont="1" applyFill="1" applyBorder="1" applyAlignment="1">
      <alignment horizontal="center" vertical="center" wrapText="1"/>
    </xf>
    <xf numFmtId="0" fontId="5" fillId="13" borderId="15" xfId="0" applyFont="1" applyFill="1" applyBorder="1" applyAlignment="1">
      <alignment horizontal="center" vertical="center" wrapText="1"/>
    </xf>
    <xf numFmtId="0" fontId="21" fillId="11" borderId="37" xfId="0" applyFont="1" applyFill="1" applyBorder="1" applyAlignment="1">
      <alignment horizontal="center" wrapText="1"/>
    </xf>
    <xf numFmtId="49" fontId="5" fillId="11" borderId="17" xfId="0" applyNumberFormat="1" applyFont="1" applyFill="1" applyBorder="1" applyAlignment="1">
      <alignment horizontal="center" vertical="center" wrapText="1"/>
    </xf>
    <xf numFmtId="0" fontId="21" fillId="11" borderId="17" xfId="0" applyFont="1" applyFill="1" applyBorder="1" applyAlignment="1">
      <alignment horizontal="center" wrapText="1"/>
    </xf>
    <xf numFmtId="0" fontId="21" fillId="11" borderId="22" xfId="0" applyFont="1" applyFill="1" applyBorder="1" applyAlignment="1">
      <alignment horizontal="center" wrapText="1"/>
    </xf>
    <xf numFmtId="0" fontId="18" fillId="0" borderId="46" xfId="0" applyFont="1" applyBorder="1" applyAlignment="1">
      <alignment horizontal="center" vertical="center"/>
    </xf>
    <xf numFmtId="0" fontId="7" fillId="13" borderId="20" xfId="0" applyFont="1" applyFill="1" applyBorder="1" applyAlignment="1">
      <alignment horizontal="center" vertical="center" wrapText="1"/>
    </xf>
    <xf numFmtId="0" fontId="7" fillId="0" borderId="20" xfId="0" applyFont="1" applyBorder="1" applyAlignment="1">
      <alignment horizontal="center" vertical="center"/>
    </xf>
    <xf numFmtId="49" fontId="5" fillId="11" borderId="22" xfId="0" applyNumberFormat="1" applyFont="1" applyFill="1" applyBorder="1" applyAlignment="1">
      <alignment horizontal="left" vertical="center" wrapText="1"/>
    </xf>
    <xf numFmtId="0" fontId="5" fillId="0" borderId="17" xfId="0" applyFont="1" applyBorder="1" applyAlignment="1">
      <alignment horizontal="center" vertical="center"/>
    </xf>
    <xf numFmtId="0" fontId="18" fillId="11" borderId="55" xfId="0" applyFont="1" applyFill="1" applyBorder="1" applyAlignment="1">
      <alignment horizontal="left" vertical="center"/>
    </xf>
    <xf numFmtId="0" fontId="9" fillId="0" borderId="48" xfId="0" applyFont="1" applyBorder="1" applyAlignment="1">
      <alignment horizontal="center" vertical="center" wrapText="1"/>
    </xf>
    <xf numFmtId="4" fontId="7" fillId="0" borderId="22" xfId="0" applyNumberFormat="1" applyFont="1" applyBorder="1" applyAlignment="1">
      <alignment horizontal="center" vertical="center"/>
    </xf>
    <xf numFmtId="0" fontId="37" fillId="0" borderId="57" xfId="0" applyFont="1" applyBorder="1" applyAlignment="1">
      <alignment horizontal="center" vertical="center"/>
    </xf>
    <xf numFmtId="0" fontId="9" fillId="0" borderId="17" xfId="0" applyFont="1" applyBorder="1" applyAlignment="1">
      <alignment horizontal="center" vertical="center" wrapText="1"/>
    </xf>
    <xf numFmtId="4" fontId="7" fillId="0" borderId="17" xfId="0" applyNumberFormat="1" applyFont="1" applyBorder="1" applyAlignment="1">
      <alignment horizontal="center" vertical="center"/>
    </xf>
    <xf numFmtId="0" fontId="7" fillId="13" borderId="4" xfId="0" applyFont="1" applyFill="1" applyBorder="1" applyAlignment="1">
      <alignment horizontal="center" vertical="center" wrapText="1"/>
    </xf>
    <xf numFmtId="0" fontId="18" fillId="11" borderId="9" xfId="0" applyFont="1" applyFill="1" applyBorder="1" applyAlignment="1">
      <alignment horizontal="center" vertical="center"/>
    </xf>
    <xf numFmtId="0" fontId="7" fillId="13" borderId="15"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1" fillId="0" borderId="20" xfId="0" applyFont="1" applyBorder="1" applyAlignment="1">
      <alignment horizontal="left" vertical="center"/>
    </xf>
    <xf numFmtId="0" fontId="9" fillId="0" borderId="46" xfId="0" applyFont="1" applyBorder="1" applyAlignment="1">
      <alignment horizontal="left" vertical="center" wrapText="1"/>
    </xf>
    <xf numFmtId="0" fontId="9" fillId="0" borderId="49" xfId="0" applyFont="1" applyBorder="1" applyAlignment="1">
      <alignment horizontal="left" vertical="top" wrapText="1"/>
    </xf>
    <xf numFmtId="0" fontId="1" fillId="0" borderId="3" xfId="0" applyFont="1" applyBorder="1" applyAlignment="1">
      <alignment horizontal="left" vertical="center" wrapText="1"/>
    </xf>
    <xf numFmtId="0" fontId="7" fillId="0" borderId="5" xfId="0" applyFont="1" applyBorder="1" applyAlignment="1">
      <alignment horizontal="center" vertical="center" textRotation="91"/>
    </xf>
    <xf numFmtId="0" fontId="18" fillId="11" borderId="9" xfId="0" applyFont="1" applyFill="1" applyBorder="1" applyAlignment="1">
      <alignment horizontal="center" vertical="center" wrapText="1"/>
    </xf>
    <xf numFmtId="0" fontId="18" fillId="11" borderId="9" xfId="0" applyFont="1" applyFill="1" applyBorder="1" applyAlignment="1">
      <alignment horizontal="left" vertical="center"/>
    </xf>
    <xf numFmtId="0" fontId="13" fillId="0" borderId="46" xfId="0" applyFont="1" applyBorder="1" applyAlignment="1">
      <alignment horizontal="left"/>
    </xf>
    <xf numFmtId="0" fontId="9" fillId="11" borderId="41" xfId="0" applyFont="1" applyFill="1" applyBorder="1" applyAlignment="1">
      <alignment horizontal="center" vertical="center" wrapText="1"/>
    </xf>
    <xf numFmtId="0" fontId="9" fillId="11" borderId="61" xfId="0" applyFont="1" applyFill="1" applyBorder="1" applyAlignment="1">
      <alignment horizontal="center" vertical="center" wrapText="1"/>
    </xf>
    <xf numFmtId="0" fontId="9" fillId="11" borderId="35" xfId="0" applyFont="1" applyFill="1" applyBorder="1" applyAlignment="1">
      <alignment horizontal="center" vertical="center" wrapText="1"/>
    </xf>
    <xf numFmtId="0" fontId="9" fillId="11" borderId="58" xfId="0" applyFont="1" applyFill="1" applyBorder="1" applyAlignment="1">
      <alignment horizontal="center" vertical="center" wrapText="1"/>
    </xf>
    <xf numFmtId="0" fontId="20" fillId="18" borderId="20" xfId="0" applyFont="1" applyFill="1" applyBorder="1" applyAlignment="1">
      <alignment horizontal="center" vertical="center" wrapText="1"/>
    </xf>
    <xf numFmtId="0" fontId="5" fillId="0" borderId="20" xfId="0" applyFont="1" applyBorder="1" applyAlignment="1">
      <alignment horizontal="center" vertical="center" wrapText="1"/>
    </xf>
    <xf numFmtId="0" fontId="9" fillId="8" borderId="57" xfId="0" applyFont="1" applyFill="1" applyBorder="1" applyAlignment="1">
      <alignment horizontal="center" vertical="center"/>
    </xf>
    <xf numFmtId="0" fontId="18" fillId="11" borderId="60" xfId="0" applyFont="1" applyFill="1" applyBorder="1" applyAlignment="1">
      <alignment horizontal="center" vertical="center" wrapText="1"/>
    </xf>
    <xf numFmtId="0" fontId="7" fillId="11" borderId="49" xfId="0" applyFont="1" applyFill="1" applyBorder="1" applyAlignment="1">
      <alignment horizontal="center" vertical="center" textRotation="90"/>
    </xf>
    <xf numFmtId="0" fontId="5" fillId="11" borderId="46" xfId="0" applyFont="1" applyFill="1" applyBorder="1" applyAlignment="1">
      <alignment horizontal="center" vertical="center" wrapText="1"/>
    </xf>
    <xf numFmtId="0" fontId="18" fillId="11" borderId="55" xfId="0" applyFont="1" applyFill="1" applyBorder="1" applyAlignment="1">
      <alignment horizontal="center" vertical="center"/>
    </xf>
    <xf numFmtId="0" fontId="18" fillId="11" borderId="49" xfId="0" applyFont="1" applyFill="1" applyBorder="1" applyAlignment="1">
      <alignment horizontal="center" vertical="center" wrapText="1"/>
    </xf>
    <xf numFmtId="0" fontId="5" fillId="11" borderId="61"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5" fillId="11" borderId="36" xfId="0" applyFont="1" applyFill="1" applyBorder="1" applyAlignment="1">
      <alignment horizontal="center" vertical="center" wrapText="1"/>
    </xf>
    <xf numFmtId="0" fontId="7" fillId="11" borderId="36" xfId="0" applyFont="1" applyFill="1" applyBorder="1" applyAlignment="1">
      <alignment horizontal="center" vertical="center" wrapText="1"/>
    </xf>
    <xf numFmtId="0" fontId="9" fillId="11" borderId="37" xfId="0" applyFont="1" applyFill="1" applyBorder="1" applyAlignment="1">
      <alignment horizontal="center" vertical="center" wrapText="1"/>
    </xf>
    <xf numFmtId="0" fontId="17" fillId="11" borderId="62" xfId="0" applyFont="1" applyFill="1" applyBorder="1" applyAlignment="1">
      <alignment horizontal="center" vertical="center" wrapText="1"/>
    </xf>
    <xf numFmtId="0" fontId="9" fillId="11" borderId="34" xfId="0" applyFont="1" applyFill="1" applyBorder="1" applyAlignment="1">
      <alignment horizontal="center" vertical="center" wrapText="1"/>
    </xf>
    <xf numFmtId="0" fontId="7" fillId="11" borderId="22" xfId="0" applyFont="1" applyFill="1" applyBorder="1" applyAlignment="1">
      <alignment vertical="center"/>
    </xf>
    <xf numFmtId="4" fontId="7" fillId="13" borderId="23" xfId="0" applyNumberFormat="1" applyFont="1" applyFill="1" applyBorder="1" applyAlignment="1">
      <alignment horizontal="center" vertical="center" wrapText="1"/>
    </xf>
    <xf numFmtId="0" fontId="9" fillId="0" borderId="17" xfId="0" applyFont="1" applyBorder="1" applyAlignment="1">
      <alignment horizontal="left" vertical="center"/>
    </xf>
    <xf numFmtId="0" fontId="7" fillId="11" borderId="48" xfId="0" applyFont="1" applyFill="1" applyBorder="1" applyAlignment="1">
      <alignment horizontal="center" vertical="center"/>
    </xf>
    <xf numFmtId="0" fontId="7" fillId="11" borderId="17" xfId="0" applyFont="1" applyFill="1" applyBorder="1" applyAlignment="1">
      <alignment vertical="center"/>
    </xf>
    <xf numFmtId="0" fontId="7" fillId="11" borderId="17" xfId="0" applyFont="1" applyFill="1" applyBorder="1" applyAlignment="1">
      <alignment vertical="center" wrapText="1"/>
    </xf>
    <xf numFmtId="0" fontId="9" fillId="0" borderId="17" xfId="0" applyFont="1" applyBorder="1" applyAlignment="1">
      <alignment vertical="center"/>
    </xf>
    <xf numFmtId="0" fontId="7" fillId="11" borderId="55" xfId="0" applyFont="1" applyFill="1" applyBorder="1" applyAlignment="1">
      <alignment horizontal="left" vertical="center"/>
    </xf>
    <xf numFmtId="0" fontId="7" fillId="11" borderId="36" xfId="0" applyFont="1" applyFill="1" applyBorder="1" applyAlignment="1">
      <alignment horizontal="center" vertical="center"/>
    </xf>
    <xf numFmtId="0" fontId="7" fillId="11" borderId="5" xfId="0" applyFont="1" applyFill="1" applyBorder="1" applyAlignment="1">
      <alignment horizontal="left" vertical="center"/>
    </xf>
    <xf numFmtId="0" fontId="7" fillId="11" borderId="35" xfId="0" applyFont="1" applyFill="1" applyBorder="1" applyAlignment="1">
      <alignment horizontal="center" vertical="center"/>
    </xf>
    <xf numFmtId="0" fontId="9" fillId="0" borderId="17" xfId="0" applyFont="1" applyBorder="1" applyAlignment="1">
      <alignment horizontal="center" vertical="center"/>
    </xf>
    <xf numFmtId="4" fontId="9" fillId="0" borderId="47" xfId="0" applyNumberFormat="1" applyFont="1" applyBorder="1" applyAlignment="1">
      <alignment horizontal="center" vertical="center" wrapText="1"/>
    </xf>
    <xf numFmtId="0" fontId="9" fillId="0" borderId="48" xfId="0" applyFont="1" applyBorder="1" applyAlignment="1">
      <alignment horizontal="left" vertical="center"/>
    </xf>
    <xf numFmtId="0" fontId="9" fillId="0" borderId="17" xfId="0" applyFont="1" applyBorder="1" applyAlignment="1">
      <alignment horizontal="left" vertical="center" wrapText="1"/>
    </xf>
    <xf numFmtId="0" fontId="7" fillId="11" borderId="58" xfId="0" applyFont="1" applyFill="1" applyBorder="1" applyAlignment="1">
      <alignment horizontal="left" vertical="center"/>
    </xf>
    <xf numFmtId="0" fontId="7" fillId="11" borderId="15" xfId="0" applyFont="1" applyFill="1" applyBorder="1" applyAlignment="1">
      <alignment horizontal="center" vertical="center"/>
    </xf>
    <xf numFmtId="0" fontId="9" fillId="0" borderId="4" xfId="0" applyFont="1" applyBorder="1" applyAlignment="1">
      <alignment horizontal="center" vertical="center"/>
    </xf>
    <xf numFmtId="4" fontId="9" fillId="0" borderId="19" xfId="0" applyNumberFormat="1" applyFont="1" applyBorder="1" applyAlignment="1">
      <alignment horizontal="center" vertical="center"/>
    </xf>
    <xf numFmtId="0" fontId="10" fillId="0" borderId="4" xfId="0" applyFont="1" applyBorder="1" applyAlignment="1">
      <alignment horizontal="center" vertical="center"/>
    </xf>
    <xf numFmtId="4" fontId="10" fillId="0" borderId="19" xfId="0" applyNumberFormat="1" applyFont="1" applyBorder="1" applyAlignment="1">
      <alignment horizontal="center" vertical="center" wrapText="1"/>
    </xf>
    <xf numFmtId="0" fontId="9" fillId="0" borderId="48" xfId="0" applyFont="1" applyBorder="1" applyAlignment="1">
      <alignment horizontal="center" vertical="center"/>
    </xf>
    <xf numFmtId="0" fontId="9" fillId="0" borderId="4" xfId="0" applyFont="1" applyBorder="1" applyAlignment="1">
      <alignment horizontal="left" vertical="center" wrapText="1"/>
    </xf>
    <xf numFmtId="0" fontId="7" fillId="11" borderId="4" xfId="0" applyFont="1" applyFill="1" applyBorder="1" applyAlignment="1">
      <alignment horizontal="left" vertical="center"/>
    </xf>
    <xf numFmtId="0" fontId="9" fillId="0" borderId="66" xfId="0" applyFont="1" applyBorder="1" applyAlignment="1">
      <alignment horizontal="left" vertical="center"/>
    </xf>
    <xf numFmtId="0" fontId="18" fillId="11" borderId="46" xfId="0" applyFont="1" applyFill="1" applyBorder="1" applyAlignment="1">
      <alignment horizontal="center" vertical="center"/>
    </xf>
    <xf numFmtId="0" fontId="2" fillId="0" borderId="49" xfId="0" applyFont="1" applyBorder="1" applyAlignment="1">
      <alignment horizontal="left" vertical="center" wrapText="1"/>
    </xf>
    <xf numFmtId="0" fontId="7" fillId="0" borderId="35" xfId="0" applyFont="1" applyBorder="1" applyAlignment="1">
      <alignment horizontal="left" vertical="center" wrapText="1"/>
    </xf>
    <xf numFmtId="4" fontId="26" fillId="11" borderId="9" xfId="0" applyNumberFormat="1" applyFont="1" applyFill="1" applyBorder="1" applyAlignment="1">
      <alignment horizontal="center" vertical="center" wrapText="1"/>
    </xf>
    <xf numFmtId="0" fontId="7" fillId="11" borderId="68" xfId="0" applyFont="1" applyFill="1" applyBorder="1" applyAlignment="1">
      <alignment horizontal="left" vertical="center" wrapText="1"/>
    </xf>
    <xf numFmtId="0" fontId="27" fillId="0" borderId="17" xfId="0" applyFont="1" applyBorder="1" applyAlignment="1">
      <alignment horizontal="left" vertical="center"/>
    </xf>
    <xf numFmtId="0" fontId="27" fillId="11" borderId="9" xfId="0" applyFont="1" applyFill="1" applyBorder="1" applyAlignment="1">
      <alignment horizontal="center" vertical="center"/>
    </xf>
    <xf numFmtId="0" fontId="27" fillId="8" borderId="9" xfId="0" applyFont="1" applyFill="1" applyBorder="1" applyAlignment="1">
      <alignment horizontal="center" vertical="center"/>
    </xf>
    <xf numFmtId="0" fontId="27" fillId="11" borderId="14" xfId="0" applyFont="1" applyFill="1" applyBorder="1" applyAlignment="1">
      <alignment horizontal="center" vertical="center"/>
    </xf>
    <xf numFmtId="0" fontId="7" fillId="0" borderId="4" xfId="0" applyFont="1" applyBorder="1" applyAlignment="1">
      <alignment horizontal="left" vertical="center" wrapText="1"/>
    </xf>
    <xf numFmtId="0" fontId="27" fillId="11" borderId="19" xfId="0" applyFont="1" applyFill="1" applyBorder="1" applyAlignment="1">
      <alignment horizontal="center" vertical="center"/>
    </xf>
    <xf numFmtId="0" fontId="9" fillId="0" borderId="4" xfId="0" applyFont="1" applyBorder="1" applyAlignment="1">
      <alignment horizontal="left" vertical="center"/>
    </xf>
    <xf numFmtId="0" fontId="27" fillId="11" borderId="4" xfId="0" applyFont="1" applyFill="1" applyBorder="1" applyAlignment="1">
      <alignment horizontal="left" vertical="center" wrapText="1"/>
    </xf>
    <xf numFmtId="0" fontId="42" fillId="20" borderId="7" xfId="0" applyFont="1" applyFill="1" applyBorder="1" applyAlignment="1">
      <alignment horizontal="left" vertical="center"/>
    </xf>
    <xf numFmtId="0" fontId="9" fillId="0" borderId="12" xfId="0" applyFont="1" applyBorder="1" applyAlignment="1">
      <alignment horizontal="left" vertical="center"/>
    </xf>
    <xf numFmtId="0" fontId="27" fillId="0" borderId="17" xfId="0" applyFont="1" applyBorder="1" applyAlignment="1">
      <alignment horizontal="left" vertical="center" wrapText="1"/>
    </xf>
    <xf numFmtId="0" fontId="40" fillId="11" borderId="49" xfId="0" applyFont="1" applyFill="1" applyBorder="1" applyAlignment="1">
      <alignment horizontal="center" vertical="center" wrapText="1"/>
    </xf>
    <xf numFmtId="0" fontId="26" fillId="8" borderId="9" xfId="0" applyFont="1" applyFill="1" applyBorder="1" applyAlignment="1">
      <alignment horizontal="center" vertical="center"/>
    </xf>
    <xf numFmtId="10" fontId="27" fillId="8" borderId="36" xfId="0" applyNumberFormat="1" applyFont="1" applyFill="1" applyBorder="1" applyAlignment="1">
      <alignment horizontal="center" vertical="center"/>
    </xf>
    <xf numFmtId="0" fontId="27" fillId="8" borderId="36" xfId="0" applyFont="1" applyFill="1" applyBorder="1" applyAlignment="1">
      <alignment horizontal="left" vertical="center" wrapText="1"/>
    </xf>
    <xf numFmtId="0" fontId="41" fillId="8" borderId="36" xfId="0" applyFont="1" applyFill="1" applyBorder="1" applyAlignment="1">
      <alignment horizontal="center" vertical="center"/>
    </xf>
    <xf numFmtId="0" fontId="28" fillId="16" borderId="4" xfId="0" applyFont="1" applyFill="1" applyBorder="1" applyAlignment="1">
      <alignment horizontal="center" vertical="center"/>
    </xf>
    <xf numFmtId="0" fontId="26" fillId="0" borderId="21" xfId="0" applyFont="1" applyBorder="1" applyAlignment="1">
      <alignment horizontal="left" vertical="center"/>
    </xf>
    <xf numFmtId="0" fontId="18" fillId="16" borderId="4" xfId="0" applyFont="1" applyFill="1" applyBorder="1" applyAlignment="1">
      <alignment horizontal="center" vertical="center" wrapText="1"/>
    </xf>
  </cellXfs>
  <cellStyles count="5">
    <cellStyle name="Excel Built-in Explanatory Text" xfId="4" xr:uid="{00000000-0005-0000-0000-000006000000}"/>
    <cellStyle name="Moeda" xfId="2" builtinId="4"/>
    <cellStyle name="Normal" xfId="0" builtinId="0"/>
    <cellStyle name="Porcentagem" xfId="3" builtinId="5"/>
    <cellStyle name="Vírgula" xfId="1" builtinId="3"/>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2CC"/>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F8080"/>
      <rgbColor rgb="FF0066CC"/>
      <rgbColor rgb="FFBDD7EE"/>
      <rgbColor rgb="FF000080"/>
      <rgbColor rgb="FFFF00FF"/>
      <rgbColor rgb="FFF2F2F2"/>
      <rgbColor rgb="FF00FFFF"/>
      <rgbColor rgb="FF800080"/>
      <rgbColor rgb="FFC00000"/>
      <rgbColor rgb="FF008080"/>
      <rgbColor rgb="FF0000FF"/>
      <rgbColor rgb="FF00B0F0"/>
      <rgbColor rgb="FFC6EFCE"/>
      <rgbColor rgb="FFCCFFCC"/>
      <rgbColor rgb="FFFFFF99"/>
      <rgbColor rgb="FFADB9CA"/>
      <rgbColor rgb="FFFFC7CE"/>
      <rgbColor rgb="FFBFBFBF"/>
      <rgbColor rgb="FFF8CBAD"/>
      <rgbColor rgb="FF3366CC"/>
      <rgbColor rgb="FF33CCCC"/>
      <rgbColor rgb="FF99CC00"/>
      <rgbColor rgb="FFF2DCDB"/>
      <rgbColor rgb="FFFF9900"/>
      <rgbColor rgb="FFFF6600"/>
      <rgbColor rgb="FF606060"/>
      <rgbColor rgb="FFDCE6F2"/>
      <rgbColor rgb="FF10243E"/>
      <rgbColor rgb="FF339966"/>
      <rgbColor rgb="FF003300"/>
      <rgbColor rgb="FF333300"/>
      <rgbColor rgb="FF993300"/>
      <rgbColor rgb="FF993366"/>
      <rgbColor rgb="FF59595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38160</xdr:colOff>
      <xdr:row>0</xdr:row>
      <xdr:rowOff>76320</xdr:rowOff>
    </xdr:from>
    <xdr:to>
      <xdr:col>1</xdr:col>
      <xdr:colOff>1080</xdr:colOff>
      <xdr:row>1</xdr:row>
      <xdr:rowOff>198360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8160" y="76320"/>
          <a:ext cx="409320" cy="46512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578160</xdr:colOff>
      <xdr:row>2</xdr:row>
      <xdr:rowOff>130680</xdr:rowOff>
    </xdr:to>
    <xdr:pic>
      <xdr:nvPicPr>
        <xdr:cNvPr id="9" name="Picture 1">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a:stretch/>
      </xdr:blipFill>
      <xdr:spPr>
        <a:xfrm>
          <a:off x="171360" y="38160"/>
          <a:ext cx="406800" cy="45432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578160</xdr:colOff>
      <xdr:row>2</xdr:row>
      <xdr:rowOff>130680</xdr:rowOff>
    </xdr:to>
    <xdr:pic>
      <xdr:nvPicPr>
        <xdr:cNvPr id="10" name="Picture 1">
          <a:extLst>
            <a:ext uri="{FF2B5EF4-FFF2-40B4-BE49-F238E27FC236}">
              <a16:creationId xmlns:a16="http://schemas.microsoft.com/office/drawing/2014/main" id="{00000000-0008-0000-0A00-00000A000000}"/>
            </a:ext>
          </a:extLst>
        </xdr:cNvPr>
        <xdr:cNvPicPr/>
      </xdr:nvPicPr>
      <xdr:blipFill>
        <a:blip xmlns:r="http://schemas.openxmlformats.org/officeDocument/2006/relationships" r:embed="rId1"/>
        <a:stretch/>
      </xdr:blipFill>
      <xdr:spPr>
        <a:xfrm>
          <a:off x="171360" y="38160"/>
          <a:ext cx="406800" cy="45432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578160</xdr:colOff>
      <xdr:row>2</xdr:row>
      <xdr:rowOff>130680</xdr:rowOff>
    </xdr:to>
    <xdr:pic>
      <xdr:nvPicPr>
        <xdr:cNvPr id="11" name="Picture 1">
          <a:extLst>
            <a:ext uri="{FF2B5EF4-FFF2-40B4-BE49-F238E27FC236}">
              <a16:creationId xmlns:a16="http://schemas.microsoft.com/office/drawing/2014/main" id="{00000000-0008-0000-0B00-00000B000000}"/>
            </a:ext>
          </a:extLst>
        </xdr:cNvPr>
        <xdr:cNvPicPr/>
      </xdr:nvPicPr>
      <xdr:blipFill>
        <a:blip xmlns:r="http://schemas.openxmlformats.org/officeDocument/2006/relationships" r:embed="rId1"/>
        <a:stretch/>
      </xdr:blipFill>
      <xdr:spPr>
        <a:xfrm>
          <a:off x="171360" y="38160"/>
          <a:ext cx="406800" cy="45432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578160</xdr:colOff>
      <xdr:row>2</xdr:row>
      <xdr:rowOff>130680</xdr:rowOff>
    </xdr:to>
    <xdr:pic>
      <xdr:nvPicPr>
        <xdr:cNvPr id="12" name="Picture 1">
          <a:extLst>
            <a:ext uri="{FF2B5EF4-FFF2-40B4-BE49-F238E27FC236}">
              <a16:creationId xmlns:a16="http://schemas.microsoft.com/office/drawing/2014/main" id="{00000000-0008-0000-0C00-00000C000000}"/>
            </a:ext>
          </a:extLst>
        </xdr:cNvPr>
        <xdr:cNvPicPr/>
      </xdr:nvPicPr>
      <xdr:blipFill>
        <a:blip xmlns:r="http://schemas.openxmlformats.org/officeDocument/2006/relationships" r:embed="rId1"/>
        <a:stretch/>
      </xdr:blipFill>
      <xdr:spPr>
        <a:xfrm>
          <a:off x="171360" y="38160"/>
          <a:ext cx="406800" cy="45432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397440</xdr:colOff>
      <xdr:row>2</xdr:row>
      <xdr:rowOff>25920</xdr:rowOff>
    </xdr:to>
    <xdr:pic>
      <xdr:nvPicPr>
        <xdr:cNvPr id="13" name="Picture 1">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1"/>
        <a:stretch/>
      </xdr:blipFill>
      <xdr:spPr>
        <a:xfrm>
          <a:off x="95400" y="57240"/>
          <a:ext cx="302040" cy="33048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142920</xdr:colOff>
      <xdr:row>0</xdr:row>
      <xdr:rowOff>38160</xdr:rowOff>
    </xdr:from>
    <xdr:to>
      <xdr:col>0</xdr:col>
      <xdr:colOff>454320</xdr:colOff>
      <xdr:row>2</xdr:row>
      <xdr:rowOff>130680</xdr:rowOff>
    </xdr:to>
    <xdr:pic>
      <xdr:nvPicPr>
        <xdr:cNvPr id="14" name="Picture 1">
          <a:extLst>
            <a:ext uri="{FF2B5EF4-FFF2-40B4-BE49-F238E27FC236}">
              <a16:creationId xmlns:a16="http://schemas.microsoft.com/office/drawing/2014/main" id="{00000000-0008-0000-0E00-00000E000000}"/>
            </a:ext>
          </a:extLst>
        </xdr:cNvPr>
        <xdr:cNvPicPr/>
      </xdr:nvPicPr>
      <xdr:blipFill>
        <a:blip xmlns:r="http://schemas.openxmlformats.org/officeDocument/2006/relationships" r:embed="rId1"/>
        <a:stretch/>
      </xdr:blipFill>
      <xdr:spPr>
        <a:xfrm>
          <a:off x="142920" y="38160"/>
          <a:ext cx="311400" cy="4543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400320</xdr:colOff>
      <xdr:row>2</xdr:row>
      <xdr:rowOff>25920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95400" y="57240"/>
          <a:ext cx="304920" cy="3304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112680</xdr:colOff>
      <xdr:row>0</xdr:row>
      <xdr:rowOff>56160</xdr:rowOff>
    </xdr:from>
    <xdr:to>
      <xdr:col>0</xdr:col>
      <xdr:colOff>568800</xdr:colOff>
      <xdr:row>2</xdr:row>
      <xdr:rowOff>205920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112680" y="56160"/>
          <a:ext cx="456120" cy="5115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47520</xdr:colOff>
      <xdr:row>0</xdr:row>
      <xdr:rowOff>0</xdr:rowOff>
    </xdr:from>
    <xdr:to>
      <xdr:col>0</xdr:col>
      <xdr:colOff>454320</xdr:colOff>
      <xdr:row>2</xdr:row>
      <xdr:rowOff>92520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47520" y="0"/>
          <a:ext cx="406800" cy="4543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67320</xdr:colOff>
      <xdr:row>0</xdr:row>
      <xdr:rowOff>111960</xdr:rowOff>
    </xdr:from>
    <xdr:to>
      <xdr:col>1</xdr:col>
      <xdr:colOff>21960</xdr:colOff>
      <xdr:row>2</xdr:row>
      <xdr:rowOff>110520</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67320" y="111960"/>
          <a:ext cx="307080" cy="3416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38160</xdr:colOff>
      <xdr:row>0</xdr:row>
      <xdr:rowOff>85680</xdr:rowOff>
    </xdr:from>
    <xdr:to>
      <xdr:col>0</xdr:col>
      <xdr:colOff>359280</xdr:colOff>
      <xdr:row>2</xdr:row>
      <xdr:rowOff>94320</xdr:rowOff>
    </xdr:to>
    <xdr:pic>
      <xdr:nvPicPr>
        <xdr:cNvPr id="5" name="Picture 1">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38160" y="85680"/>
          <a:ext cx="321120" cy="29448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38160</xdr:colOff>
      <xdr:row>0</xdr:row>
      <xdr:rowOff>85680</xdr:rowOff>
    </xdr:from>
    <xdr:to>
      <xdr:col>0</xdr:col>
      <xdr:colOff>359280</xdr:colOff>
      <xdr:row>2</xdr:row>
      <xdr:rowOff>94320</xdr:rowOff>
    </xdr:to>
    <xdr:pic>
      <xdr:nvPicPr>
        <xdr:cNvPr id="6" name="Picture 1">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38160" y="85680"/>
          <a:ext cx="321120" cy="29448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264600</xdr:colOff>
      <xdr:row>0</xdr:row>
      <xdr:rowOff>52200</xdr:rowOff>
    </xdr:from>
    <xdr:to>
      <xdr:col>0</xdr:col>
      <xdr:colOff>636120</xdr:colOff>
      <xdr:row>2</xdr:row>
      <xdr:rowOff>79920</xdr:rowOff>
    </xdr:to>
    <xdr:pic>
      <xdr:nvPicPr>
        <xdr:cNvPr id="7" name="Picture 1">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a:stretch/>
      </xdr:blipFill>
      <xdr:spPr>
        <a:xfrm>
          <a:off x="264600" y="52200"/>
          <a:ext cx="371520" cy="35172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257040</xdr:colOff>
      <xdr:row>0</xdr:row>
      <xdr:rowOff>66600</xdr:rowOff>
    </xdr:from>
    <xdr:to>
      <xdr:col>0</xdr:col>
      <xdr:colOff>663840</xdr:colOff>
      <xdr:row>2</xdr:row>
      <xdr:rowOff>101880</xdr:rowOff>
    </xdr:to>
    <xdr:pic>
      <xdr:nvPicPr>
        <xdr:cNvPr id="8" name="Picture 1">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a:stretch/>
      </xdr:blipFill>
      <xdr:spPr>
        <a:xfrm>
          <a:off x="257040" y="66600"/>
          <a:ext cx="406800" cy="3970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124"/>
  <sheetViews>
    <sheetView showGridLines="0" view="pageBreakPreview" zoomScale="140" zoomScaleNormal="115" zoomScalePageLayoutView="140" workbookViewId="0">
      <selection activeCell="A77" sqref="A77"/>
    </sheetView>
  </sheetViews>
  <sheetFormatPr defaultColWidth="8.7109375" defaultRowHeight="15" x14ac:dyDescent="0.25"/>
  <cols>
    <col min="1" max="1" width="6.28515625" style="3" customWidth="1"/>
    <col min="2" max="2" width="41.42578125" style="3" customWidth="1"/>
    <col min="3" max="3" width="7.85546875" style="3" customWidth="1"/>
    <col min="4" max="4" width="16.28515625" style="3" customWidth="1"/>
    <col min="5" max="5" width="12.85546875" style="3" customWidth="1"/>
    <col min="6" max="6" width="16.28515625" style="3" customWidth="1"/>
    <col min="7" max="7" width="17.7109375" style="3" customWidth="1"/>
    <col min="8" max="8" width="20" style="4" customWidth="1"/>
    <col min="9" max="10" width="16.28515625" style="3" customWidth="1"/>
    <col min="11" max="12" width="13.85546875" style="4" customWidth="1"/>
    <col min="13" max="13" width="14.28515625" style="4" customWidth="1"/>
    <col min="14" max="14" width="15.42578125" style="3" customWidth="1"/>
    <col min="15" max="15" width="12.85546875" style="3" customWidth="1"/>
    <col min="16" max="16" width="16.42578125" style="3" customWidth="1"/>
    <col min="17" max="17" width="12" style="3" customWidth="1"/>
    <col min="18" max="18" width="10.140625" style="5" customWidth="1"/>
    <col min="19" max="19" width="13.28515625" style="5" customWidth="1"/>
    <col min="20" max="20" width="13.85546875" style="5" customWidth="1"/>
    <col min="21" max="21" width="13.7109375" style="5" customWidth="1"/>
    <col min="22" max="254" width="9.140625" style="3" customWidth="1"/>
    <col min="255" max="255" width="6.28515625" style="3" customWidth="1"/>
    <col min="256" max="256" width="41.42578125" style="3" customWidth="1"/>
    <col min="257" max="257" width="7.85546875" style="3" customWidth="1"/>
    <col min="258" max="258" width="16.28515625" style="3" customWidth="1"/>
    <col min="259" max="259" width="12.85546875" style="3" customWidth="1"/>
    <col min="260" max="261" width="16.28515625" style="3" customWidth="1"/>
    <col min="262" max="262" width="13.28515625" style="3" customWidth="1"/>
    <col min="263" max="264" width="16.28515625" style="3" customWidth="1"/>
    <col min="265" max="266" width="13.85546875" style="3" customWidth="1"/>
    <col min="267" max="267" width="13" style="3" customWidth="1"/>
    <col min="268" max="268" width="13.5703125" style="3" customWidth="1"/>
    <col min="269" max="269" width="12.85546875" style="3" customWidth="1"/>
    <col min="270" max="270" width="14.140625" style="3" customWidth="1"/>
    <col min="271" max="271" width="12" style="3" customWidth="1"/>
    <col min="272" max="272" width="13" style="3" customWidth="1"/>
    <col min="273" max="273" width="11.85546875" style="3" customWidth="1"/>
    <col min="274" max="274" width="13.28515625" style="3" customWidth="1"/>
    <col min="275" max="275" width="12.28515625" style="3" customWidth="1"/>
    <col min="276" max="276" width="12.42578125" style="3" customWidth="1"/>
    <col min="277" max="277" width="10.5703125" style="3" customWidth="1"/>
    <col min="278" max="510" width="9.140625" style="3" customWidth="1"/>
    <col min="511" max="511" width="6.28515625" style="3" customWidth="1"/>
    <col min="512" max="512" width="41.42578125" style="3" customWidth="1"/>
    <col min="513" max="513" width="7.85546875" style="3" customWidth="1"/>
    <col min="514" max="514" width="16.28515625" style="3" customWidth="1"/>
    <col min="515" max="515" width="12.85546875" style="3" customWidth="1"/>
    <col min="516" max="517" width="16.28515625" style="3" customWidth="1"/>
    <col min="518" max="518" width="13.28515625" style="3" customWidth="1"/>
    <col min="519" max="520" width="16.28515625" style="3" customWidth="1"/>
    <col min="521" max="522" width="13.85546875" style="3" customWidth="1"/>
    <col min="523" max="523" width="13" style="3" customWidth="1"/>
    <col min="524" max="524" width="13.5703125" style="3" customWidth="1"/>
    <col min="525" max="525" width="12.85546875" style="3" customWidth="1"/>
    <col min="526" max="526" width="14.140625" style="3" customWidth="1"/>
    <col min="527" max="527" width="12" style="3" customWidth="1"/>
    <col min="528" max="528" width="13" style="3" customWidth="1"/>
    <col min="529" max="529" width="11.85546875" style="3" customWidth="1"/>
    <col min="530" max="530" width="13.28515625" style="3" customWidth="1"/>
    <col min="531" max="531" width="12.28515625" style="3" customWidth="1"/>
    <col min="532" max="532" width="12.42578125" style="3" customWidth="1"/>
    <col min="533" max="533" width="10.5703125" style="3" customWidth="1"/>
    <col min="534" max="766" width="9.140625" style="3" customWidth="1"/>
    <col min="767" max="767" width="6.28515625" style="3" customWidth="1"/>
    <col min="768" max="768" width="41.42578125" style="3" customWidth="1"/>
    <col min="769" max="769" width="7.85546875" style="3" customWidth="1"/>
    <col min="770" max="770" width="16.28515625" style="3" customWidth="1"/>
    <col min="771" max="771" width="12.85546875" style="3" customWidth="1"/>
    <col min="772" max="773" width="16.28515625" style="3" customWidth="1"/>
    <col min="774" max="774" width="13.28515625" style="3" customWidth="1"/>
    <col min="775" max="776" width="16.28515625" style="3" customWidth="1"/>
    <col min="777" max="778" width="13.85546875" style="3" customWidth="1"/>
    <col min="779" max="779" width="13" style="3" customWidth="1"/>
    <col min="780" max="780" width="13.5703125" style="3" customWidth="1"/>
    <col min="781" max="781" width="12.85546875" style="3" customWidth="1"/>
    <col min="782" max="782" width="14.140625" style="3" customWidth="1"/>
    <col min="783" max="783" width="12" style="3" customWidth="1"/>
    <col min="784" max="784" width="13" style="3" customWidth="1"/>
    <col min="785" max="785" width="11.85546875" style="3" customWidth="1"/>
    <col min="786" max="786" width="13.28515625" style="3" customWidth="1"/>
    <col min="787" max="787" width="12.28515625" style="3" customWidth="1"/>
    <col min="788" max="788" width="12.42578125" style="3" customWidth="1"/>
    <col min="789" max="789" width="10.5703125" style="3" customWidth="1"/>
    <col min="790" max="1023" width="9.140625" style="3" customWidth="1"/>
  </cols>
  <sheetData>
    <row r="1" spans="1:21" ht="27" customHeight="1" x14ac:dyDescent="0.25">
      <c r="A1" s="6"/>
      <c r="B1" s="7" t="str">
        <f>INSTRUÇÕES!B1</f>
        <v>Tribunal Regional Federal da 6ª Região</v>
      </c>
      <c r="S1" s="8"/>
      <c r="T1" s="8"/>
      <c r="U1" s="8"/>
    </row>
    <row r="2" spans="1:21" s="12" customFormat="1" ht="27" customHeight="1" x14ac:dyDescent="0.25">
      <c r="A2" s="9"/>
      <c r="B2" s="10" t="str">
        <f>INSTRUÇÕES!B2</f>
        <v>Seção Judiciária de Minas Gerais</v>
      </c>
      <c r="C2" s="581" t="s">
        <v>0</v>
      </c>
      <c r="D2" s="581"/>
      <c r="E2" s="581"/>
      <c r="F2" s="581"/>
      <c r="G2" s="581"/>
      <c r="H2" s="581"/>
      <c r="I2" s="581"/>
      <c r="J2" s="581"/>
      <c r="K2" s="581"/>
      <c r="L2" s="581"/>
      <c r="M2" s="581"/>
      <c r="N2" s="581"/>
      <c r="O2" s="581"/>
      <c r="P2" s="581"/>
      <c r="Q2" s="581"/>
      <c r="R2" s="581"/>
      <c r="S2" s="11"/>
      <c r="T2" s="11"/>
      <c r="U2" s="11"/>
    </row>
    <row r="3" spans="1:21" s="12" customFormat="1" ht="27" customHeight="1" x14ac:dyDescent="0.25">
      <c r="A3" s="9"/>
      <c r="B3" s="13" t="str">
        <f>INSTRUÇÕES!B3</f>
        <v>Subseção Judiciária de Poços de Caldas</v>
      </c>
      <c r="C3" s="581" t="s">
        <v>1</v>
      </c>
      <c r="D3" s="581"/>
      <c r="E3" s="581"/>
      <c r="F3" s="581"/>
      <c r="G3" s="581"/>
      <c r="H3" s="581"/>
      <c r="I3" s="581"/>
      <c r="J3" s="581"/>
      <c r="K3" s="581"/>
      <c r="L3" s="581"/>
      <c r="M3" s="581"/>
      <c r="N3" s="581"/>
      <c r="O3" s="581"/>
      <c r="P3" s="581"/>
      <c r="Q3" s="581"/>
      <c r="R3" s="581"/>
    </row>
    <row r="4" spans="1:21" s="12" customFormat="1" ht="27" customHeight="1" x14ac:dyDescent="0.25">
      <c r="B4" s="13"/>
      <c r="C4" s="2"/>
      <c r="D4" s="2"/>
      <c r="E4" s="2"/>
      <c r="F4" s="2"/>
      <c r="G4" s="2"/>
      <c r="H4" s="2"/>
      <c r="I4" s="2"/>
      <c r="J4" s="2"/>
      <c r="K4" s="2"/>
      <c r="L4" s="2"/>
      <c r="M4" s="2"/>
      <c r="N4" s="2"/>
      <c r="O4" s="2"/>
      <c r="P4" s="2"/>
      <c r="Q4" s="2"/>
      <c r="R4" s="2"/>
    </row>
    <row r="5" spans="1:21" s="19" customFormat="1" ht="27" customHeight="1" x14ac:dyDescent="0.25">
      <c r="A5" s="582" t="s">
        <v>2</v>
      </c>
      <c r="B5" s="582"/>
      <c r="C5" s="582"/>
      <c r="D5" s="14" t="s">
        <v>3</v>
      </c>
      <c r="E5" s="15">
        <f>VLOOKUP(D5,B107:C110,2,FALSE())</f>
        <v>30</v>
      </c>
      <c r="F5" s="16" t="str">
        <f>VLOOKUP(D5,B108:D110,3,FALSE())</f>
        <v>Obs: Desconto atualmente aplicado (30 dias corridos).</v>
      </c>
      <c r="G5" s="16"/>
      <c r="H5" s="5"/>
      <c r="I5" s="16"/>
      <c r="J5" s="17"/>
      <c r="K5" s="17"/>
      <c r="L5" s="17"/>
      <c r="M5" s="17"/>
      <c r="N5" s="17"/>
      <c r="O5" s="18"/>
      <c r="R5" s="20"/>
      <c r="S5" s="20"/>
      <c r="T5" s="20"/>
      <c r="U5" s="20"/>
    </row>
    <row r="6" spans="1:21" s="19" customFormat="1" ht="27" customHeight="1" x14ac:dyDescent="0.25">
      <c r="A6" s="17"/>
      <c r="B6" s="17"/>
      <c r="C6" s="17"/>
      <c r="D6" s="17"/>
      <c r="E6" s="17"/>
      <c r="F6" s="17"/>
      <c r="G6" s="17"/>
      <c r="H6" s="17"/>
      <c r="I6" s="17"/>
      <c r="J6" s="17"/>
      <c r="K6" s="17"/>
      <c r="L6" s="17"/>
      <c r="M6" s="17"/>
      <c r="N6" s="17"/>
      <c r="O6" s="18"/>
      <c r="R6" s="20"/>
      <c r="S6" s="20"/>
      <c r="T6" s="20"/>
      <c r="U6" s="20"/>
    </row>
    <row r="7" spans="1:21" s="19" customFormat="1" ht="27" customHeight="1" x14ac:dyDescent="0.25">
      <c r="A7" s="583" t="s">
        <v>4</v>
      </c>
      <c r="B7" s="583"/>
      <c r="C7" s="583"/>
      <c r="D7" s="584" t="s">
        <v>5</v>
      </c>
      <c r="E7" s="585" t="s">
        <v>6</v>
      </c>
      <c r="F7" s="586" t="s">
        <v>7</v>
      </c>
      <c r="G7" s="586" t="s">
        <v>8</v>
      </c>
      <c r="H7" s="584" t="s">
        <v>9</v>
      </c>
      <c r="I7" s="585" t="s">
        <v>10</v>
      </c>
      <c r="J7" s="586" t="s">
        <v>11</v>
      </c>
      <c r="K7" s="587" t="s">
        <v>12</v>
      </c>
      <c r="L7" s="588" t="s">
        <v>13</v>
      </c>
      <c r="M7" s="588" t="s">
        <v>14</v>
      </c>
      <c r="N7" s="589" t="s">
        <v>15</v>
      </c>
      <c r="O7" s="590" t="s">
        <v>16</v>
      </c>
      <c r="P7" s="586" t="s">
        <v>17</v>
      </c>
      <c r="Q7" s="586" t="s">
        <v>18</v>
      </c>
      <c r="R7" s="585" t="s">
        <v>19</v>
      </c>
      <c r="S7" s="574" t="s">
        <v>20</v>
      </c>
      <c r="T7" s="574"/>
      <c r="U7" s="574"/>
    </row>
    <row r="8" spans="1:21" s="19" customFormat="1" ht="27" customHeight="1" x14ac:dyDescent="0.25">
      <c r="A8" s="583"/>
      <c r="B8" s="583"/>
      <c r="C8" s="583"/>
      <c r="D8" s="584"/>
      <c r="E8" s="585"/>
      <c r="F8" s="586"/>
      <c r="G8" s="586"/>
      <c r="H8" s="584"/>
      <c r="I8" s="585"/>
      <c r="J8" s="586"/>
      <c r="K8" s="587"/>
      <c r="L8" s="588"/>
      <c r="M8" s="588"/>
      <c r="N8" s="589"/>
      <c r="O8" s="590"/>
      <c r="P8" s="586"/>
      <c r="Q8" s="586"/>
      <c r="R8" s="585"/>
      <c r="S8" s="574"/>
      <c r="T8" s="574"/>
      <c r="U8" s="574"/>
    </row>
    <row r="9" spans="1:21" s="19" customFormat="1" ht="36.75" customHeight="1" x14ac:dyDescent="0.25">
      <c r="A9" s="583"/>
      <c r="B9" s="583"/>
      <c r="C9" s="583"/>
      <c r="D9" s="584"/>
      <c r="E9" s="585"/>
      <c r="F9" s="586"/>
      <c r="G9" s="586"/>
      <c r="H9" s="584"/>
      <c r="I9" s="585"/>
      <c r="J9" s="586"/>
      <c r="K9" s="587"/>
      <c r="L9" s="588"/>
      <c r="M9" s="588"/>
      <c r="N9" s="589"/>
      <c r="O9" s="590"/>
      <c r="P9" s="586"/>
      <c r="Q9" s="586"/>
      <c r="R9" s="585"/>
      <c r="S9" s="574"/>
      <c r="T9" s="574"/>
      <c r="U9" s="574"/>
    </row>
    <row r="10" spans="1:21" s="19" customFormat="1" ht="51" x14ac:dyDescent="0.25">
      <c r="A10" s="21" t="s">
        <v>21</v>
      </c>
      <c r="B10" s="22" t="s">
        <v>22</v>
      </c>
      <c r="C10" s="22" t="s">
        <v>23</v>
      </c>
      <c r="D10" s="23" t="s">
        <v>24</v>
      </c>
      <c r="E10" s="21" t="s">
        <v>25</v>
      </c>
      <c r="F10" s="22" t="s">
        <v>26</v>
      </c>
      <c r="G10" s="22" t="s">
        <v>27</v>
      </c>
      <c r="H10" s="23" t="s">
        <v>28</v>
      </c>
      <c r="I10" s="21" t="s">
        <v>29</v>
      </c>
      <c r="J10" s="22" t="s">
        <v>30</v>
      </c>
      <c r="K10" s="24" t="s">
        <v>30</v>
      </c>
      <c r="L10" s="25" t="s">
        <v>31</v>
      </c>
      <c r="M10" s="25" t="s">
        <v>32</v>
      </c>
      <c r="N10" s="25" t="s">
        <v>33</v>
      </c>
      <c r="O10" s="26" t="s">
        <v>34</v>
      </c>
      <c r="P10" s="22" t="s">
        <v>35</v>
      </c>
      <c r="Q10" s="22" t="s">
        <v>36</v>
      </c>
      <c r="R10" s="21" t="s">
        <v>37</v>
      </c>
      <c r="S10" s="22" t="s">
        <v>38</v>
      </c>
      <c r="T10" s="22" t="s">
        <v>39</v>
      </c>
      <c r="U10" s="22" t="s">
        <v>40</v>
      </c>
    </row>
    <row r="11" spans="1:21" s="19" customFormat="1" ht="27" customHeight="1" x14ac:dyDescent="0.25">
      <c r="A11" s="27">
        <f>Dados!B7</f>
        <v>1</v>
      </c>
      <c r="B11" s="28" t="str">
        <f>Dados!C7</f>
        <v>Servente de Limpeza 40% Insalubridade</v>
      </c>
      <c r="C11" s="29">
        <f>Dados!D7</f>
        <v>220</v>
      </c>
      <c r="D11" s="30">
        <v>0</v>
      </c>
      <c r="E11" s="27" t="s">
        <v>41</v>
      </c>
      <c r="F11" s="29">
        <f>IF(E11="NÃO",0,D11*Dados!$G$34)</f>
        <v>0</v>
      </c>
      <c r="G11" s="31">
        <v>0</v>
      </c>
      <c r="H11" s="30">
        <v>0</v>
      </c>
      <c r="I11" s="32">
        <v>0</v>
      </c>
      <c r="J11" s="31">
        <v>0</v>
      </c>
      <c r="K11" s="33">
        <f>I11+J11</f>
        <v>0</v>
      </c>
      <c r="L11" s="34">
        <v>0</v>
      </c>
      <c r="M11" s="34">
        <v>0</v>
      </c>
      <c r="N11" s="35"/>
      <c r="O11" s="36">
        <f>Resumo!S12</f>
        <v>0</v>
      </c>
      <c r="P11" s="37">
        <f>Resumo!V12</f>
        <v>0</v>
      </c>
      <c r="Q11" s="38">
        <f>Resumo!W12</f>
        <v>7210.61</v>
      </c>
      <c r="R11" s="27">
        <f>Dados!S7</f>
        <v>2</v>
      </c>
      <c r="S11" s="39">
        <f>ROUND((Dados!M7*Encargos!$H$59*A11),2)</f>
        <v>742.63</v>
      </c>
      <c r="T11" s="39" t="s">
        <v>42</v>
      </c>
      <c r="U11" s="40">
        <f>SUMIF($R$11:$R$14,1,$Q$11:$Q$14)</f>
        <v>6946.1</v>
      </c>
    </row>
    <row r="12" spans="1:21" s="19" customFormat="1" ht="27" customHeight="1" x14ac:dyDescent="0.25">
      <c r="A12" s="27">
        <f>Dados!B8</f>
        <v>1</v>
      </c>
      <c r="B12" s="28" t="str">
        <f>Dados!C8</f>
        <v>Servente de Limpeza  com acúmulo Copeira</v>
      </c>
      <c r="C12" s="29">
        <f>Dados!D8</f>
        <v>220</v>
      </c>
      <c r="D12" s="30">
        <v>0</v>
      </c>
      <c r="E12" s="27" t="s">
        <v>41</v>
      </c>
      <c r="F12" s="29">
        <f>IF(E12="NÃO",0,D12*Dados!$G$34)</f>
        <v>0</v>
      </c>
      <c r="G12" s="31">
        <v>0</v>
      </c>
      <c r="H12" s="30">
        <v>0</v>
      </c>
      <c r="I12" s="32">
        <v>0</v>
      </c>
      <c r="J12" s="31">
        <v>0</v>
      </c>
      <c r="K12" s="33">
        <f>I12+J12</f>
        <v>0</v>
      </c>
      <c r="L12" s="34">
        <v>0</v>
      </c>
      <c r="M12" s="34">
        <v>0</v>
      </c>
      <c r="N12" s="34">
        <v>0</v>
      </c>
      <c r="O12" s="36">
        <f>Resumo!S13</f>
        <v>0</v>
      </c>
      <c r="P12" s="39">
        <f>Resumo!V13</f>
        <v>0</v>
      </c>
      <c r="Q12" s="38">
        <f>Resumo!W13</f>
        <v>6400.39</v>
      </c>
      <c r="R12" s="27">
        <f>Dados!S8</f>
        <v>2</v>
      </c>
      <c r="S12" s="39">
        <f>ROUND((Dados!M8*Encargos!$H$59*A12),2)</f>
        <v>557.64</v>
      </c>
      <c r="T12" s="39" t="s">
        <v>42</v>
      </c>
      <c r="U12" s="40">
        <f>SUMIF($R$11:$R$14,2,$Q$11:$Q$14)</f>
        <v>20113.43</v>
      </c>
    </row>
    <row r="13" spans="1:21" s="19" customFormat="1" ht="27" customHeight="1" x14ac:dyDescent="0.25">
      <c r="A13" s="27">
        <f>Dados!B9</f>
        <v>1</v>
      </c>
      <c r="B13" s="28" t="str">
        <f>Dados!C9</f>
        <v>Zelador</v>
      </c>
      <c r="C13" s="29">
        <f>Dados!D9</f>
        <v>220</v>
      </c>
      <c r="D13" s="30">
        <v>0</v>
      </c>
      <c r="E13" s="27" t="s">
        <v>41</v>
      </c>
      <c r="F13" s="29">
        <f>IF(E13="NÃO",0,D13*Dados!$G$34)</f>
        <v>0</v>
      </c>
      <c r="G13" s="31">
        <v>0</v>
      </c>
      <c r="H13" s="30">
        <v>0</v>
      </c>
      <c r="I13" s="32">
        <v>0</v>
      </c>
      <c r="J13" s="31">
        <v>0</v>
      </c>
      <c r="K13" s="33">
        <f>I13+J13</f>
        <v>0</v>
      </c>
      <c r="L13" s="34">
        <v>0</v>
      </c>
      <c r="M13" s="34">
        <v>0</v>
      </c>
      <c r="N13" s="35"/>
      <c r="O13" s="41">
        <f>Resumo!S14</f>
        <v>0</v>
      </c>
      <c r="P13" s="37">
        <f>Resumo!V14</f>
        <v>0</v>
      </c>
      <c r="Q13" s="39">
        <f>Resumo!W14</f>
        <v>6502.43</v>
      </c>
      <c r="R13" s="27">
        <f>Dados!S9</f>
        <v>2</v>
      </c>
      <c r="S13" s="39">
        <f>ROUND((Dados!M9*Encargos!$H$59*A13),2)</f>
        <v>808.98</v>
      </c>
      <c r="T13" s="39" t="s">
        <v>42</v>
      </c>
      <c r="U13" s="40">
        <f>SUMIF($R$11:$R$14,4,$Q$11:$Q$14)</f>
        <v>0</v>
      </c>
    </row>
    <row r="14" spans="1:21" s="19" customFormat="1" ht="27" customHeight="1" x14ac:dyDescent="0.25">
      <c r="A14" s="27">
        <f>Dados!B10</f>
        <v>2</v>
      </c>
      <c r="B14" s="28" t="str">
        <f>Dados!C10</f>
        <v>Auxiliar Administrativo</v>
      </c>
      <c r="C14" s="29">
        <f>Dados!D10</f>
        <v>150</v>
      </c>
      <c r="D14" s="30">
        <v>0</v>
      </c>
      <c r="E14" s="42" t="s">
        <v>41</v>
      </c>
      <c r="F14" s="43">
        <f>IF(E14="NÃO",0,D14*Dados!$G$34)</f>
        <v>0</v>
      </c>
      <c r="G14" s="44">
        <v>0</v>
      </c>
      <c r="H14" s="45">
        <v>0</v>
      </c>
      <c r="I14" s="46">
        <v>0</v>
      </c>
      <c r="J14" s="44">
        <v>0</v>
      </c>
      <c r="K14" s="47">
        <f>I14+J14</f>
        <v>0</v>
      </c>
      <c r="L14" s="48">
        <v>0</v>
      </c>
      <c r="M14" s="48">
        <v>0</v>
      </c>
      <c r="N14" s="35"/>
      <c r="O14" s="41">
        <f>Resumo!S15</f>
        <v>0</v>
      </c>
      <c r="P14" s="37">
        <f>Resumo!V15</f>
        <v>0</v>
      </c>
      <c r="Q14" s="39">
        <f>Resumo!W15</f>
        <v>6946.1</v>
      </c>
      <c r="R14" s="27">
        <f>Dados!S10</f>
        <v>1</v>
      </c>
      <c r="S14" s="39">
        <f>ROUND((Dados!M10*Encargos!$H$59*A14),2)</f>
        <v>925.51</v>
      </c>
      <c r="T14" s="39" t="s">
        <v>43</v>
      </c>
      <c r="U14" s="40">
        <f>SUMIF($R$11:$R$14,5,$Q$11:$Q$14)</f>
        <v>0</v>
      </c>
    </row>
    <row r="15" spans="1:21" s="56" customFormat="1" ht="27" customHeight="1" x14ac:dyDescent="0.25">
      <c r="A15" s="575" t="s">
        <v>44</v>
      </c>
      <c r="B15" s="575"/>
      <c r="C15" s="575"/>
      <c r="D15" s="575"/>
      <c r="E15" s="575"/>
      <c r="F15" s="575"/>
      <c r="G15" s="575"/>
      <c r="H15" s="49">
        <f>Resumo!I16</f>
        <v>0</v>
      </c>
      <c r="I15" s="576"/>
      <c r="J15" s="576"/>
      <c r="K15" s="50">
        <f>Resumo!L16</f>
        <v>0</v>
      </c>
      <c r="L15" s="51">
        <f>Resumo!O16</f>
        <v>0</v>
      </c>
      <c r="M15" s="51">
        <f>Resumo!R16</f>
        <v>0</v>
      </c>
      <c r="N15" s="52">
        <f>Resumo!V16</f>
        <v>0</v>
      </c>
      <c r="O15" s="53">
        <f>(H15+K15+L15+M15)</f>
        <v>0</v>
      </c>
      <c r="P15" s="54">
        <f>Resumo!V16</f>
        <v>0</v>
      </c>
      <c r="Q15" s="54">
        <f>SUM(Q11:Q14)</f>
        <v>27059.53</v>
      </c>
      <c r="R15" s="55"/>
      <c r="S15" s="54">
        <f>SUM(S11:S14)</f>
        <v>3034.76</v>
      </c>
      <c r="T15" s="54"/>
      <c r="U15" s="54">
        <f>SUM(U11:U14)</f>
        <v>27059.53</v>
      </c>
    </row>
    <row r="16" spans="1:21" ht="27" customHeight="1" x14ac:dyDescent="0.25">
      <c r="A16" s="57" t="s">
        <v>45</v>
      </c>
      <c r="B16" s="58"/>
      <c r="C16" s="58"/>
      <c r="D16" s="58"/>
      <c r="E16" s="58"/>
      <c r="F16" s="58"/>
      <c r="G16" s="58"/>
      <c r="H16" s="59"/>
      <c r="I16" s="58"/>
      <c r="J16" s="58"/>
    </row>
    <row r="17" spans="1:21" ht="27" customHeight="1" x14ac:dyDescent="0.25">
      <c r="A17" s="60" t="s">
        <v>46</v>
      </c>
      <c r="B17" s="61"/>
      <c r="C17" s="61"/>
      <c r="D17" s="61"/>
      <c r="E17" s="61"/>
      <c r="F17" s="61"/>
      <c r="G17" s="61"/>
      <c r="H17" s="62"/>
      <c r="I17" s="61"/>
      <c r="J17" s="61"/>
    </row>
    <row r="18" spans="1:21" s="56" customFormat="1" ht="27" customHeight="1" x14ac:dyDescent="0.25">
      <c r="A18" s="570" t="s">
        <v>47</v>
      </c>
      <c r="B18" s="570"/>
      <c r="C18" s="1" t="s">
        <v>48</v>
      </c>
      <c r="D18" s="1" t="s">
        <v>49</v>
      </c>
      <c r="E18" s="1" t="s">
        <v>50</v>
      </c>
      <c r="F18" s="1" t="s">
        <v>51</v>
      </c>
      <c r="H18" s="63"/>
      <c r="I18" s="63"/>
      <c r="J18" s="60"/>
      <c r="K18" s="63"/>
      <c r="L18" s="63"/>
      <c r="M18" s="63"/>
      <c r="R18" s="63"/>
      <c r="S18" s="63"/>
      <c r="T18" s="63"/>
      <c r="U18" s="63"/>
    </row>
    <row r="19" spans="1:21" s="56" customFormat="1" ht="27" customHeight="1" x14ac:dyDescent="0.25">
      <c r="A19" s="570"/>
      <c r="B19" s="570"/>
      <c r="C19" s="64">
        <v>220</v>
      </c>
      <c r="D19" s="64">
        <v>10</v>
      </c>
      <c r="E19" s="64">
        <v>25</v>
      </c>
      <c r="F19" s="65">
        <f>ROUND((D19/VLOOKUP(C19,$B$113:$C$119,2,FALSE())+E19/60/VLOOKUP(C19,$B$113:$C$119,2,FALSE())),2)</f>
        <v>1.18</v>
      </c>
      <c r="H19" s="63"/>
      <c r="I19" s="63"/>
      <c r="J19" s="60"/>
      <c r="K19" s="63"/>
      <c r="L19" s="63"/>
      <c r="M19" s="63"/>
      <c r="R19" s="63"/>
      <c r="S19" s="63"/>
      <c r="T19" s="63"/>
      <c r="U19" s="63"/>
    </row>
    <row r="20" spans="1:21" s="56" customFormat="1" ht="27" customHeight="1" x14ac:dyDescent="0.25">
      <c r="A20" s="577" t="s">
        <v>52</v>
      </c>
      <c r="B20" s="577"/>
      <c r="C20" s="577"/>
      <c r="D20" s="577"/>
      <c r="E20" s="577"/>
      <c r="F20" s="577"/>
      <c r="G20" s="16"/>
      <c r="H20" s="5"/>
      <c r="I20" s="16"/>
      <c r="J20" s="60"/>
      <c r="K20" s="63"/>
      <c r="L20" s="63"/>
      <c r="M20" s="63"/>
      <c r="R20" s="63"/>
      <c r="S20" s="63"/>
      <c r="T20" s="63"/>
      <c r="U20" s="63"/>
    </row>
    <row r="21" spans="1:21" s="56" customFormat="1" ht="27" customHeight="1" x14ac:dyDescent="0.25">
      <c r="A21" s="577"/>
      <c r="B21" s="577"/>
      <c r="C21" s="577"/>
      <c r="D21" s="577"/>
      <c r="E21" s="577"/>
      <c r="F21" s="577"/>
      <c r="G21" s="16"/>
      <c r="H21" s="66"/>
      <c r="I21" s="16"/>
      <c r="J21" s="60"/>
      <c r="K21" s="63"/>
      <c r="L21" s="63"/>
      <c r="M21" s="63"/>
      <c r="R21" s="63"/>
      <c r="S21" s="63"/>
      <c r="T21" s="63"/>
      <c r="U21" s="63"/>
    </row>
    <row r="22" spans="1:21" ht="27" customHeight="1" x14ac:dyDescent="0.25">
      <c r="A22" s="60" t="s">
        <v>53</v>
      </c>
      <c r="B22" s="58"/>
      <c r="C22" s="58"/>
      <c r="D22" s="58"/>
      <c r="E22" s="58"/>
      <c r="F22" s="58"/>
      <c r="G22" s="58"/>
      <c r="H22" s="59"/>
      <c r="I22" s="58"/>
      <c r="J22" s="58"/>
    </row>
    <row r="23" spans="1:21" ht="27" customHeight="1" x14ac:dyDescent="0.25">
      <c r="A23" s="58"/>
      <c r="B23" s="58"/>
      <c r="C23" s="58"/>
      <c r="D23" s="58"/>
      <c r="E23" s="58"/>
      <c r="F23" s="58"/>
      <c r="G23" s="58"/>
      <c r="H23" s="59"/>
      <c r="I23" s="58"/>
      <c r="J23" s="58"/>
      <c r="N23" s="67"/>
      <c r="O23" s="68"/>
      <c r="P23" s="68"/>
    </row>
    <row r="24" spans="1:21" ht="27" customHeight="1" x14ac:dyDescent="0.25">
      <c r="A24" s="562" t="s">
        <v>54</v>
      </c>
      <c r="B24" s="578" t="s">
        <v>55</v>
      </c>
      <c r="C24" s="578"/>
      <c r="D24" s="578"/>
      <c r="E24" s="578"/>
      <c r="F24" s="579" t="s">
        <v>56</v>
      </c>
      <c r="G24" s="579"/>
      <c r="H24" s="579"/>
      <c r="I24" s="568" t="s">
        <v>57</v>
      </c>
      <c r="J24" s="568"/>
      <c r="K24" s="568"/>
      <c r="L24" s="580" t="s">
        <v>58</v>
      </c>
      <c r="M24" s="580"/>
      <c r="N24" s="580"/>
      <c r="O24" s="580"/>
      <c r="U24" s="3"/>
    </row>
    <row r="25" spans="1:21" ht="39" customHeight="1" x14ac:dyDescent="0.25">
      <c r="A25" s="562"/>
      <c r="B25" s="570" t="s">
        <v>59</v>
      </c>
      <c r="C25" s="570"/>
      <c r="D25" s="570"/>
      <c r="E25" s="1" t="s">
        <v>60</v>
      </c>
      <c r="F25" s="1" t="s">
        <v>61</v>
      </c>
      <c r="G25" s="1" t="s">
        <v>62</v>
      </c>
      <c r="H25" s="72" t="s">
        <v>63</v>
      </c>
      <c r="I25" s="568"/>
      <c r="J25" s="568"/>
      <c r="K25" s="568"/>
      <c r="L25" s="69" t="s">
        <v>64</v>
      </c>
      <c r="M25" s="70" t="s">
        <v>65</v>
      </c>
      <c r="N25" s="70" t="s">
        <v>66</v>
      </c>
      <c r="O25" s="71" t="s">
        <v>67</v>
      </c>
      <c r="U25" s="16"/>
    </row>
    <row r="26" spans="1:21" ht="27" customHeight="1" x14ac:dyDescent="0.25">
      <c r="A26" s="73">
        <v>1</v>
      </c>
      <c r="B26" s="573" t="str">
        <f>Insumos!B8</f>
        <v>Ácido muriático, para limpeza pesada ácida desincrustante. Composição: ativo, tensoativo, não iônico e veiculo. Embalagem de 1 lt.</v>
      </c>
      <c r="C26" s="573"/>
      <c r="D26" s="573"/>
      <c r="E26" s="74" t="str">
        <f>Insumos!C8</f>
        <v>unid.</v>
      </c>
      <c r="F26" s="75" t="str">
        <f>Insumos!D8</f>
        <v>Start</v>
      </c>
      <c r="G26" s="76">
        <f t="shared" ref="G26:G68" si="0">L26</f>
        <v>6</v>
      </c>
      <c r="H26" s="77">
        <f>G26*Insumos!G8</f>
        <v>39.299999999999997</v>
      </c>
      <c r="I26" s="561" t="str">
        <f t="shared" ref="I26:I68" si="1">IF(G26&lt;L26,"Fornecimento inferior ao estimado mensalmente",IF(G26=L26,"Fornecimento igual ao estimado mensalmente",IF(G26&gt;L26,"Fornecimento superior ao estimado mensalmente",)))</f>
        <v>Fornecimento igual ao estimado mensalmente</v>
      </c>
      <c r="J26" s="561"/>
      <c r="K26" s="561"/>
      <c r="L26" s="78">
        <f t="shared" ref="L26:L68" si="2">M26/O26</f>
        <v>6</v>
      </c>
      <c r="M26" s="79">
        <f>Insumos!E8</f>
        <v>6</v>
      </c>
      <c r="N26" s="80" t="str">
        <f>Insumos!F8</f>
        <v>mensal</v>
      </c>
      <c r="O26" s="81">
        <f t="shared" ref="O26:O68" si="3">IF(N26="MENSAL",1,IF(N26="BIMESTRAL",2,IF(N26="TRIMESTRAL",3,IF(N26="QUADRIMESTRAL",4,IF(N26="SEMESTRAL",6,IF(N26="ANUAL",12,IF(N26="BIENAL",24,"")))))))</f>
        <v>1</v>
      </c>
    </row>
    <row r="27" spans="1:21" ht="27" customHeight="1" x14ac:dyDescent="0.25">
      <c r="A27" s="82">
        <v>2</v>
      </c>
      <c r="B27" s="571" t="str">
        <f>Insumos!B9</f>
        <v>Água sanitária galão de 5 litros, composição do produto: hipoclorito de sódio 2,5%, hidróxido de sódio e veículo, teor de cloro ativo entre 2,0 e 2,5% p/p.</v>
      </c>
      <c r="C27" s="571"/>
      <c r="D27" s="571"/>
      <c r="E27" s="74" t="str">
        <f>Insumos!C9</f>
        <v>Galão</v>
      </c>
      <c r="F27" s="75" t="str">
        <f>Insumos!D9</f>
        <v>Santa Clara</v>
      </c>
      <c r="G27" s="76">
        <f t="shared" si="0"/>
        <v>0.33333333333333331</v>
      </c>
      <c r="H27" s="77">
        <f>G27*Insumos!G9</f>
        <v>5.0766666666666662</v>
      </c>
      <c r="I27" s="561" t="str">
        <f t="shared" si="1"/>
        <v>Fornecimento igual ao estimado mensalmente</v>
      </c>
      <c r="J27" s="561"/>
      <c r="K27" s="561"/>
      <c r="L27" s="78">
        <f t="shared" si="2"/>
        <v>0.33333333333333331</v>
      </c>
      <c r="M27" s="79">
        <f>Insumos!E9</f>
        <v>1</v>
      </c>
      <c r="N27" s="80" t="str">
        <f>Insumos!F9</f>
        <v>trimestral</v>
      </c>
      <c r="O27" s="81">
        <f t="shared" si="3"/>
        <v>3</v>
      </c>
    </row>
    <row r="28" spans="1:21" ht="27" customHeight="1" x14ac:dyDescent="0.25">
      <c r="A28" s="82">
        <v>3</v>
      </c>
      <c r="B28" s="571" t="str">
        <f>Insumos!B10</f>
        <v>Álcool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28" s="571"/>
      <c r="D28" s="571"/>
      <c r="E28" s="74" t="str">
        <f>Insumos!C10</f>
        <v>Galão</v>
      </c>
      <c r="F28" s="75" t="str">
        <f>Insumos!D10</f>
        <v>Asseptgel</v>
      </c>
      <c r="G28" s="76">
        <f t="shared" si="0"/>
        <v>3</v>
      </c>
      <c r="H28" s="77">
        <f>G28*Insumos!G10</f>
        <v>172.17000000000002</v>
      </c>
      <c r="I28" s="561" t="str">
        <f t="shared" si="1"/>
        <v>Fornecimento igual ao estimado mensalmente</v>
      </c>
      <c r="J28" s="561"/>
      <c r="K28" s="561"/>
      <c r="L28" s="78">
        <f t="shared" si="2"/>
        <v>3</v>
      </c>
      <c r="M28" s="79">
        <f>Insumos!E10</f>
        <v>3</v>
      </c>
      <c r="N28" s="80" t="str">
        <f>Insumos!F10</f>
        <v>mensal</v>
      </c>
      <c r="O28" s="81">
        <f t="shared" si="3"/>
        <v>1</v>
      </c>
    </row>
    <row r="29" spans="1:21" ht="27" customHeight="1" x14ac:dyDescent="0.25">
      <c r="A29" s="73">
        <v>4</v>
      </c>
      <c r="B29" s="571" t="str">
        <f>Insumos!B11</f>
        <v>Balde plástico em polietileno de alta densidade, alta resistência a impacto, com paredes e fundo reforçados, com reforço no encaixe da alça de aço zincado constando no corpo a marcado fabricante, capacidade de 12 litros.</v>
      </c>
      <c r="C29" s="571"/>
      <c r="D29" s="571"/>
      <c r="E29" s="74" t="str">
        <f>Insumos!C11</f>
        <v>unid.</v>
      </c>
      <c r="F29" s="75" t="str">
        <f>Insumos!D11</f>
        <v>Arqplast</v>
      </c>
      <c r="G29" s="76">
        <f t="shared" si="0"/>
        <v>0.33333333333333331</v>
      </c>
      <c r="H29" s="77">
        <f>G29*Insumos!G11</f>
        <v>5.8666666666666671</v>
      </c>
      <c r="I29" s="561" t="str">
        <f t="shared" si="1"/>
        <v>Fornecimento igual ao estimado mensalmente</v>
      </c>
      <c r="J29" s="561"/>
      <c r="K29" s="561"/>
      <c r="L29" s="78">
        <f t="shared" si="2"/>
        <v>0.33333333333333331</v>
      </c>
      <c r="M29" s="79">
        <f>Insumos!E11</f>
        <v>2</v>
      </c>
      <c r="N29" s="80" t="str">
        <f>Insumos!F11</f>
        <v>semestral</v>
      </c>
      <c r="O29" s="81">
        <f t="shared" si="3"/>
        <v>6</v>
      </c>
    </row>
    <row r="30" spans="1:21" ht="27" customHeight="1" x14ac:dyDescent="0.25">
      <c r="A30" s="82">
        <v>5</v>
      </c>
      <c r="B30" s="571" t="str">
        <f>Insumos!B12</f>
        <v>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v>
      </c>
      <c r="C30" s="571"/>
      <c r="D30" s="571"/>
      <c r="E30" s="74" t="str">
        <f>Insumos!C12</f>
        <v>unid.</v>
      </c>
      <c r="F30" s="75" t="str">
        <f>Insumos!D12</f>
        <v>Azulim</v>
      </c>
      <c r="G30" s="76">
        <f t="shared" si="0"/>
        <v>0.16666666666666666</v>
      </c>
      <c r="H30" s="77">
        <f>G30*Insumos!G12</f>
        <v>0.90999999999999992</v>
      </c>
      <c r="I30" s="561" t="str">
        <f t="shared" si="1"/>
        <v>Fornecimento igual ao estimado mensalmente</v>
      </c>
      <c r="J30" s="561"/>
      <c r="K30" s="561"/>
      <c r="L30" s="78">
        <f t="shared" si="2"/>
        <v>0.16666666666666666</v>
      </c>
      <c r="M30" s="79">
        <f>Insumos!E12</f>
        <v>1</v>
      </c>
      <c r="N30" s="80" t="str">
        <f>Insumos!F12</f>
        <v>semestral</v>
      </c>
      <c r="O30" s="81">
        <f t="shared" si="3"/>
        <v>6</v>
      </c>
    </row>
    <row r="31" spans="1:21" ht="27" customHeight="1" x14ac:dyDescent="0.25">
      <c r="A31" s="82">
        <v>6</v>
      </c>
      <c r="B31" s="571" t="str">
        <f>Insumos!B13</f>
        <v>Cesto para lixo de 100 litros - tipo balde, com tampa e pedal - confeccionado em material de polipropileno ou poliestireno resistente, atóxico, com tampa sobreposta, duas alças laterais, cesto em formato redondo.</v>
      </c>
      <c r="C31" s="571"/>
      <c r="D31" s="571"/>
      <c r="E31" s="74" t="str">
        <f>Insumos!C13</f>
        <v>unid</v>
      </c>
      <c r="F31" s="75">
        <f>Insumos!D13</f>
        <v>0</v>
      </c>
      <c r="G31" s="76">
        <f t="shared" si="0"/>
        <v>8.3333333333333329E-2</v>
      </c>
      <c r="H31" s="77">
        <f>G31*Insumos!G13</f>
        <v>8.25</v>
      </c>
      <c r="I31" s="561" t="str">
        <f t="shared" si="1"/>
        <v>Fornecimento igual ao estimado mensalmente</v>
      </c>
      <c r="J31" s="561"/>
      <c r="K31" s="561"/>
      <c r="L31" s="78">
        <f t="shared" si="2"/>
        <v>8.3333333333333329E-2</v>
      </c>
      <c r="M31" s="79">
        <f>Insumos!E13</f>
        <v>1</v>
      </c>
      <c r="N31" s="80" t="str">
        <f>Insumos!F13</f>
        <v>anual</v>
      </c>
      <c r="O31" s="81">
        <f t="shared" si="3"/>
        <v>12</v>
      </c>
    </row>
    <row r="32" spans="1:21" ht="27" customHeight="1" x14ac:dyDescent="0.25">
      <c r="A32" s="73">
        <v>7</v>
      </c>
      <c r="B32" s="571" t="str">
        <f>Insumos!B14</f>
        <v>Cloro liquido concentrado com teor ativo de no minimo 10 a 12% para limpeza pesada. Embalagem com 5 litros</v>
      </c>
      <c r="C32" s="571"/>
      <c r="D32" s="571"/>
      <c r="E32" s="74" t="str">
        <f>Insumos!C14</f>
        <v>Galão</v>
      </c>
      <c r="F32" s="75">
        <f>Insumos!D14</f>
        <v>0</v>
      </c>
      <c r="G32" s="76">
        <f t="shared" si="0"/>
        <v>1</v>
      </c>
      <c r="H32" s="77">
        <f>G32*Insumos!G14</f>
        <v>12.43</v>
      </c>
      <c r="I32" s="561" t="str">
        <f t="shared" si="1"/>
        <v>Fornecimento igual ao estimado mensalmente</v>
      </c>
      <c r="J32" s="561"/>
      <c r="K32" s="561"/>
      <c r="L32" s="78">
        <f t="shared" si="2"/>
        <v>1</v>
      </c>
      <c r="M32" s="79">
        <f>Insumos!E14</f>
        <v>2</v>
      </c>
      <c r="N32" s="80" t="str">
        <f>Insumos!F14</f>
        <v>bimestral</v>
      </c>
      <c r="O32" s="81">
        <f t="shared" si="3"/>
        <v>2</v>
      </c>
    </row>
    <row r="33" spans="1:15" ht="27" customHeight="1" x14ac:dyDescent="0.25">
      <c r="A33" s="82">
        <v>8</v>
      </c>
      <c r="B33" s="571" t="str">
        <f>Insumos!B15</f>
        <v>Desentupidor Pia: Tipo: Sanfonado, Com Alto Poder De Sucção. Material: Borracha Flexível, Composto Por Polipropileno E Borracha Termoplástica. Plástico Resistente, Cabo Longo, mínimo 20 CM.</v>
      </c>
      <c r="C33" s="571"/>
      <c r="D33" s="571"/>
      <c r="E33" s="74" t="str">
        <f>Insumos!C15</f>
        <v>unid.</v>
      </c>
      <c r="F33" s="75" t="str">
        <f>Insumos!D15</f>
        <v>Oliveira e Azevedo</v>
      </c>
      <c r="G33" s="76">
        <f t="shared" si="0"/>
        <v>0.16666666666666666</v>
      </c>
      <c r="H33" s="77">
        <f>G33*Insumos!G15</f>
        <v>1.7349999999999999</v>
      </c>
      <c r="I33" s="561" t="str">
        <f t="shared" si="1"/>
        <v>Fornecimento igual ao estimado mensalmente</v>
      </c>
      <c r="J33" s="561"/>
      <c r="K33" s="561"/>
      <c r="L33" s="78">
        <f t="shared" si="2"/>
        <v>0.16666666666666666</v>
      </c>
      <c r="M33" s="79">
        <f>Insumos!E15</f>
        <v>2</v>
      </c>
      <c r="N33" s="80" t="str">
        <f>Insumos!F15</f>
        <v>anual</v>
      </c>
      <c r="O33" s="81">
        <f t="shared" si="3"/>
        <v>12</v>
      </c>
    </row>
    <row r="34" spans="1:15" ht="27" customHeight="1" x14ac:dyDescent="0.25">
      <c r="A34" s="82">
        <v>9</v>
      </c>
      <c r="B34" s="571" t="str">
        <f>Insumos!B16</f>
        <v>Desentupidor Vaso Sanitário Material: Borracha Flexível, Medidas aproximadas: Comprimento Cabo: 50 CM, Altura: 10 CM, Diâmetro: 16 CM, Material Cabo: Madeira</v>
      </c>
      <c r="C34" s="571"/>
      <c r="D34" s="571"/>
      <c r="E34" s="74" t="str">
        <f>Insumos!C16</f>
        <v>unid.</v>
      </c>
      <c r="F34" s="75" t="str">
        <f>Insumos!D16</f>
        <v>Canada</v>
      </c>
      <c r="G34" s="76">
        <f t="shared" si="0"/>
        <v>8.3333333333333329E-2</v>
      </c>
      <c r="H34" s="77">
        <f>G34*Insumos!G16</f>
        <v>0.92333333333333334</v>
      </c>
      <c r="I34" s="561" t="str">
        <f t="shared" si="1"/>
        <v>Fornecimento igual ao estimado mensalmente</v>
      </c>
      <c r="J34" s="561"/>
      <c r="K34" s="561"/>
      <c r="L34" s="78">
        <f t="shared" si="2"/>
        <v>8.3333333333333329E-2</v>
      </c>
      <c r="M34" s="79">
        <f>Insumos!E16</f>
        <v>1</v>
      </c>
      <c r="N34" s="80" t="str">
        <f>Insumos!F16</f>
        <v>anual</v>
      </c>
      <c r="O34" s="81">
        <f t="shared" si="3"/>
        <v>12</v>
      </c>
    </row>
    <row r="35" spans="1:15" ht="27" customHeight="1" x14ac:dyDescent="0.25">
      <c r="A35" s="73">
        <v>10</v>
      </c>
      <c r="B35" s="571" t="str">
        <f>Insumos!B17</f>
        <v>Desodorizador de ambiente com 360ml. Aromatizador de Ambientes Aerosol, conteúdo 360ml/240g sem Cfc. Essências suaves. Aplicação: aromatizador ambiental. Embalagemdeverá conter externamente os dados de identificação, procedência, número do lote, validade e número do registro no Ministério da Saúde. Marca igual ou superior a Bom Ar, Glade ou Ultra Fresh.</v>
      </c>
      <c r="C35" s="571"/>
      <c r="D35" s="571"/>
      <c r="E35" s="74" t="str">
        <f>Insumos!C17</f>
        <v>unid.</v>
      </c>
      <c r="F35" s="75" t="str">
        <f>Insumos!D17</f>
        <v>Glade</v>
      </c>
      <c r="G35" s="76">
        <f t="shared" si="0"/>
        <v>0.33333333333333331</v>
      </c>
      <c r="H35" s="77">
        <f>G35*Insumos!G17</f>
        <v>5.73</v>
      </c>
      <c r="I35" s="561" t="str">
        <f t="shared" si="1"/>
        <v>Fornecimento igual ao estimado mensalmente</v>
      </c>
      <c r="J35" s="561"/>
      <c r="K35" s="561"/>
      <c r="L35" s="78">
        <f t="shared" si="2"/>
        <v>0.33333333333333331</v>
      </c>
      <c r="M35" s="79">
        <f>Insumos!E17</f>
        <v>2</v>
      </c>
      <c r="N35" s="80" t="str">
        <f>Insumos!F17</f>
        <v>semestral</v>
      </c>
      <c r="O35" s="81">
        <f t="shared" si="3"/>
        <v>6</v>
      </c>
    </row>
    <row r="36" spans="1:15" ht="27" customHeight="1" x14ac:dyDescent="0.25">
      <c r="A36" s="82">
        <v>11</v>
      </c>
      <c r="B36" s="571" t="str">
        <f>Insumos!B18</f>
        <v>Detergente clorado. Desenvolvido para desinfecção, limpeza e clareamento das superfícies em ambientes de fluxo alto, médio e baixo. Com excelente ação bactericida. Aprovação Anvisa. CHEFF Clorado diluído (1 x 10) (p/ vasos sanitários). Embalagem Galão com 5 litros.</v>
      </c>
      <c r="C36" s="571"/>
      <c r="D36" s="571"/>
      <c r="E36" s="74" t="str">
        <f>Insumos!C18</f>
        <v>Galão</v>
      </c>
      <c r="F36" s="75" t="str">
        <f>Insumos!D18</f>
        <v>Cheff, Audax Gold, Renko</v>
      </c>
      <c r="G36" s="76">
        <f t="shared" si="0"/>
        <v>1</v>
      </c>
      <c r="H36" s="77">
        <f>G36*Insumos!G18</f>
        <v>45.9</v>
      </c>
      <c r="I36" s="561" t="str">
        <f t="shared" si="1"/>
        <v>Fornecimento igual ao estimado mensalmente</v>
      </c>
      <c r="J36" s="561"/>
      <c r="K36" s="561"/>
      <c r="L36" s="78">
        <f t="shared" si="2"/>
        <v>1</v>
      </c>
      <c r="M36" s="79">
        <f>Insumos!E18</f>
        <v>2</v>
      </c>
      <c r="N36" s="80" t="str">
        <f>Insumos!F18</f>
        <v>bimestral</v>
      </c>
      <c r="O36" s="81">
        <f t="shared" si="3"/>
        <v>2</v>
      </c>
    </row>
    <row r="37" spans="1:15" ht="27" customHeight="1" x14ac:dyDescent="0.25">
      <c r="A37" s="82">
        <v>12</v>
      </c>
      <c r="B37" s="571" t="str">
        <f>Insumos!B19</f>
        <v>Desinfetante concentrado líquido. Aroma floral. Embalagem com 5 litros. Desinfetante líquido a base de pinho, para uso geral, ação bactericida e germicida, com 5 litros. Acondicionado em embalagem plástica original do fabricante, com o nome do responsável técnico, o lote, data de fabricação, validade. </v>
      </c>
      <c r="C37" s="571"/>
      <c r="D37" s="571"/>
      <c r="E37" s="74" t="str">
        <f>Insumos!C19</f>
        <v>Galão</v>
      </c>
      <c r="F37" s="75" t="str">
        <f>Insumos!D19</f>
        <v>Mirax Floral Bouquet</v>
      </c>
      <c r="G37" s="76">
        <f t="shared" si="0"/>
        <v>2</v>
      </c>
      <c r="H37" s="77">
        <f>G37*Insumos!G19</f>
        <v>89.58</v>
      </c>
      <c r="I37" s="561" t="str">
        <f t="shared" si="1"/>
        <v>Fornecimento igual ao estimado mensalmente</v>
      </c>
      <c r="J37" s="561"/>
      <c r="K37" s="561"/>
      <c r="L37" s="78">
        <f t="shared" si="2"/>
        <v>2</v>
      </c>
      <c r="M37" s="79">
        <f>Insumos!E19</f>
        <v>2</v>
      </c>
      <c r="N37" s="80" t="str">
        <f>Insumos!F19</f>
        <v>mensal</v>
      </c>
      <c r="O37" s="81">
        <f t="shared" si="3"/>
        <v>1</v>
      </c>
    </row>
    <row r="38" spans="1:15" ht="27" customHeight="1" x14ac:dyDescent="0.25">
      <c r="A38" s="73">
        <v>13</v>
      </c>
      <c r="B38" s="571" t="str">
        <f>Insumos!B20</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38" s="571"/>
      <c r="D38" s="571"/>
      <c r="E38" s="74" t="str">
        <f>Insumos!C20</f>
        <v>unid.</v>
      </c>
      <c r="F38" s="75" t="str">
        <f>Insumos!D20</f>
        <v>Limpol</v>
      </c>
      <c r="G38" s="76">
        <f t="shared" si="0"/>
        <v>7</v>
      </c>
      <c r="H38" s="77">
        <f>G38*Insumos!G20</f>
        <v>20.93</v>
      </c>
      <c r="I38" s="561" t="str">
        <f t="shared" si="1"/>
        <v>Fornecimento igual ao estimado mensalmente</v>
      </c>
      <c r="J38" s="561"/>
      <c r="K38" s="561"/>
      <c r="L38" s="78">
        <f t="shared" si="2"/>
        <v>7</v>
      </c>
      <c r="M38" s="79">
        <f>Insumos!E20</f>
        <v>7</v>
      </c>
      <c r="N38" s="80" t="str">
        <f>Insumos!F20</f>
        <v>mensal</v>
      </c>
      <c r="O38" s="81">
        <f t="shared" si="3"/>
        <v>1</v>
      </c>
    </row>
    <row r="39" spans="1:15" ht="27" customHeight="1" x14ac:dyDescent="0.25">
      <c r="A39" s="82">
        <v>14</v>
      </c>
      <c r="B39" s="571" t="str">
        <f>Insumos!B21</f>
        <v>Escova para lavar multiuso, oval, base plástica e cerdas de escova para lavar multiuso, oval, base plástica e cerdas de nylon.</v>
      </c>
      <c r="C39" s="571"/>
      <c r="D39" s="571"/>
      <c r="E39" s="74" t="str">
        <f>Insumos!C21</f>
        <v>unid.</v>
      </c>
      <c r="F39" s="75" t="str">
        <f>Insumos!D21</f>
        <v>Condor</v>
      </c>
      <c r="G39" s="76">
        <f t="shared" si="0"/>
        <v>0.16666666666666666</v>
      </c>
      <c r="H39" s="77">
        <f>G39*Insumos!G21</f>
        <v>0.92833333333333334</v>
      </c>
      <c r="I39" s="561" t="str">
        <f t="shared" si="1"/>
        <v>Fornecimento igual ao estimado mensalmente</v>
      </c>
      <c r="J39" s="561"/>
      <c r="K39" s="561"/>
      <c r="L39" s="78">
        <f t="shared" si="2"/>
        <v>0.16666666666666666</v>
      </c>
      <c r="M39" s="79">
        <f>Insumos!E21</f>
        <v>1</v>
      </c>
      <c r="N39" s="80" t="str">
        <f>Insumos!F21</f>
        <v>semestral</v>
      </c>
      <c r="O39" s="81">
        <f t="shared" si="3"/>
        <v>6</v>
      </c>
    </row>
    <row r="40" spans="1:15" ht="27" customHeight="1" x14ac:dyDescent="0.25">
      <c r="A40" s="82">
        <v>15</v>
      </c>
      <c r="B40" s="571" t="str">
        <f>Insumos!B22</f>
        <v>Escova Sanitária Redonda em plástico Branco contendo 01 escova para vaso sanitário e 01 suporte redondo: Branco Tamanho aprox.: 14 x 42 cm</v>
      </c>
      <c r="C40" s="571"/>
      <c r="D40" s="571"/>
      <c r="E40" s="74" t="str">
        <f>Insumos!C22</f>
        <v>unid.</v>
      </c>
      <c r="F40" s="75" t="str">
        <f>Insumos!D22</f>
        <v>Limpamania</v>
      </c>
      <c r="G40" s="76">
        <f t="shared" si="0"/>
        <v>0.33333333333333331</v>
      </c>
      <c r="H40" s="77">
        <f>G40*Insumos!G22</f>
        <v>5.3699999999999992</v>
      </c>
      <c r="I40" s="561" t="str">
        <f t="shared" si="1"/>
        <v>Fornecimento igual ao estimado mensalmente</v>
      </c>
      <c r="J40" s="561"/>
      <c r="K40" s="561"/>
      <c r="L40" s="78">
        <f t="shared" si="2"/>
        <v>0.33333333333333331</v>
      </c>
      <c r="M40" s="79">
        <f>Insumos!E22</f>
        <v>2</v>
      </c>
      <c r="N40" s="80" t="str">
        <f>Insumos!F22</f>
        <v>semestral</v>
      </c>
      <c r="O40" s="81">
        <f t="shared" si="3"/>
        <v>6</v>
      </c>
    </row>
    <row r="41" spans="1:15" ht="27" customHeight="1" x14ac:dyDescent="0.25">
      <c r="A41" s="73">
        <v>16</v>
      </c>
      <c r="B41" s="571" t="str">
        <f>Insumos!B23</f>
        <v>Esponja Para Lavagem De Louças E Limpeza Em Geral, Dupla Face Sintética, Um Lado Em Espuma Poliuretano E Outro Em Fibra Sintética Abrasiva, Antibacteriana, Formato Retangular, Medindo Aproximadamente 110mm X 75mm X 20mm De Espessura. Pacote com 4 unidades.</v>
      </c>
      <c r="C41" s="571"/>
      <c r="D41" s="571"/>
      <c r="E41" s="74" t="str">
        <f>Insumos!C23</f>
        <v>pacote</v>
      </c>
      <c r="F41" s="75" t="str">
        <f>Insumos!D23</f>
        <v>Scotch-Brite</v>
      </c>
      <c r="G41" s="76">
        <f t="shared" si="0"/>
        <v>2</v>
      </c>
      <c r="H41" s="77">
        <f>G41*Insumos!G23</f>
        <v>12.8</v>
      </c>
      <c r="I41" s="561" t="str">
        <f t="shared" si="1"/>
        <v>Fornecimento igual ao estimado mensalmente</v>
      </c>
      <c r="J41" s="561"/>
      <c r="K41" s="561"/>
      <c r="L41" s="78">
        <f t="shared" si="2"/>
        <v>2</v>
      </c>
      <c r="M41" s="79">
        <f>Insumos!E23</f>
        <v>2</v>
      </c>
      <c r="N41" s="80" t="str">
        <f>Insumos!F23</f>
        <v>mensal</v>
      </c>
      <c r="O41" s="81">
        <f t="shared" si="3"/>
        <v>1</v>
      </c>
    </row>
    <row r="42" spans="1:15" ht="27" customHeight="1" x14ac:dyDescent="0.25">
      <c r="A42" s="82">
        <v>17</v>
      </c>
      <c r="B42" s="571" t="str">
        <f>Insumos!B24</f>
        <v>Esponja de LÃ DE AÇO, composição básica: aço carbono abrasivo, p/ limpeza em geral, acondicionada em embalagem plástica original do fabricante, peso líquido aproximado de 60g, pacote c/ 08 unidades.</v>
      </c>
      <c r="C42" s="571"/>
      <c r="D42" s="571"/>
      <c r="E42" s="74" t="str">
        <f>Insumos!C24</f>
        <v>pacote</v>
      </c>
      <c r="F42" s="75" t="str">
        <f>Insumos!D24</f>
        <v>Bombril</v>
      </c>
      <c r="G42" s="76">
        <f t="shared" si="0"/>
        <v>0.66666666666666663</v>
      </c>
      <c r="H42" s="77">
        <f>G42*Insumos!G24</f>
        <v>1.96</v>
      </c>
      <c r="I42" s="561" t="str">
        <f t="shared" si="1"/>
        <v>Fornecimento igual ao estimado mensalmente</v>
      </c>
      <c r="J42" s="561"/>
      <c r="K42" s="561"/>
      <c r="L42" s="78">
        <f t="shared" si="2"/>
        <v>0.66666666666666663</v>
      </c>
      <c r="M42" s="79">
        <f>Insumos!E24</f>
        <v>2</v>
      </c>
      <c r="N42" s="80" t="str">
        <f>Insumos!F24</f>
        <v>trimestral</v>
      </c>
      <c r="O42" s="81">
        <f t="shared" si="3"/>
        <v>3</v>
      </c>
    </row>
    <row r="43" spans="1:15" ht="27" customHeight="1" x14ac:dyDescent="0.25">
      <c r="A43" s="82">
        <v>18</v>
      </c>
      <c r="B43" s="571" t="str">
        <f>Insumos!B25</f>
        <v>Espanador de pó de penas nº 25. Medidas aproximadas: 25 cm de penas e 40 cm de cabo</v>
      </c>
      <c r="C43" s="571"/>
      <c r="D43" s="571"/>
      <c r="E43" s="74" t="str">
        <f>Insumos!C25</f>
        <v>unid.</v>
      </c>
      <c r="F43" s="75" t="str">
        <f>Insumos!D25</f>
        <v>Duster</v>
      </c>
      <c r="G43" s="76">
        <f t="shared" si="0"/>
        <v>2</v>
      </c>
      <c r="H43" s="77">
        <f>G43*Insumos!G25</f>
        <v>33.979999999999997</v>
      </c>
      <c r="I43" s="561" t="str">
        <f t="shared" si="1"/>
        <v>Fornecimento igual ao estimado mensalmente</v>
      </c>
      <c r="J43" s="561"/>
      <c r="K43" s="561"/>
      <c r="L43" s="78">
        <f t="shared" si="2"/>
        <v>2</v>
      </c>
      <c r="M43" s="79">
        <f>Insumos!E25</f>
        <v>6</v>
      </c>
      <c r="N43" s="80" t="str">
        <f>Insumos!F25</f>
        <v>trimestral</v>
      </c>
      <c r="O43" s="81">
        <f t="shared" si="3"/>
        <v>3</v>
      </c>
    </row>
    <row r="44" spans="1:15" ht="27" customHeight="1" x14ac:dyDescent="0.25">
      <c r="A44" s="73">
        <v>19</v>
      </c>
      <c r="B44" s="571" t="str">
        <f>Insumos!B26</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44" s="571"/>
      <c r="D44" s="571"/>
      <c r="E44" s="74" t="str">
        <f>Insumos!C26</f>
        <v>unid.</v>
      </c>
      <c r="F44" s="75" t="str">
        <f>Insumos!D26</f>
        <v>Intextil</v>
      </c>
      <c r="G44" s="76">
        <f t="shared" si="0"/>
        <v>5</v>
      </c>
      <c r="H44" s="77">
        <f>G44*Insumos!G26</f>
        <v>21.400000000000002</v>
      </c>
      <c r="I44" s="561" t="str">
        <f t="shared" si="1"/>
        <v>Fornecimento igual ao estimado mensalmente</v>
      </c>
      <c r="J44" s="561"/>
      <c r="K44" s="561"/>
      <c r="L44" s="78">
        <f t="shared" si="2"/>
        <v>5</v>
      </c>
      <c r="M44" s="79">
        <f>Insumos!E26</f>
        <v>5</v>
      </c>
      <c r="N44" s="80" t="str">
        <f>Insumos!F26</f>
        <v>mensal</v>
      </c>
      <c r="O44" s="81">
        <f t="shared" si="3"/>
        <v>1</v>
      </c>
    </row>
    <row r="45" spans="1:15" ht="27" customHeight="1" x14ac:dyDescent="0.25">
      <c r="A45" s="82">
        <v>20</v>
      </c>
      <c r="B45" s="571" t="str">
        <f>Insumos!B27</f>
        <v>Limpa Pedras Pisos, lajota removedor de encardido pedra e cerâmica - Ácido Sulfônico - 5 litro concentrado com baixo odor e pH ácido sinergicamente balanceado para uma ação rápida e eficaz. Limpeza pesada, sem danificar, de sujidades como terra, fuligem, ferrugem, incrustações e encardidos em geral.</v>
      </c>
      <c r="C45" s="571"/>
      <c r="D45" s="571"/>
      <c r="E45" s="74" t="str">
        <f>Insumos!C27</f>
        <v>Galão</v>
      </c>
      <c r="F45" s="75" t="str">
        <f>Insumos!D27</f>
        <v>Pedrex</v>
      </c>
      <c r="G45" s="76">
        <f t="shared" si="0"/>
        <v>0.16666666666666666</v>
      </c>
      <c r="H45" s="77">
        <f>G45*Insumos!G27</f>
        <v>9.7249999999999996</v>
      </c>
      <c r="I45" s="561" t="str">
        <f t="shared" si="1"/>
        <v>Fornecimento igual ao estimado mensalmente</v>
      </c>
      <c r="J45" s="561"/>
      <c r="K45" s="561"/>
      <c r="L45" s="78">
        <f t="shared" si="2"/>
        <v>0.16666666666666666</v>
      </c>
      <c r="M45" s="79">
        <f>Insumos!E27</f>
        <v>1</v>
      </c>
      <c r="N45" s="80" t="str">
        <f>Insumos!F27</f>
        <v>semestral</v>
      </c>
      <c r="O45" s="81">
        <f t="shared" si="3"/>
        <v>6</v>
      </c>
    </row>
    <row r="46" spans="1:15" ht="27" customHeight="1" x14ac:dyDescent="0.25">
      <c r="A46" s="82">
        <v>21</v>
      </c>
      <c r="B46" s="571" t="str">
        <f>Insumos!B28</f>
        <v>Lustra Móveis, Embalagem de 200 ml, Emulsão aquosa cremosa, perfumada, para aplicação em móveis e superfícies lisas. aromas diversos. frasco plástico de 200ml com bico econômico. embalagem certificada pelo INMETRO contendo data de fabricação, validade.</v>
      </c>
      <c r="C46" s="571"/>
      <c r="D46" s="571"/>
      <c r="E46" s="74" t="str">
        <f>Insumos!C28</f>
        <v>unid.</v>
      </c>
      <c r="F46" s="75" t="str">
        <f>Insumos!D28</f>
        <v>Ypê</v>
      </c>
      <c r="G46" s="76">
        <f t="shared" si="0"/>
        <v>3</v>
      </c>
      <c r="H46" s="77">
        <f>G46*Insumos!G28</f>
        <v>20.46</v>
      </c>
      <c r="I46" s="561" t="str">
        <f t="shared" si="1"/>
        <v>Fornecimento igual ao estimado mensalmente</v>
      </c>
      <c r="J46" s="561"/>
      <c r="K46" s="561"/>
      <c r="L46" s="78">
        <f t="shared" si="2"/>
        <v>3</v>
      </c>
      <c r="M46" s="79">
        <f>Insumos!E28</f>
        <v>3</v>
      </c>
      <c r="N46" s="80" t="str">
        <f>Insumos!F28</f>
        <v>mensal</v>
      </c>
      <c r="O46" s="81">
        <f t="shared" si="3"/>
        <v>1</v>
      </c>
    </row>
    <row r="47" spans="1:15" ht="27" customHeight="1" x14ac:dyDescent="0.25">
      <c r="A47" s="73">
        <v>22</v>
      </c>
      <c r="B47" s="571" t="str">
        <f>Insumos!B29</f>
        <v>Multiuso para limpeza diária 500ml - Limpador Geral Multiuso, para remoção de gorduras, fuligem, poeira, marcas de dedos e de sapatos, riscos de lápis, etc. ingredientes: alquil benzeno sulfonato de sódio, álcool etoxilado, coadjuvantes, sequestrante, fragrância e água. frascos de 500 ml de produto (marca de referência: veja).</v>
      </c>
      <c r="C47" s="571"/>
      <c r="D47" s="571"/>
      <c r="E47" s="74" t="str">
        <f>Insumos!C29</f>
        <v>unid.</v>
      </c>
      <c r="F47" s="75" t="str">
        <f>Insumos!D29</f>
        <v>Veja</v>
      </c>
      <c r="G47" s="76">
        <f t="shared" si="0"/>
        <v>8</v>
      </c>
      <c r="H47" s="77">
        <f>G47*Insumos!G29</f>
        <v>40.64</v>
      </c>
      <c r="I47" s="561" t="str">
        <f t="shared" si="1"/>
        <v>Fornecimento igual ao estimado mensalmente</v>
      </c>
      <c r="J47" s="561"/>
      <c r="K47" s="561"/>
      <c r="L47" s="78">
        <f t="shared" si="2"/>
        <v>8</v>
      </c>
      <c r="M47" s="79">
        <f>Insumos!E29</f>
        <v>8</v>
      </c>
      <c r="N47" s="80" t="str">
        <f>Insumos!F29</f>
        <v>mensal</v>
      </c>
      <c r="O47" s="81">
        <f t="shared" si="3"/>
        <v>1</v>
      </c>
    </row>
    <row r="48" spans="1:15" ht="27" customHeight="1" x14ac:dyDescent="0.25">
      <c r="A48" s="82">
        <v>23</v>
      </c>
      <c r="B48" s="571" t="str">
        <f>Insumos!B30</f>
        <v>Multiuso Limpeza Pesada 500ml - composição: alquil benzeno sulfonato de sódio, solvente, coadjuvantes, conservante, sequestrante, corante, fragrância e água. tensoativo biodegradável. Frascos de 500 ml de produto (marca de referência: veja).</v>
      </c>
      <c r="C48" s="571"/>
      <c r="D48" s="571"/>
      <c r="E48" s="74" t="str">
        <f>Insumos!C30</f>
        <v>unid.</v>
      </c>
      <c r="F48" s="75" t="str">
        <f>Insumos!D30</f>
        <v>Veja</v>
      </c>
      <c r="G48" s="76">
        <f t="shared" si="0"/>
        <v>0.16666666666666666</v>
      </c>
      <c r="H48" s="77">
        <f>G48*Insumos!G30</f>
        <v>1.25</v>
      </c>
      <c r="I48" s="561" t="str">
        <f t="shared" si="1"/>
        <v>Fornecimento igual ao estimado mensalmente</v>
      </c>
      <c r="J48" s="561"/>
      <c r="K48" s="561"/>
      <c r="L48" s="78">
        <f t="shared" si="2"/>
        <v>0.16666666666666666</v>
      </c>
      <c r="M48" s="79">
        <f>Insumos!E30</f>
        <v>1</v>
      </c>
      <c r="N48" s="80" t="str">
        <f>Insumos!F30</f>
        <v>semestral</v>
      </c>
      <c r="O48" s="81">
        <f t="shared" si="3"/>
        <v>6</v>
      </c>
    </row>
    <row r="49" spans="1:15" ht="27" customHeight="1" x14ac:dyDescent="0.25">
      <c r="A49" s="82">
        <v>24</v>
      </c>
      <c r="B49" s="571" t="str">
        <f>Insumos!B31</f>
        <v>Luva Segurança Com Forro. Material: 100% Látex Nitrílico, Tamanho: M ou G, Aplicação: Manuseio Reagente Químico E Radioativo, Características Adicionais: Com Forro, Sem Talco, Pulso Com Bainha, Modelo: Palma Antiderrapante, Cor: Verde, Tipo: Ambidestra</v>
      </c>
      <c r="C49" s="571"/>
      <c r="D49" s="571"/>
      <c r="E49" s="74" t="str">
        <f>Insumos!C31</f>
        <v>Par</v>
      </c>
      <c r="F49" s="75" t="str">
        <f>Insumos!D31</f>
        <v>Bettanin</v>
      </c>
      <c r="G49" s="76">
        <f t="shared" si="0"/>
        <v>5</v>
      </c>
      <c r="H49" s="77">
        <f>G49*Insumos!G31</f>
        <v>66.900000000000006</v>
      </c>
      <c r="I49" s="561" t="str">
        <f t="shared" si="1"/>
        <v>Fornecimento igual ao estimado mensalmente</v>
      </c>
      <c r="J49" s="561"/>
      <c r="K49" s="561"/>
      <c r="L49" s="78">
        <f t="shared" si="2"/>
        <v>5</v>
      </c>
      <c r="M49" s="79">
        <f>Insumos!E31</f>
        <v>5</v>
      </c>
      <c r="N49" s="80" t="str">
        <f>Insumos!F31</f>
        <v>mensal</v>
      </c>
      <c r="O49" s="81">
        <f t="shared" si="3"/>
        <v>1</v>
      </c>
    </row>
    <row r="50" spans="1:15" ht="27" customHeight="1" x14ac:dyDescent="0.25">
      <c r="A50" s="73">
        <v>25</v>
      </c>
      <c r="B50" s="571" t="str">
        <f>Insumos!B32</f>
        <v>Mangueira para jardim, com 50 metros de extensão ou mais, antitorção, com engate de torneira e esguicho jato regulável</v>
      </c>
      <c r="C50" s="571"/>
      <c r="D50" s="571"/>
      <c r="E50" s="74" t="str">
        <f>Insumos!C32</f>
        <v>unid.</v>
      </c>
      <c r="F50" s="75" t="str">
        <f>Insumos!D32</f>
        <v>Tramontina</v>
      </c>
      <c r="G50" s="76">
        <f t="shared" si="0"/>
        <v>8.3333333333333329E-2</v>
      </c>
      <c r="H50" s="77">
        <f>G50*Insumos!G32</f>
        <v>12.415833333333333</v>
      </c>
      <c r="I50" s="561" t="str">
        <f t="shared" si="1"/>
        <v>Fornecimento igual ao estimado mensalmente</v>
      </c>
      <c r="J50" s="561"/>
      <c r="K50" s="561"/>
      <c r="L50" s="78">
        <f t="shared" si="2"/>
        <v>8.3333333333333329E-2</v>
      </c>
      <c r="M50" s="79">
        <f>Insumos!E32</f>
        <v>1</v>
      </c>
      <c r="N50" s="80" t="str">
        <f>Insumos!F32</f>
        <v>anual</v>
      </c>
      <c r="O50" s="81">
        <f t="shared" si="3"/>
        <v>12</v>
      </c>
    </row>
    <row r="51" spans="1:15" ht="27" customHeight="1" x14ac:dyDescent="0.25">
      <c r="A51" s="82">
        <v>26</v>
      </c>
      <c r="B51" s="571" t="str">
        <f>Insumos!B33</f>
        <v>Pá p/ lixo em plástico resistente c/ cabo de madeira de aprox. 60cm de altura na vertical</v>
      </c>
      <c r="C51" s="571"/>
      <c r="D51" s="571"/>
      <c r="E51" s="74" t="str">
        <f>Insumos!C33</f>
        <v>unid.</v>
      </c>
      <c r="F51" s="75" t="str">
        <f>Insumos!D33</f>
        <v>Bettanin</v>
      </c>
      <c r="G51" s="76">
        <f t="shared" si="0"/>
        <v>0.16666666666666666</v>
      </c>
      <c r="H51" s="77">
        <f>G51*Insumos!G33</f>
        <v>2.1816666666666666</v>
      </c>
      <c r="I51" s="561" t="str">
        <f t="shared" si="1"/>
        <v>Fornecimento igual ao estimado mensalmente</v>
      </c>
      <c r="J51" s="561"/>
      <c r="K51" s="561"/>
      <c r="L51" s="78">
        <f t="shared" si="2"/>
        <v>0.16666666666666666</v>
      </c>
      <c r="M51" s="79">
        <f>Insumos!E33</f>
        <v>1</v>
      </c>
      <c r="N51" s="80" t="str">
        <f>Insumos!F33</f>
        <v>semestral</v>
      </c>
      <c r="O51" s="81">
        <f t="shared" si="3"/>
        <v>6</v>
      </c>
    </row>
    <row r="52" spans="1:15" ht="27" customHeight="1" x14ac:dyDescent="0.25">
      <c r="A52" s="82">
        <v>27</v>
      </c>
      <c r="B52" s="571" t="str">
        <f>Insumos!B34</f>
        <v>Papel higiênico branco, folha dupla, de alta qualidade, com dimensões 10cm X 30m, com a marca do fabricante e indicação na embalagem, absorvente e resistente, fardo com 64 rolos de 30 metros. Tipo Neve ou de melhor qualidade.</v>
      </c>
      <c r="C52" s="571"/>
      <c r="D52" s="571"/>
      <c r="E52" s="74" t="str">
        <f>Insumos!C34</f>
        <v>Fardo com 64 rolos</v>
      </c>
      <c r="F52" s="75" t="str">
        <f>Insumos!D34</f>
        <v>Neve</v>
      </c>
      <c r="G52" s="76">
        <f t="shared" si="0"/>
        <v>2</v>
      </c>
      <c r="H52" s="77">
        <f>G52*Insumos!G34</f>
        <v>275.42</v>
      </c>
      <c r="I52" s="561" t="str">
        <f t="shared" si="1"/>
        <v>Fornecimento igual ao estimado mensalmente</v>
      </c>
      <c r="J52" s="561"/>
      <c r="K52" s="561"/>
      <c r="L52" s="78">
        <f t="shared" si="2"/>
        <v>2</v>
      </c>
      <c r="M52" s="79">
        <f>Insumos!E34</f>
        <v>2</v>
      </c>
      <c r="N52" s="80" t="str">
        <f>Insumos!F34</f>
        <v>mensal</v>
      </c>
      <c r="O52" s="81">
        <f t="shared" si="3"/>
        <v>1</v>
      </c>
    </row>
    <row r="53" spans="1:15" ht="27" customHeight="1" x14ac:dyDescent="0.25">
      <c r="A53" s="73">
        <v>28</v>
      </c>
      <c r="B53" s="571" t="str">
        <f>Insumos!B35</f>
        <v>Papel Toalha Interfolhado, 2 dobras, 100% fibras celulósicas, branco extra luxo, sem pintas ou outros tipos de sujidades, boa qualidade , medindo aproximadamente 23cm x 23 cm , acondicionado em caixa c/1000 folhas.</v>
      </c>
      <c r="C53" s="571"/>
      <c r="D53" s="571"/>
      <c r="E53" s="74" t="str">
        <f>Insumos!C35</f>
        <v>Pacote</v>
      </c>
      <c r="F53" s="75" t="str">
        <f>Insumos!D35</f>
        <v>Economy (Jofel) ou similar</v>
      </c>
      <c r="G53" s="76">
        <f t="shared" si="0"/>
        <v>26</v>
      </c>
      <c r="H53" s="77">
        <f>G53*Insumos!G35</f>
        <v>595.14</v>
      </c>
      <c r="I53" s="561" t="str">
        <f t="shared" si="1"/>
        <v>Fornecimento igual ao estimado mensalmente</v>
      </c>
      <c r="J53" s="561"/>
      <c r="K53" s="561"/>
      <c r="L53" s="78">
        <f t="shared" si="2"/>
        <v>26</v>
      </c>
      <c r="M53" s="79">
        <f>Insumos!E35</f>
        <v>26</v>
      </c>
      <c r="N53" s="80" t="str">
        <f>Insumos!F35</f>
        <v>mensal</v>
      </c>
      <c r="O53" s="81">
        <f t="shared" si="3"/>
        <v>1</v>
      </c>
    </row>
    <row r="54" spans="1:15" ht="27" customHeight="1" x14ac:dyDescent="0.25">
      <c r="A54" s="82">
        <v>29</v>
      </c>
      <c r="B54" s="571" t="str">
        <f>Insumos!B36</f>
        <v>Pedra sanitária c/ 25g - com suporte para fixar no vaso sanitário. Desinfetante sanitário em pedra 25 g</v>
      </c>
      <c r="C54" s="571"/>
      <c r="D54" s="571"/>
      <c r="E54" s="74" t="str">
        <f>Insumos!C36</f>
        <v>unid.</v>
      </c>
      <c r="F54" s="75" t="str">
        <f>Insumos!D36</f>
        <v>Harpic, Pato</v>
      </c>
      <c r="G54" s="76">
        <f t="shared" si="0"/>
        <v>15</v>
      </c>
      <c r="H54" s="77">
        <f>G54*Insumos!G36</f>
        <v>36.150000000000006</v>
      </c>
      <c r="I54" s="561" t="str">
        <f t="shared" si="1"/>
        <v>Fornecimento igual ao estimado mensalmente</v>
      </c>
      <c r="J54" s="561"/>
      <c r="K54" s="561"/>
      <c r="L54" s="78">
        <f t="shared" si="2"/>
        <v>15</v>
      </c>
      <c r="M54" s="79">
        <f>Insumos!E36</f>
        <v>15</v>
      </c>
      <c r="N54" s="80" t="str">
        <f>Insumos!F36</f>
        <v>mensal</v>
      </c>
      <c r="O54" s="81">
        <f t="shared" si="3"/>
        <v>1</v>
      </c>
    </row>
    <row r="55" spans="1:15" ht="27" customHeight="1" x14ac:dyDescent="0.25">
      <c r="A55" s="82">
        <v>30</v>
      </c>
      <c r="B55" s="571" t="str">
        <f>Insumos!B37</f>
        <v>Rodo Plástico e borracha dupla expandida de 40cm de largura, acompanha cabo de madeira plastificado de aproximadamente 1,26m, com garras pontiagudas nas laterais para melhor fixar panos de chão.</v>
      </c>
      <c r="C55" s="571"/>
      <c r="D55" s="571"/>
      <c r="E55" s="74" t="str">
        <f>Insumos!C37</f>
        <v>unid.</v>
      </c>
      <c r="F55" s="75" t="str">
        <f>Insumos!D37</f>
        <v>Brubalar</v>
      </c>
      <c r="G55" s="76">
        <f t="shared" si="0"/>
        <v>0.16666666666666666</v>
      </c>
      <c r="H55" s="77">
        <f>G55*Insumos!G37</f>
        <v>3.3166666666666664</v>
      </c>
      <c r="I55" s="561" t="str">
        <f t="shared" si="1"/>
        <v>Fornecimento igual ao estimado mensalmente</v>
      </c>
      <c r="J55" s="561"/>
      <c r="K55" s="561"/>
      <c r="L55" s="78">
        <f t="shared" si="2"/>
        <v>0.16666666666666666</v>
      </c>
      <c r="M55" s="79">
        <f>Insumos!E37</f>
        <v>1</v>
      </c>
      <c r="N55" s="80" t="str">
        <f>Insumos!F37</f>
        <v>semestral</v>
      </c>
      <c r="O55" s="81">
        <f t="shared" si="3"/>
        <v>6</v>
      </c>
    </row>
    <row r="56" spans="1:15" ht="27" customHeight="1" x14ac:dyDescent="0.25">
      <c r="A56" s="73">
        <v>31</v>
      </c>
      <c r="B56" s="571" t="str">
        <f>Insumos!B38</f>
        <v>Rodo Mop Limpa Vidros Cabo Extensor Telescópio - Dupla Face </v>
      </c>
      <c r="C56" s="571"/>
      <c r="D56" s="571"/>
      <c r="E56" s="74" t="str">
        <f>Insumos!C38</f>
        <v>unid.</v>
      </c>
      <c r="F56" s="75">
        <f>Insumos!D38</f>
        <v>0</v>
      </c>
      <c r="G56" s="76">
        <f t="shared" si="0"/>
        <v>0.33333333333333331</v>
      </c>
      <c r="H56" s="77">
        <f>G56*Insumos!G38</f>
        <v>10.633333333333333</v>
      </c>
      <c r="I56" s="561" t="str">
        <f t="shared" si="1"/>
        <v>Fornecimento igual ao estimado mensalmente</v>
      </c>
      <c r="J56" s="561"/>
      <c r="K56" s="561"/>
      <c r="L56" s="78">
        <f t="shared" si="2"/>
        <v>0.33333333333333331</v>
      </c>
      <c r="M56" s="79">
        <f>Insumos!E38</f>
        <v>2</v>
      </c>
      <c r="N56" s="80" t="str">
        <f>Insumos!F38</f>
        <v>semestral</v>
      </c>
      <c r="O56" s="81">
        <f t="shared" si="3"/>
        <v>6</v>
      </c>
    </row>
    <row r="57" spans="1:15" ht="27" customHeight="1" x14ac:dyDescent="0.25">
      <c r="A57" s="82">
        <v>32</v>
      </c>
      <c r="B57" s="571" t="str">
        <f>Insumos!B39</f>
        <v>Sabão em barra glicerinado - cor neutra. Pacote com 5 de 200g cada unidade.</v>
      </c>
      <c r="C57" s="571"/>
      <c r="D57" s="571"/>
      <c r="E57" s="74" t="str">
        <f>Insumos!C39</f>
        <v>pacote</v>
      </c>
      <c r="F57" s="75" t="str">
        <f>Insumos!D39</f>
        <v>Minuano</v>
      </c>
      <c r="G57" s="76">
        <f t="shared" si="0"/>
        <v>1</v>
      </c>
      <c r="H57" s="77">
        <f>G57*Insumos!G39</f>
        <v>12</v>
      </c>
      <c r="I57" s="561" t="str">
        <f t="shared" si="1"/>
        <v>Fornecimento igual ao estimado mensalmente</v>
      </c>
      <c r="J57" s="561"/>
      <c r="K57" s="561"/>
      <c r="L57" s="78">
        <f t="shared" si="2"/>
        <v>1</v>
      </c>
      <c r="M57" s="79">
        <f>Insumos!E39</f>
        <v>1</v>
      </c>
      <c r="N57" s="80" t="str">
        <f>Insumos!F39</f>
        <v>mensal</v>
      </c>
      <c r="O57" s="81">
        <f t="shared" si="3"/>
        <v>1</v>
      </c>
    </row>
    <row r="58" spans="1:15" ht="27" customHeight="1" x14ac:dyDescent="0.25">
      <c r="A58" s="82">
        <v>33</v>
      </c>
      <c r="B58" s="571" t="str">
        <f>Insumos!B40</f>
        <v>Sabão em Pó – Caixa de 0,8 a 1Kg. Sabão em pó, convencional, de primeira linha. Para lavar roupas e limpeza em geral.</v>
      </c>
      <c r="C58" s="571"/>
      <c r="D58" s="571"/>
      <c r="E58" s="74" t="str">
        <f>Insumos!C40</f>
        <v>cx.</v>
      </c>
      <c r="F58" s="75" t="str">
        <f>Insumos!D40</f>
        <v>Omo ou similar</v>
      </c>
      <c r="G58" s="76">
        <f t="shared" si="0"/>
        <v>1</v>
      </c>
      <c r="H58" s="77">
        <f>G58*Insumos!G40</f>
        <v>15.6</v>
      </c>
      <c r="I58" s="561" t="str">
        <f t="shared" si="1"/>
        <v>Fornecimento igual ao estimado mensalmente</v>
      </c>
      <c r="J58" s="561"/>
      <c r="K58" s="561"/>
      <c r="L58" s="78">
        <f t="shared" si="2"/>
        <v>1</v>
      </c>
      <c r="M58" s="79">
        <f>Insumos!E40</f>
        <v>2</v>
      </c>
      <c r="N58" s="80" t="str">
        <f>Insumos!F40</f>
        <v>bimestral</v>
      </c>
      <c r="O58" s="81">
        <f t="shared" si="3"/>
        <v>2</v>
      </c>
    </row>
    <row r="59" spans="1:15" ht="27" customHeight="1" x14ac:dyDescent="0.25">
      <c r="A59" s="73">
        <v>34</v>
      </c>
      <c r="B59" s="571" t="str">
        <f>Insumos!B41</f>
        <v>Sapólio em pó 300g</v>
      </c>
      <c r="C59" s="571"/>
      <c r="D59" s="571"/>
      <c r="E59" s="74" t="str">
        <f>Insumos!C41</f>
        <v>unid</v>
      </c>
      <c r="F59" s="75" t="str">
        <f>Insumos!D41</f>
        <v>Bombril</v>
      </c>
      <c r="G59" s="76">
        <f t="shared" si="0"/>
        <v>0.33333333333333331</v>
      </c>
      <c r="H59" s="77">
        <f>G59*Insumos!G41</f>
        <v>2.08</v>
      </c>
      <c r="I59" s="561" t="str">
        <f t="shared" si="1"/>
        <v>Fornecimento igual ao estimado mensalmente</v>
      </c>
      <c r="J59" s="561"/>
      <c r="K59" s="561"/>
      <c r="L59" s="78">
        <f t="shared" si="2"/>
        <v>0.33333333333333331</v>
      </c>
      <c r="M59" s="79">
        <f>Insumos!E41</f>
        <v>1</v>
      </c>
      <c r="N59" s="80" t="str">
        <f>Insumos!F41</f>
        <v>trimestral</v>
      </c>
      <c r="O59" s="81">
        <f t="shared" si="3"/>
        <v>3</v>
      </c>
    </row>
    <row r="60" spans="1:15" ht="27" customHeight="1" x14ac:dyDescent="0.25">
      <c r="A60" s="82">
        <v>35</v>
      </c>
      <c r="B60" s="571" t="str">
        <f>Insumos!B42</f>
        <v>Sabonete líquido Concentrado, cremoso perolizado, pronto pra uso, aroma erva-doce, lavanda ou similar, galão de 05 litros.</v>
      </c>
      <c r="C60" s="571"/>
      <c r="D60" s="571"/>
      <c r="E60" s="74" t="str">
        <f>Insumos!C42</f>
        <v>Galão</v>
      </c>
      <c r="F60" s="75" t="str">
        <f>Insumos!D42</f>
        <v>Nobre, Start, Ikebana</v>
      </c>
      <c r="G60" s="76">
        <f t="shared" si="0"/>
        <v>1</v>
      </c>
      <c r="H60" s="77">
        <f>G60*Insumos!G42</f>
        <v>23.76</v>
      </c>
      <c r="I60" s="561" t="str">
        <f t="shared" si="1"/>
        <v>Fornecimento igual ao estimado mensalmente</v>
      </c>
      <c r="J60" s="561"/>
      <c r="K60" s="561"/>
      <c r="L60" s="78">
        <f t="shared" si="2"/>
        <v>1</v>
      </c>
      <c r="M60" s="79">
        <f>Insumos!E42</f>
        <v>1</v>
      </c>
      <c r="N60" s="80" t="str">
        <f>Insumos!F42</f>
        <v>mensal</v>
      </c>
      <c r="O60" s="81">
        <f t="shared" si="3"/>
        <v>1</v>
      </c>
    </row>
    <row r="61" spans="1:15" ht="27" customHeight="1" x14ac:dyDescent="0.25">
      <c r="A61" s="82">
        <v>36</v>
      </c>
      <c r="B61" s="571" t="str">
        <f>Insumos!B43</f>
        <v>Saco de Algodão Tipo: Alvejado, Tamanho: 60 X 80 CM, Cor: Branco, Características Adicionais: Dupla Face</v>
      </c>
      <c r="C61" s="571"/>
      <c r="D61" s="571"/>
      <c r="E61" s="74" t="str">
        <f>Insumos!C43</f>
        <v>unid.</v>
      </c>
      <c r="F61" s="75" t="str">
        <f>Insumos!D43</f>
        <v>Santa Margarida</v>
      </c>
      <c r="G61" s="76">
        <f t="shared" si="0"/>
        <v>5</v>
      </c>
      <c r="H61" s="77">
        <f>G61*Insumos!G43</f>
        <v>41.150000000000006</v>
      </c>
      <c r="I61" s="561" t="str">
        <f t="shared" si="1"/>
        <v>Fornecimento igual ao estimado mensalmente</v>
      </c>
      <c r="J61" s="561"/>
      <c r="K61" s="561"/>
      <c r="L61" s="78">
        <f t="shared" si="2"/>
        <v>5</v>
      </c>
      <c r="M61" s="79">
        <f>Insumos!E43</f>
        <v>5</v>
      </c>
      <c r="N61" s="80" t="str">
        <f>Insumos!F43</f>
        <v>mensal</v>
      </c>
      <c r="O61" s="81">
        <f t="shared" si="3"/>
        <v>1</v>
      </c>
    </row>
    <row r="62" spans="1:15" ht="27" customHeight="1" x14ac:dyDescent="0.25">
      <c r="A62" s="73">
        <v>37</v>
      </c>
      <c r="B62" s="571" t="str">
        <f>Insumos!B44</f>
        <v>Saco plástico reforçado para lixo em polietileno, com capacidade de 20 litros, com estanqueidade suficiente para que não haja vazamento de lixo líquido. com espessura mínima de 08 micra, na cor preta. Pacote com 100 unidades.</v>
      </c>
      <c r="C62" s="571"/>
      <c r="D62" s="571"/>
      <c r="E62" s="74" t="str">
        <f>Insumos!C44</f>
        <v>Pacote</v>
      </c>
      <c r="F62" s="75" t="str">
        <f>Insumos!D44</f>
        <v>Altaplast</v>
      </c>
      <c r="G62" s="76">
        <f t="shared" si="0"/>
        <v>2</v>
      </c>
      <c r="H62" s="77">
        <f>G62*Insumos!G44</f>
        <v>32.979999999999997</v>
      </c>
      <c r="I62" s="561" t="str">
        <f t="shared" si="1"/>
        <v>Fornecimento igual ao estimado mensalmente</v>
      </c>
      <c r="J62" s="561"/>
      <c r="K62" s="561"/>
      <c r="L62" s="78">
        <f t="shared" si="2"/>
        <v>2</v>
      </c>
      <c r="M62" s="79">
        <f>Insumos!E44</f>
        <v>4</v>
      </c>
      <c r="N62" s="80" t="str">
        <f>Insumos!F44</f>
        <v>bimestral</v>
      </c>
      <c r="O62" s="81">
        <f t="shared" si="3"/>
        <v>2</v>
      </c>
    </row>
    <row r="63" spans="1:15" ht="27" customHeight="1" x14ac:dyDescent="0.25">
      <c r="A63" s="82">
        <v>38</v>
      </c>
      <c r="B63" s="571" t="str">
        <f>Insumos!B45</f>
        <v>Saco plástico reforçado para lixo em polietileno, com capacidade de 60 litros, com estanqueidade suficiente para que não haja vazamento de lixo líquido. com espessura mínima de 09 micra, na cor preta. Pacote com 100 unidades.</v>
      </c>
      <c r="C63" s="571"/>
      <c r="D63" s="571"/>
      <c r="E63" s="74" t="str">
        <f>Insumos!C45</f>
        <v>Pacote</v>
      </c>
      <c r="F63" s="75" t="str">
        <f>Insumos!D45</f>
        <v>Polisac</v>
      </c>
      <c r="G63" s="76">
        <f t="shared" si="0"/>
        <v>1</v>
      </c>
      <c r="H63" s="77">
        <f>G63*Insumos!G45</f>
        <v>46.43</v>
      </c>
      <c r="I63" s="561" t="str">
        <f t="shared" si="1"/>
        <v>Fornecimento igual ao estimado mensalmente</v>
      </c>
      <c r="J63" s="561"/>
      <c r="K63" s="561"/>
      <c r="L63" s="78">
        <f t="shared" si="2"/>
        <v>1</v>
      </c>
      <c r="M63" s="79">
        <f>Insumos!E45</f>
        <v>1</v>
      </c>
      <c r="N63" s="80" t="str">
        <f>Insumos!F45</f>
        <v>mensal</v>
      </c>
      <c r="O63" s="81">
        <f t="shared" si="3"/>
        <v>1</v>
      </c>
    </row>
    <row r="64" spans="1:15" ht="27" customHeight="1" x14ac:dyDescent="0.25">
      <c r="A64" s="82">
        <v>39</v>
      </c>
      <c r="B64" s="571" t="str">
        <f>Insumos!B46</f>
        <v>Saco plástico reforçado para lixo em polietileno, com capacidade de 100 litros, com estanqueidade suficiente para que não haja vazamento de lixo líquido. com espessura mínima de 10 micra, na cor preta. Pacote com 100 unidades.</v>
      </c>
      <c r="C64" s="571"/>
      <c r="D64" s="571"/>
      <c r="E64" s="74" t="str">
        <f>Insumos!C46</f>
        <v>Pacote</v>
      </c>
      <c r="F64" s="75" t="str">
        <f>Insumos!D46</f>
        <v>Polisac</v>
      </c>
      <c r="G64" s="76">
        <f t="shared" si="0"/>
        <v>1</v>
      </c>
      <c r="H64" s="77">
        <f>G64*Insumos!G46</f>
        <v>60.16</v>
      </c>
      <c r="I64" s="561" t="str">
        <f t="shared" si="1"/>
        <v>Fornecimento igual ao estimado mensalmente</v>
      </c>
      <c r="J64" s="561"/>
      <c r="K64" s="561"/>
      <c r="L64" s="78">
        <f t="shared" si="2"/>
        <v>1</v>
      </c>
      <c r="M64" s="79">
        <f>Insumos!E46</f>
        <v>1</v>
      </c>
      <c r="N64" s="80" t="str">
        <f>Insumos!F46</f>
        <v>mensal</v>
      </c>
      <c r="O64" s="81">
        <f t="shared" si="3"/>
        <v>1</v>
      </c>
    </row>
    <row r="65" spans="1:21" ht="27" customHeight="1" x14ac:dyDescent="0.25">
      <c r="A65" s="73">
        <v>40</v>
      </c>
      <c r="B65" s="571" t="str">
        <f>Insumos!B47</f>
        <v>Vassoura Material Cerdas: Pêlo Sintético, Comprimento Cepa: 60 CM, Tipo Cabo: Reforçado, Material Cabo: Madeira</v>
      </c>
      <c r="C65" s="571"/>
      <c r="D65" s="571"/>
      <c r="E65" s="74" t="str">
        <f>Insumos!C47</f>
        <v>unid.</v>
      </c>
      <c r="F65" s="75" t="str">
        <f>Insumos!D47</f>
        <v>Brubalar</v>
      </c>
      <c r="G65" s="76">
        <f t="shared" si="0"/>
        <v>0.33333333333333331</v>
      </c>
      <c r="H65" s="77">
        <f>G65*Insumos!G47</f>
        <v>6.0733333333333324</v>
      </c>
      <c r="I65" s="561" t="str">
        <f t="shared" si="1"/>
        <v>Fornecimento igual ao estimado mensalmente</v>
      </c>
      <c r="J65" s="561"/>
      <c r="K65" s="561"/>
      <c r="L65" s="78">
        <f t="shared" si="2"/>
        <v>0.33333333333333331</v>
      </c>
      <c r="M65" s="79">
        <f>Insumos!E47</f>
        <v>2</v>
      </c>
      <c r="N65" s="80" t="str">
        <f>Insumos!F47</f>
        <v>semestral</v>
      </c>
      <c r="O65" s="81">
        <f t="shared" si="3"/>
        <v>6</v>
      </c>
    </row>
    <row r="66" spans="1:21" ht="27" customHeight="1" x14ac:dyDescent="0.25">
      <c r="A66" s="82">
        <v>41</v>
      </c>
      <c r="B66" s="571" t="str">
        <f>Insumos!B48</f>
        <v>Vassoura Material Cerdas: Piaçava, Aplicação: Limpeza, Material Cepa: Madeira, Comprimento Cepa: 40 CM, Comprimento Cerdas: 13 CM, Largura Cepa: 5 CM, Altura Cepa: 4 CM, Material Cabo: Madeira</v>
      </c>
      <c r="C66" s="571"/>
      <c r="D66" s="571"/>
      <c r="E66" s="74" t="str">
        <f>Insumos!C48</f>
        <v>unid.</v>
      </c>
      <c r="F66" s="75" t="str">
        <f>Insumos!D48</f>
        <v>Noviça</v>
      </c>
      <c r="G66" s="76">
        <f t="shared" si="0"/>
        <v>2</v>
      </c>
      <c r="H66" s="77">
        <f>G66*Insumos!G48</f>
        <v>36.200000000000003</v>
      </c>
      <c r="I66" s="561" t="str">
        <f t="shared" si="1"/>
        <v>Fornecimento igual ao estimado mensalmente</v>
      </c>
      <c r="J66" s="561"/>
      <c r="K66" s="561"/>
      <c r="L66" s="78">
        <f t="shared" si="2"/>
        <v>2</v>
      </c>
      <c r="M66" s="79">
        <f>Insumos!E48</f>
        <v>2</v>
      </c>
      <c r="N66" s="80" t="str">
        <f>Insumos!F48</f>
        <v>mensal</v>
      </c>
      <c r="O66" s="81">
        <f t="shared" si="3"/>
        <v>1</v>
      </c>
    </row>
    <row r="67" spans="1:21" ht="27" customHeight="1" x14ac:dyDescent="0.25">
      <c r="A67" s="82">
        <v>42</v>
      </c>
      <c r="B67" s="571" t="str">
        <f>Insumos!B49</f>
        <v>Suporte De Parede Organizador Para Vassouras E Esfregoes E Ferramentas, Com 4 ou 5 Posiçoes E Ganchos. Material De Aço Relaminado De Alta Densidade, Comprimento aprox. De 25Cm, Largura 3Cm</v>
      </c>
      <c r="C67" s="571"/>
      <c r="D67" s="571"/>
      <c r="E67" s="74" t="str">
        <f>Insumos!C49</f>
        <v>unid.</v>
      </c>
      <c r="F67" s="75">
        <f>Insumos!D49</f>
        <v>0</v>
      </c>
      <c r="G67" s="76">
        <f t="shared" si="0"/>
        <v>8.3333333333333329E-2</v>
      </c>
      <c r="H67" s="77">
        <f>G67*Insumos!G49</f>
        <v>3.1158333333333332</v>
      </c>
      <c r="I67" s="561" t="str">
        <f t="shared" si="1"/>
        <v>Fornecimento igual ao estimado mensalmente</v>
      </c>
      <c r="J67" s="561"/>
      <c r="K67" s="561"/>
      <c r="L67" s="78">
        <f t="shared" si="2"/>
        <v>8.3333333333333329E-2</v>
      </c>
      <c r="M67" s="79">
        <f>Insumos!E49</f>
        <v>1</v>
      </c>
      <c r="N67" s="80" t="str">
        <f>Insumos!F49</f>
        <v>anual</v>
      </c>
      <c r="O67" s="81">
        <f t="shared" si="3"/>
        <v>12</v>
      </c>
    </row>
    <row r="68" spans="1:21" ht="27" customHeight="1" x14ac:dyDescent="0.25">
      <c r="A68" s="73">
        <v>43</v>
      </c>
      <c r="B68" s="571" t="str">
        <f>Insumos!B50</f>
        <v>Suporte fixo de parede giratório de metal para mangueira até 50 metros</v>
      </c>
      <c r="C68" s="571"/>
      <c r="D68" s="571"/>
      <c r="E68" s="74" t="str">
        <f>Insumos!C50</f>
        <v>unid.</v>
      </c>
      <c r="F68" s="75">
        <f>Insumos!D50</f>
        <v>0</v>
      </c>
      <c r="G68" s="76">
        <f t="shared" si="0"/>
        <v>8.3333333333333329E-2</v>
      </c>
      <c r="H68" s="77">
        <f>G68*Insumos!G50</f>
        <v>5.5416666666666661</v>
      </c>
      <c r="I68" s="561" t="str">
        <f t="shared" si="1"/>
        <v>Fornecimento igual ao estimado mensalmente</v>
      </c>
      <c r="J68" s="561"/>
      <c r="K68" s="561"/>
      <c r="L68" s="78">
        <f t="shared" si="2"/>
        <v>8.3333333333333329E-2</v>
      </c>
      <c r="M68" s="79">
        <f>Insumos!E50</f>
        <v>1</v>
      </c>
      <c r="N68" s="80" t="str">
        <f>Insumos!F50</f>
        <v>anual</v>
      </c>
      <c r="O68" s="81">
        <f t="shared" si="3"/>
        <v>12</v>
      </c>
    </row>
    <row r="69" spans="1:21" ht="27" customHeight="1" x14ac:dyDescent="0.25">
      <c r="A69" s="572" t="s">
        <v>68</v>
      </c>
      <c r="B69" s="572"/>
      <c r="C69" s="572"/>
      <c r="D69" s="572"/>
      <c r="E69" s="572"/>
      <c r="F69" s="572"/>
      <c r="G69" s="572"/>
      <c r="H69" s="84">
        <f>ROUND(SUM(H26:H68),2)</f>
        <v>1844.56</v>
      </c>
      <c r="I69" s="56"/>
      <c r="J69" s="56"/>
      <c r="K69" s="3"/>
      <c r="L69" s="3"/>
      <c r="M69" s="3"/>
      <c r="N69" s="68"/>
      <c r="O69" s="68"/>
    </row>
    <row r="70" spans="1:21" ht="27" customHeight="1" x14ac:dyDescent="0.25">
      <c r="A70" s="563" t="s">
        <v>69</v>
      </c>
      <c r="B70" s="563"/>
      <c r="C70" s="563"/>
      <c r="D70" s="563"/>
      <c r="E70" s="563"/>
      <c r="F70" s="563"/>
      <c r="G70" s="85">
        <f>Dados!G43</f>
        <v>0.03</v>
      </c>
      <c r="H70" s="86">
        <f>ROUND((H69*G70),2)</f>
        <v>55.34</v>
      </c>
      <c r="I70" s="56"/>
      <c r="J70" s="56"/>
      <c r="K70" s="3"/>
      <c r="L70" s="3"/>
      <c r="M70" s="3"/>
      <c r="N70" s="68"/>
      <c r="O70" s="68"/>
    </row>
    <row r="71" spans="1:21" ht="27" customHeight="1" x14ac:dyDescent="0.25">
      <c r="A71" s="563" t="s">
        <v>70</v>
      </c>
      <c r="B71" s="563"/>
      <c r="C71" s="563"/>
      <c r="D71" s="563"/>
      <c r="E71" s="563"/>
      <c r="F71" s="563"/>
      <c r="G71" s="85">
        <f>Dados!G44</f>
        <v>6.7900000000000002E-2</v>
      </c>
      <c r="H71" s="86">
        <f>ROUND((SUM(H69:H70)*G71),2)</f>
        <v>129</v>
      </c>
      <c r="I71" s="56"/>
      <c r="J71" s="56"/>
      <c r="K71" s="3"/>
      <c r="L71" s="3"/>
      <c r="M71" s="3"/>
      <c r="N71" s="68"/>
      <c r="O71" s="68"/>
    </row>
    <row r="72" spans="1:21" ht="27" customHeight="1" x14ac:dyDescent="0.25">
      <c r="A72" s="563" t="s">
        <v>71</v>
      </c>
      <c r="B72" s="563"/>
      <c r="C72" s="563"/>
      <c r="D72" s="563"/>
      <c r="E72" s="563"/>
      <c r="F72" s="563"/>
      <c r="G72" s="85">
        <f>Dados!G55</f>
        <v>0.14250000000000002</v>
      </c>
      <c r="H72" s="86">
        <f>ROUND((H73*G72),2)</f>
        <v>337.16</v>
      </c>
      <c r="I72" s="56"/>
      <c r="J72" s="56"/>
      <c r="K72" s="3"/>
      <c r="L72" s="3"/>
      <c r="M72" s="3"/>
      <c r="N72" s="68"/>
      <c r="O72" s="68"/>
    </row>
    <row r="73" spans="1:21" ht="27" customHeight="1" x14ac:dyDescent="0.25">
      <c r="A73" s="564" t="s">
        <v>72</v>
      </c>
      <c r="B73" s="564"/>
      <c r="C73" s="564"/>
      <c r="D73" s="564"/>
      <c r="E73" s="564"/>
      <c r="F73" s="564"/>
      <c r="G73" s="564"/>
      <c r="H73" s="87">
        <f>ROUND((SUM(H69:H71)/(1-G72)),2)</f>
        <v>2366.06</v>
      </c>
      <c r="I73" s="56"/>
      <c r="J73" s="56"/>
      <c r="K73" s="3"/>
      <c r="L73" s="3"/>
      <c r="M73" s="3"/>
      <c r="N73" s="68"/>
      <c r="O73" s="68"/>
    </row>
    <row r="74" spans="1:21" ht="27" customHeight="1" x14ac:dyDescent="0.25">
      <c r="A74" s="63"/>
      <c r="B74" s="68"/>
      <c r="C74" s="68"/>
      <c r="D74" s="68"/>
      <c r="E74" s="68"/>
      <c r="F74" s="68"/>
      <c r="G74" s="63"/>
      <c r="H74" s="88"/>
      <c r="I74" s="68"/>
      <c r="J74" s="68"/>
      <c r="K74" s="3"/>
      <c r="L74" s="3"/>
      <c r="M74" s="3"/>
      <c r="N74" s="68"/>
      <c r="O74" s="68"/>
    </row>
    <row r="75" spans="1:21" ht="27" customHeight="1" x14ac:dyDescent="0.25">
      <c r="A75" s="562" t="s">
        <v>54</v>
      </c>
      <c r="B75" s="566" t="s">
        <v>73</v>
      </c>
      <c r="C75" s="566"/>
      <c r="D75" s="566"/>
      <c r="E75" s="566"/>
      <c r="F75" s="567" t="s">
        <v>56</v>
      </c>
      <c r="G75" s="567"/>
      <c r="H75" s="567"/>
      <c r="I75" s="568" t="s">
        <v>57</v>
      </c>
      <c r="J75" s="568"/>
      <c r="K75" s="568"/>
      <c r="L75" s="569" t="s">
        <v>58</v>
      </c>
      <c r="M75" s="569"/>
      <c r="N75" s="569"/>
      <c r="O75" s="569"/>
      <c r="U75" s="3"/>
    </row>
    <row r="76" spans="1:21" ht="36" customHeight="1" x14ac:dyDescent="0.25">
      <c r="A76" s="562"/>
      <c r="B76" s="570" t="s">
        <v>59</v>
      </c>
      <c r="C76" s="570"/>
      <c r="D76" s="570"/>
      <c r="E76" s="1" t="s">
        <v>60</v>
      </c>
      <c r="F76" s="1" t="s">
        <v>61</v>
      </c>
      <c r="G76" s="1" t="s">
        <v>62</v>
      </c>
      <c r="H76" s="72" t="s">
        <v>63</v>
      </c>
      <c r="I76" s="568"/>
      <c r="J76" s="568"/>
      <c r="K76" s="568"/>
      <c r="L76" s="69" t="s">
        <v>64</v>
      </c>
      <c r="M76" s="70" t="s">
        <v>65</v>
      </c>
      <c r="N76" s="70" t="s">
        <v>66</v>
      </c>
      <c r="O76" s="71" t="s">
        <v>67</v>
      </c>
      <c r="U76" s="3"/>
    </row>
    <row r="77" spans="1:21" ht="27" customHeight="1" x14ac:dyDescent="0.25">
      <c r="A77" s="89">
        <v>1</v>
      </c>
      <c r="B77" s="560" t="str">
        <f>Insumos!B58</f>
        <v>Açucar Cristal 5kg - origem vegetal, constituído fundamentalmente por sacarose de cana de açucar, sólido com cristais bem definidos, odor próprio do produto, sabor próprio do produto, composição básica centesimal do açucar cristal branco empacotado: sacarose concentração mínima de 99,6%, sais mineirais concentração máxima de 0,10%, unidade máxima de 0,07% outros componentes 0,23%. </v>
      </c>
      <c r="C77" s="560"/>
      <c r="D77" s="560"/>
      <c r="E77" s="74" t="str">
        <f>Insumos!C58</f>
        <v>pacote</v>
      </c>
      <c r="F77" s="75" t="str">
        <f>Insumos!D58</f>
        <v>União</v>
      </c>
      <c r="G77" s="76">
        <f t="shared" ref="G77:G98" si="4">L77</f>
        <v>0.5</v>
      </c>
      <c r="H77" s="77">
        <f>G77*Insumos!G58</f>
        <v>9.5850000000000009</v>
      </c>
      <c r="I77" s="561" t="str">
        <f t="shared" ref="I77:I98" si="5">IF(G77&lt;L77,"Fornecimento inferior ao estimado mensalmente",IF(G77=L77,"Fornecimento igual ao estimado mensalmente",IF(G77&gt;L77,"Fornecimento superior ao estimado mensalmente",)))</f>
        <v>Fornecimento igual ao estimado mensalmente</v>
      </c>
      <c r="J77" s="561"/>
      <c r="K77" s="561"/>
      <c r="L77" s="78">
        <f t="shared" ref="L77:L98" si="6">M77/O77</f>
        <v>0.5</v>
      </c>
      <c r="M77" s="90">
        <f>Insumos!E58</f>
        <v>1</v>
      </c>
      <c r="N77" s="90" t="str">
        <f>Insumos!F58</f>
        <v>bimestral</v>
      </c>
      <c r="O77" s="81">
        <f t="shared" ref="O77:O98" si="7">IF(N77="MENSAL",1,IF(N77="BIMESTRAL",2,IF(N77="TRIMESTRAL",3,IF(N77="QUADRIMESTRAL",4,IF(N77="SEMESTRAL",6,IF(N77="ANUAL",12,IF(N77="BIENAL",24,"")))))))</f>
        <v>2</v>
      </c>
    </row>
    <row r="78" spans="1:21" ht="27" customHeight="1" x14ac:dyDescent="0.25">
      <c r="A78" s="89">
        <v>2</v>
      </c>
      <c r="B78" s="560" t="str">
        <f>Insumos!B59</f>
        <v>Adoçante 100ml - adoçante líquido dietético, aspecto límpido e transparente, embalagem: frasco de 100 ml, tipo: adoçante líquido composição: sucralose (aditivo edulcorante de origem sintética), com exceção de outros aditivos ou substâncias químicas, conforme regulamentação da Anvisa. Embalagem: frasco conta-gotas, com tampa vedante para evitar desperdício e facilitar a dosagem precisa. Validade: de acordo com o prazo indicado pelo fabricante, devendo ser respeitado o prazo de validade para garantir a qualidade do produto. </v>
      </c>
      <c r="C78" s="560"/>
      <c r="D78" s="560"/>
      <c r="E78" s="74" t="str">
        <f>Insumos!C59</f>
        <v>unid.</v>
      </c>
      <c r="F78" s="75" t="str">
        <f>Insumos!D59</f>
        <v>Linea</v>
      </c>
      <c r="G78" s="76">
        <f t="shared" si="4"/>
        <v>0.5</v>
      </c>
      <c r="H78" s="77">
        <f>G78*Insumos!G59</f>
        <v>3.96</v>
      </c>
      <c r="I78" s="561" t="str">
        <f t="shared" si="5"/>
        <v>Fornecimento igual ao estimado mensalmente</v>
      </c>
      <c r="J78" s="561"/>
      <c r="K78" s="561"/>
      <c r="L78" s="78">
        <f t="shared" si="6"/>
        <v>0.5</v>
      </c>
      <c r="M78" s="90">
        <f>Insumos!E59</f>
        <v>1</v>
      </c>
      <c r="N78" s="90" t="str">
        <f>Insumos!F59</f>
        <v>Bimestral</v>
      </c>
      <c r="O78" s="81">
        <f t="shared" si="7"/>
        <v>2</v>
      </c>
    </row>
    <row r="79" spans="1:21" ht="27" customHeight="1" x14ac:dyDescent="0.25">
      <c r="A79" s="89">
        <v>3</v>
      </c>
      <c r="B79" s="560" t="str">
        <f>Insumos!B60</f>
        <v>Álcool granel 65% galão com 5 litros </v>
      </c>
      <c r="C79" s="560"/>
      <c r="D79" s="560"/>
      <c r="E79" s="74" t="str">
        <f>Insumos!C60</f>
        <v>unid</v>
      </c>
      <c r="F79" s="75" t="str">
        <f>Insumos!D60</f>
        <v>Tupi ou similar</v>
      </c>
      <c r="G79" s="76">
        <f t="shared" si="4"/>
        <v>0.33333333333333331</v>
      </c>
      <c r="H79" s="77">
        <f>G79*Insumos!G60</f>
        <v>4.083333333333333</v>
      </c>
      <c r="I79" s="561" t="str">
        <f t="shared" si="5"/>
        <v>Fornecimento igual ao estimado mensalmente</v>
      </c>
      <c r="J79" s="561"/>
      <c r="K79" s="561"/>
      <c r="L79" s="78">
        <f t="shared" si="6"/>
        <v>0.33333333333333331</v>
      </c>
      <c r="M79" s="90">
        <f>Insumos!E60</f>
        <v>1</v>
      </c>
      <c r="N79" s="90" t="str">
        <f>Insumos!F60</f>
        <v>trimestral</v>
      </c>
      <c r="O79" s="81">
        <f t="shared" si="7"/>
        <v>3</v>
      </c>
    </row>
    <row r="80" spans="1:21" ht="27" customHeight="1" x14ac:dyDescent="0.25">
      <c r="A80" s="89">
        <v>4</v>
      </c>
      <c r="B80" s="560" t="str">
        <f>Insumos!B61</f>
        <v>Balde Material: Plástico, Material Alça: Arame Galvanizado, Capacidade: 10 L, Cor: Preta, Características Adicionais: Reforço Fundo E Borda</v>
      </c>
      <c r="C80" s="560"/>
      <c r="D80" s="560"/>
      <c r="E80" s="74" t="str">
        <f>Insumos!C61</f>
        <v>unid.</v>
      </c>
      <c r="F80" s="75" t="str">
        <f>Insumos!D61</f>
        <v>Sanremo</v>
      </c>
      <c r="G80" s="76">
        <f t="shared" si="4"/>
        <v>0.16666666666666666</v>
      </c>
      <c r="H80" s="77">
        <f>G80*Insumos!G61</f>
        <v>2.3149999999999999</v>
      </c>
      <c r="I80" s="561" t="str">
        <f t="shared" si="5"/>
        <v>Fornecimento igual ao estimado mensalmente</v>
      </c>
      <c r="J80" s="561"/>
      <c r="K80" s="561"/>
      <c r="L80" s="78">
        <f t="shared" si="6"/>
        <v>0.16666666666666666</v>
      </c>
      <c r="M80" s="90">
        <f>Insumos!E61</f>
        <v>1</v>
      </c>
      <c r="N80" s="90" t="str">
        <f>Insumos!F61</f>
        <v>semestral</v>
      </c>
      <c r="O80" s="81">
        <f t="shared" si="7"/>
        <v>6</v>
      </c>
    </row>
    <row r="81" spans="1:15" ht="27" customHeight="1" x14ac:dyDescent="0.25">
      <c r="A81" s="89">
        <v>5</v>
      </c>
      <c r="B81" s="560" t="str">
        <f>Insumos!B62</f>
        <v>Café 500G - Café Em Pó, Torrado E Moído, 100% Arábica, Especial, Qualidade Superior, Devendo Ser Produzido Exclusivamente Com Grãos Sãos E Limpos, Em Pó, Moído E Torrado Em Processo De Torração Homogênea Na Cor Castanho Claro A Moderado Escuro, Sem Amargor, Sem Impurezas, Com Validade Mínima 6 Meses A Contar Da Data De Entrega. Deverá Conter O Selo Da Abic De Pureza e Qualidade Ou Selo Equivalente Que Comprove A Qualidade Superior. Embalagem 500G. O Produto Deve Ter Os Registros Nos Órgãos Competentes De Fiscalização E Estar De Acordo Com A Legislação Vigente.</v>
      </c>
      <c r="C81" s="560"/>
      <c r="D81" s="560"/>
      <c r="E81" s="74" t="str">
        <f>Insumos!C62</f>
        <v>unid.</v>
      </c>
      <c r="F81" s="75" t="str">
        <f>Insumos!D62</f>
        <v>3 Corações Gourmet, Orfeu</v>
      </c>
      <c r="G81" s="76">
        <f t="shared" si="4"/>
        <v>3</v>
      </c>
      <c r="H81" s="77">
        <f>G81*Insumos!G62</f>
        <v>88.59</v>
      </c>
      <c r="I81" s="561" t="str">
        <f t="shared" si="5"/>
        <v>Fornecimento igual ao estimado mensalmente</v>
      </c>
      <c r="J81" s="561"/>
      <c r="K81" s="561"/>
      <c r="L81" s="78">
        <f t="shared" si="6"/>
        <v>3</v>
      </c>
      <c r="M81" s="90">
        <f>Insumos!E62</f>
        <v>3</v>
      </c>
      <c r="N81" s="90" t="str">
        <f>Insumos!F62</f>
        <v>mensal</v>
      </c>
      <c r="O81" s="81">
        <f t="shared" si="7"/>
        <v>1</v>
      </c>
    </row>
    <row r="82" spans="1:15" ht="27" customHeight="1" x14ac:dyDescent="0.25">
      <c r="A82" s="89">
        <v>6</v>
      </c>
      <c r="B82" s="560" t="str">
        <f>Insumos!B63</f>
        <v>Coador de Café. Especificação: Em pano 100% algodão, cor branca, dimensões de 20cm (diâmetro) x 30cm (profundidade), cabo 16 cm de comprimento feito de arame de aço galvanizado revestido com PVC. O rótulo do produto deve estampar o nome do fabricante.</v>
      </c>
      <c r="C82" s="560"/>
      <c r="D82" s="560"/>
      <c r="E82" s="74" t="str">
        <f>Insumos!C63</f>
        <v>unid.</v>
      </c>
      <c r="F82" s="75" t="str">
        <f>Insumos!D63</f>
        <v>Stolf</v>
      </c>
      <c r="G82" s="76">
        <f t="shared" si="4"/>
        <v>2</v>
      </c>
      <c r="H82" s="77">
        <f>G82*Insumos!G63</f>
        <v>19.98</v>
      </c>
      <c r="I82" s="561" t="str">
        <f t="shared" si="5"/>
        <v>Fornecimento igual ao estimado mensalmente</v>
      </c>
      <c r="J82" s="561"/>
      <c r="K82" s="561"/>
      <c r="L82" s="78">
        <f t="shared" si="6"/>
        <v>2</v>
      </c>
      <c r="M82" s="90">
        <f>Insumos!E63</f>
        <v>2</v>
      </c>
      <c r="N82" s="90" t="str">
        <f>Insumos!F63</f>
        <v>mensal</v>
      </c>
      <c r="O82" s="81">
        <f t="shared" si="7"/>
        <v>1</v>
      </c>
    </row>
    <row r="83" spans="1:15" ht="27" customHeight="1" x14ac:dyDescent="0.25">
      <c r="A83" s="89">
        <v>7</v>
      </c>
      <c r="B83" s="560" t="str">
        <f>Insumos!B64</f>
        <v>Desentupidor Pia Material: Borracha Flexível, Cor: Preta , Material Cabo: Plástico Resistente , Comprimento Cabo: 20 CM, Tipo: Sanfonado</v>
      </c>
      <c r="C83" s="560"/>
      <c r="D83" s="560"/>
      <c r="E83" s="74" t="str">
        <f>Insumos!C64</f>
        <v>unid.</v>
      </c>
      <c r="F83" s="75" t="str">
        <f>Insumos!D64</f>
        <v>Oliveira e Azevedo</v>
      </c>
      <c r="G83" s="76">
        <f t="shared" si="4"/>
        <v>8.3333333333333329E-2</v>
      </c>
      <c r="H83" s="77">
        <f>G83*Insumos!G64</f>
        <v>0.86749999999999994</v>
      </c>
      <c r="I83" s="561" t="str">
        <f t="shared" si="5"/>
        <v>Fornecimento igual ao estimado mensalmente</v>
      </c>
      <c r="J83" s="561"/>
      <c r="K83" s="561"/>
      <c r="L83" s="78">
        <f t="shared" si="6"/>
        <v>8.3333333333333329E-2</v>
      </c>
      <c r="M83" s="90">
        <f>Insumos!E64</f>
        <v>1</v>
      </c>
      <c r="N83" s="90" t="str">
        <f>Insumos!F64</f>
        <v>anual</v>
      </c>
      <c r="O83" s="81">
        <f t="shared" si="7"/>
        <v>12</v>
      </c>
    </row>
    <row r="84" spans="1:15" ht="27" customHeight="1" x14ac:dyDescent="0.25">
      <c r="A84" s="89">
        <v>8</v>
      </c>
      <c r="B84" s="560" t="str">
        <f>Insumos!B65</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84" s="560"/>
      <c r="D84" s="560"/>
      <c r="E84" s="74" t="str">
        <f>Insumos!C65</f>
        <v>unid.</v>
      </c>
      <c r="F84" s="75" t="str">
        <f>Insumos!D65</f>
        <v>Limpol ou similar</v>
      </c>
      <c r="G84" s="76">
        <f t="shared" si="4"/>
        <v>3</v>
      </c>
      <c r="H84" s="77">
        <f>G84*Insumos!G65</f>
        <v>8.9700000000000006</v>
      </c>
      <c r="I84" s="561" t="str">
        <f t="shared" si="5"/>
        <v>Fornecimento igual ao estimado mensalmente</v>
      </c>
      <c r="J84" s="561"/>
      <c r="K84" s="561"/>
      <c r="L84" s="78">
        <f t="shared" si="6"/>
        <v>3</v>
      </c>
      <c r="M84" s="90">
        <f>Insumos!E65</f>
        <v>3</v>
      </c>
      <c r="N84" s="90" t="str">
        <f>Insumos!F65</f>
        <v>mensal</v>
      </c>
      <c r="O84" s="81">
        <f t="shared" si="7"/>
        <v>1</v>
      </c>
    </row>
    <row r="85" spans="1:15" ht="27" customHeight="1" x14ac:dyDescent="0.25">
      <c r="A85" s="89">
        <v>9</v>
      </c>
      <c r="B85" s="560" t="str">
        <f>Insumos!B66</f>
        <v>Escova para limpeza de mamadeira/garrafa, tipo redonda, base de arame galvanizado, com cerdas 100% polipropileno, medindo 15cm, cabo de arame duplo retorcido e ferro galvanizado, medindo 15cm, mínimo de 30 cerdas por tufos</v>
      </c>
      <c r="C85" s="560"/>
      <c r="D85" s="560"/>
      <c r="E85" s="74" t="str">
        <f>Insumos!C66</f>
        <v>unid.</v>
      </c>
      <c r="F85" s="75" t="str">
        <f>Insumos!D66</f>
        <v>Dynasty</v>
      </c>
      <c r="G85" s="76">
        <f t="shared" si="4"/>
        <v>0.16666666666666666</v>
      </c>
      <c r="H85" s="77">
        <f>G85*Insumos!G66</f>
        <v>4.6783333333333328</v>
      </c>
      <c r="I85" s="561" t="str">
        <f t="shared" si="5"/>
        <v>Fornecimento igual ao estimado mensalmente</v>
      </c>
      <c r="J85" s="561"/>
      <c r="K85" s="561"/>
      <c r="L85" s="78">
        <f t="shared" si="6"/>
        <v>0.16666666666666666</v>
      </c>
      <c r="M85" s="90">
        <f>Insumos!E66</f>
        <v>1</v>
      </c>
      <c r="N85" s="90" t="str">
        <f>Insumos!F66</f>
        <v>semestral</v>
      </c>
      <c r="O85" s="81">
        <f t="shared" si="7"/>
        <v>6</v>
      </c>
    </row>
    <row r="86" spans="1:15" ht="27" customHeight="1" x14ac:dyDescent="0.25">
      <c r="A86" s="89">
        <v>10</v>
      </c>
      <c r="B86" s="560" t="str">
        <f>Insumos!B67</f>
        <v>Esponja Para Lavagem De Louças E Limpeza Em Geral, Dupla Face Sintética, Um Lado Em Espuma Poliuretano E Outro Em Fibra Sintética Abrasiva, Antibacteriana, Formato Retangular, Medindo Aproximadamente 110mm X 75mm X 20mm De Espessura. Pacote com 4 unidades.</v>
      </c>
      <c r="C86" s="560"/>
      <c r="D86" s="560"/>
      <c r="E86" s="74" t="str">
        <f>Insumos!C67</f>
        <v>unid.</v>
      </c>
      <c r="F86" s="75" t="str">
        <f>Insumos!D67</f>
        <v>Scotch-Brite</v>
      </c>
      <c r="G86" s="76">
        <f t="shared" si="4"/>
        <v>4</v>
      </c>
      <c r="H86" s="77">
        <f>G86*Insumos!G67</f>
        <v>25.6</v>
      </c>
      <c r="I86" s="561" t="str">
        <f t="shared" si="5"/>
        <v>Fornecimento igual ao estimado mensalmente</v>
      </c>
      <c r="J86" s="561"/>
      <c r="K86" s="561"/>
      <c r="L86" s="78">
        <f t="shared" si="6"/>
        <v>4</v>
      </c>
      <c r="M86" s="90">
        <f>Insumos!E67</f>
        <v>4</v>
      </c>
      <c r="N86" s="90" t="str">
        <f>Insumos!F67</f>
        <v>mensal</v>
      </c>
      <c r="O86" s="81">
        <f t="shared" si="7"/>
        <v>1</v>
      </c>
    </row>
    <row r="87" spans="1:15" ht="27" customHeight="1" x14ac:dyDescent="0.25">
      <c r="A87" s="89">
        <v>11</v>
      </c>
      <c r="B87" s="560" t="str">
        <f>Insumos!B68</f>
        <v>Esponja de LÃ DE AÇO, composição básica: aço carbono abrasivo, p/ limpeza em geral, acondicionada em embalagem plástica original do fabricante, peso líquido aproximado de 60g, pacote c/ 08 unidades</v>
      </c>
      <c r="C87" s="560"/>
      <c r="D87" s="560"/>
      <c r="E87" s="74" t="str">
        <f>Insumos!C68</f>
        <v>Pacote</v>
      </c>
      <c r="F87" s="75" t="str">
        <f>Insumos!D68</f>
        <v>Bombril</v>
      </c>
      <c r="G87" s="76">
        <f t="shared" si="4"/>
        <v>0.66666666666666663</v>
      </c>
      <c r="H87" s="77">
        <f>G87*Insumos!G68</f>
        <v>1.96</v>
      </c>
      <c r="I87" s="561" t="str">
        <f t="shared" si="5"/>
        <v>Fornecimento igual ao estimado mensalmente</v>
      </c>
      <c r="J87" s="561"/>
      <c r="K87" s="561"/>
      <c r="L87" s="78">
        <f t="shared" si="6"/>
        <v>0.66666666666666663</v>
      </c>
      <c r="M87" s="90">
        <f>Insumos!E68</f>
        <v>2</v>
      </c>
      <c r="N87" s="90" t="str">
        <f>Insumos!F68</f>
        <v>trimestral</v>
      </c>
      <c r="O87" s="81">
        <f t="shared" si="7"/>
        <v>3</v>
      </c>
    </row>
    <row r="88" spans="1:15" ht="27" customHeight="1" x14ac:dyDescent="0.25">
      <c r="A88" s="89">
        <v>12</v>
      </c>
      <c r="B88" s="560" t="str">
        <f>Insumos!B69</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88" s="560"/>
      <c r="D88" s="560"/>
      <c r="E88" s="74" t="str">
        <f>Insumos!C69</f>
        <v>unid.</v>
      </c>
      <c r="F88" s="75" t="str">
        <f>Insumos!D69</f>
        <v>Santa Margarida</v>
      </c>
      <c r="G88" s="76">
        <f t="shared" si="4"/>
        <v>8</v>
      </c>
      <c r="H88" s="77">
        <f>G88*Insumos!G69</f>
        <v>34.24</v>
      </c>
      <c r="I88" s="561" t="str">
        <f t="shared" si="5"/>
        <v>Fornecimento igual ao estimado mensalmente</v>
      </c>
      <c r="J88" s="561"/>
      <c r="K88" s="561"/>
      <c r="L88" s="78">
        <f t="shared" si="6"/>
        <v>8</v>
      </c>
      <c r="M88" s="90">
        <f>Insumos!E69</f>
        <v>8</v>
      </c>
      <c r="N88" s="90" t="str">
        <f>Insumos!F69</f>
        <v>mensal</v>
      </c>
      <c r="O88" s="81">
        <f t="shared" si="7"/>
        <v>1</v>
      </c>
    </row>
    <row r="89" spans="1:15" ht="27" customHeight="1" x14ac:dyDescent="0.25">
      <c r="A89" s="89">
        <v>13</v>
      </c>
      <c r="B89" s="560" t="str">
        <f>Insumos!B70</f>
        <v>Guardanapo de limpeza, em papel absorvente, folha simples, na cor branca, não gofrado, 4 dobras, dimensões mínimas 24cm x 22cm, 100% fibras naturais, embalado em pacote com 50 unidades, com dados do fabricante, data de fabricação e prazo de validade. Produto fabricado de acordo com as normas da ABNT/NBR. Do tipo Coquetel, Santepel, Snob ou de melhor qualidade</v>
      </c>
      <c r="C89" s="560"/>
      <c r="D89" s="560"/>
      <c r="E89" s="74" t="str">
        <f>Insumos!C70</f>
        <v>Pacote</v>
      </c>
      <c r="F89" s="75" t="str">
        <f>Insumos!D70</f>
        <v>Santepel</v>
      </c>
      <c r="G89" s="76">
        <f t="shared" si="4"/>
        <v>1</v>
      </c>
      <c r="H89" s="77">
        <f>G89*Insumos!G70</f>
        <v>5.95</v>
      </c>
      <c r="I89" s="561" t="str">
        <f t="shared" si="5"/>
        <v>Fornecimento igual ao estimado mensalmente</v>
      </c>
      <c r="J89" s="561"/>
      <c r="K89" s="561"/>
      <c r="L89" s="78">
        <f t="shared" si="6"/>
        <v>1</v>
      </c>
      <c r="M89" s="90">
        <f>Insumos!E70</f>
        <v>3</v>
      </c>
      <c r="N89" s="90" t="str">
        <f>Insumos!F70</f>
        <v>trimestral</v>
      </c>
      <c r="O89" s="81">
        <f t="shared" si="7"/>
        <v>3</v>
      </c>
    </row>
    <row r="90" spans="1:15" ht="27" customHeight="1" x14ac:dyDescent="0.25">
      <c r="A90" s="89">
        <v>14</v>
      </c>
      <c r="B90" s="560" t="str">
        <f>Insumos!B71</f>
        <v>Guardanapo de limpeza, em papel absorvente, folha simples, na cor branca, não gofrado, 4 dobras, dimensões mínimas 33 cm x 30 cm, 100% fibras naturais, embalado em pacote com 50 unidades, com dados do fabricante, data de fabricação e prazo de validade. Produto fabricado de acordo com as normas da ABNT/NBR. Do tipo Coquetel, Santepel, Snob ou de melhor qualidade</v>
      </c>
      <c r="C90" s="560"/>
      <c r="D90" s="560"/>
      <c r="E90" s="74" t="str">
        <f>Insumos!C71</f>
        <v>Pacote</v>
      </c>
      <c r="F90" s="75" t="str">
        <f>Insumos!D71</f>
        <v>Santepel</v>
      </c>
      <c r="G90" s="76">
        <f t="shared" si="4"/>
        <v>1</v>
      </c>
      <c r="H90" s="77">
        <f>G90*Insumos!G71</f>
        <v>6.48</v>
      </c>
      <c r="I90" s="561" t="str">
        <f t="shared" si="5"/>
        <v>Fornecimento igual ao estimado mensalmente</v>
      </c>
      <c r="J90" s="561"/>
      <c r="K90" s="561"/>
      <c r="L90" s="78">
        <f t="shared" si="6"/>
        <v>1</v>
      </c>
      <c r="M90" s="90">
        <f>Insumos!E71</f>
        <v>3</v>
      </c>
      <c r="N90" s="90" t="str">
        <f>Insumos!F71</f>
        <v>trimestral</v>
      </c>
      <c r="O90" s="81">
        <f t="shared" si="7"/>
        <v>3</v>
      </c>
    </row>
    <row r="91" spans="1:15" ht="27" customHeight="1" x14ac:dyDescent="0.25">
      <c r="A91" s="89">
        <v>15</v>
      </c>
      <c r="B91" s="560" t="str">
        <f>Insumos!B72</f>
        <v>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v>
      </c>
      <c r="C91" s="560"/>
      <c r="D91" s="560"/>
      <c r="E91" s="74" t="str">
        <f>Insumos!C72</f>
        <v>unid.</v>
      </c>
      <c r="F91" s="75" t="str">
        <f>Insumos!D72</f>
        <v>Start</v>
      </c>
      <c r="G91" s="76">
        <f t="shared" si="4"/>
        <v>1</v>
      </c>
      <c r="H91" s="77">
        <f>G91*Insumos!G72</f>
        <v>5.46</v>
      </c>
      <c r="I91" s="561" t="str">
        <f t="shared" si="5"/>
        <v>Fornecimento igual ao estimado mensalmente</v>
      </c>
      <c r="J91" s="561"/>
      <c r="K91" s="561"/>
      <c r="L91" s="78">
        <f t="shared" si="6"/>
        <v>1</v>
      </c>
      <c r="M91" s="90">
        <f>Insumos!E72</f>
        <v>3</v>
      </c>
      <c r="N91" s="90" t="str">
        <f>Insumos!F72</f>
        <v>trimestral</v>
      </c>
      <c r="O91" s="81">
        <f t="shared" si="7"/>
        <v>3</v>
      </c>
    </row>
    <row r="92" spans="1:15" ht="27" customHeight="1" x14ac:dyDescent="0.25">
      <c r="A92" s="89">
        <v>16</v>
      </c>
      <c r="B92" s="560" t="str">
        <f>Insumos!B73</f>
        <v>Luva Segurança Com Forro. Material: 100% Látex Nitrílico, Tamanho: M ou G, Aplicação: Manuseio Reagente Químico E Radioativo , Características Adicionais: Com Forro, Sem Talco, Pulso Com Bainha , Modelo: Palma Antiderrapante, Cor: Verde ,Tipo: Ambidestra</v>
      </c>
      <c r="C92" s="560"/>
      <c r="D92" s="560"/>
      <c r="E92" s="74" t="str">
        <f>Insumos!C73</f>
        <v>Par</v>
      </c>
      <c r="F92" s="75" t="str">
        <f>Insumos!D73</f>
        <v>Bettanin</v>
      </c>
      <c r="G92" s="76">
        <f t="shared" si="4"/>
        <v>1</v>
      </c>
      <c r="H92" s="77">
        <f>G92*Insumos!G73</f>
        <v>13.38</v>
      </c>
      <c r="I92" s="561" t="str">
        <f t="shared" si="5"/>
        <v>Fornecimento igual ao estimado mensalmente</v>
      </c>
      <c r="J92" s="561"/>
      <c r="K92" s="561"/>
      <c r="L92" s="78">
        <f t="shared" si="6"/>
        <v>1</v>
      </c>
      <c r="M92" s="90">
        <f>Insumos!E73</f>
        <v>1</v>
      </c>
      <c r="N92" s="90" t="str">
        <f>Insumos!F73</f>
        <v>mensal</v>
      </c>
      <c r="O92" s="81">
        <f t="shared" si="7"/>
        <v>1</v>
      </c>
    </row>
    <row r="93" spans="1:15" ht="27" customHeight="1" x14ac:dyDescent="0.25">
      <c r="A93" s="89">
        <v>17</v>
      </c>
      <c r="B93" s="560" t="str">
        <f>Insumos!B74</f>
        <v>Multiuso para limpeza diária 500ml - Limpador Geral Multiuso, para remoção de gorduras, fuligem, poeira, marcas de dedos e de sapatos, riscos de lápis, etc. ingredientes: alquil benzeno sulfonato de sódio, álcool etoxilado, coadjuvantes, sequestrante, fragrância e água. frascos de 500 ml de produto (marca de referência: veja).</v>
      </c>
      <c r="C93" s="560"/>
      <c r="D93" s="560"/>
      <c r="E93" s="74" t="str">
        <f>Insumos!C74</f>
        <v>unid.</v>
      </c>
      <c r="F93" s="75" t="str">
        <f>Insumos!D74</f>
        <v>Veja</v>
      </c>
      <c r="G93" s="76">
        <f t="shared" si="4"/>
        <v>2</v>
      </c>
      <c r="H93" s="77">
        <f>G93*Insumos!G74</f>
        <v>10.16</v>
      </c>
      <c r="I93" s="561" t="str">
        <f t="shared" si="5"/>
        <v>Fornecimento igual ao estimado mensalmente</v>
      </c>
      <c r="J93" s="561"/>
      <c r="K93" s="561"/>
      <c r="L93" s="78">
        <f t="shared" si="6"/>
        <v>2</v>
      </c>
      <c r="M93" s="90">
        <f>Insumos!E74</f>
        <v>2</v>
      </c>
      <c r="N93" s="90" t="str">
        <f>Insumos!F74</f>
        <v>mensal</v>
      </c>
      <c r="O93" s="81">
        <f t="shared" si="7"/>
        <v>1</v>
      </c>
    </row>
    <row r="94" spans="1:15" ht="27" customHeight="1" x14ac:dyDescent="0.25">
      <c r="A94" s="89">
        <v>18</v>
      </c>
      <c r="B94" s="560" t="str">
        <f>Insumos!B75</f>
        <v>Pá para lixo, material: plástico com cabo, material cabo: madeira, comprimento cabo: 60cm, tamanho:24x16,5x7cm.</v>
      </c>
      <c r="C94" s="560"/>
      <c r="D94" s="560"/>
      <c r="E94" s="74" t="str">
        <f>Insumos!C75</f>
        <v>unid.</v>
      </c>
      <c r="F94" s="75" t="str">
        <f>Insumos!D75</f>
        <v>Bettanin</v>
      </c>
      <c r="G94" s="76">
        <f t="shared" si="4"/>
        <v>0.16666666666666666</v>
      </c>
      <c r="H94" s="77">
        <f>G94*Insumos!G75</f>
        <v>2.1816666666666666</v>
      </c>
      <c r="I94" s="561" t="str">
        <f t="shared" si="5"/>
        <v>Fornecimento igual ao estimado mensalmente</v>
      </c>
      <c r="J94" s="561"/>
      <c r="K94" s="561"/>
      <c r="L94" s="78">
        <f t="shared" si="6"/>
        <v>0.16666666666666666</v>
      </c>
      <c r="M94" s="90">
        <f>Insumos!E75</f>
        <v>1</v>
      </c>
      <c r="N94" s="90" t="str">
        <f>Insumos!F75</f>
        <v>semestral</v>
      </c>
      <c r="O94" s="81">
        <f t="shared" si="7"/>
        <v>6</v>
      </c>
    </row>
    <row r="95" spans="1:15" ht="27" customHeight="1" x14ac:dyDescent="0.25">
      <c r="A95" s="89">
        <v>19</v>
      </c>
      <c r="B95" s="560" t="str">
        <f>Insumos!B76</f>
        <v>Pano de copa aberto 100% dimensões mínimas 40x60cm</v>
      </c>
      <c r="C95" s="560"/>
      <c r="D95" s="560"/>
      <c r="E95" s="74" t="str">
        <f>Insumos!C76</f>
        <v>unid.</v>
      </c>
      <c r="F95" s="75" t="str">
        <f>Insumos!D76</f>
        <v>Karsten</v>
      </c>
      <c r="G95" s="76">
        <f t="shared" si="4"/>
        <v>5</v>
      </c>
      <c r="H95" s="77">
        <f>G95*Insumos!G76</f>
        <v>50</v>
      </c>
      <c r="I95" s="561" t="str">
        <f t="shared" si="5"/>
        <v>Fornecimento igual ao estimado mensalmente</v>
      </c>
      <c r="J95" s="561"/>
      <c r="K95" s="561"/>
      <c r="L95" s="78">
        <f t="shared" si="6"/>
        <v>5</v>
      </c>
      <c r="M95" s="90">
        <f>Insumos!E76</f>
        <v>5</v>
      </c>
      <c r="N95" s="90" t="str">
        <f>Insumos!F76</f>
        <v>mensal</v>
      </c>
      <c r="O95" s="81">
        <f t="shared" si="7"/>
        <v>1</v>
      </c>
    </row>
    <row r="96" spans="1:15" ht="27" customHeight="1" x14ac:dyDescent="0.25">
      <c r="A96" s="89">
        <v>20</v>
      </c>
      <c r="B96" s="560" t="str">
        <f>Insumos!B77</f>
        <v>Rodo plástico push 60cm com borracha dupla cabo 120cm. Especificação: com cepa de polipropileno; propriedades mínimas; cepa medindo 60cm de comprimento; eva; duplo; com espessura 3,5mm(+/- 0,05mm); cepa pesando 230g, cabo de madeira (cedrinho) revestido de polipropileno; 120cm gancho de polietileno de alta densidade; rosca de polietileno de baixa densidade; embalado em embalagem apropriada.</v>
      </c>
      <c r="C96" s="560"/>
      <c r="D96" s="560"/>
      <c r="E96" s="74" t="str">
        <f>Insumos!C77</f>
        <v>unid.</v>
      </c>
      <c r="F96" s="75" t="str">
        <f>Insumos!D77</f>
        <v>Brubalar</v>
      </c>
      <c r="G96" s="76">
        <f t="shared" si="4"/>
        <v>0.16666666666666666</v>
      </c>
      <c r="H96" s="77">
        <f>G96*Insumos!G77</f>
        <v>4.2783333333333333</v>
      </c>
      <c r="I96" s="561" t="str">
        <f t="shared" si="5"/>
        <v>Fornecimento igual ao estimado mensalmente</v>
      </c>
      <c r="J96" s="561"/>
      <c r="K96" s="561"/>
      <c r="L96" s="78">
        <f t="shared" si="6"/>
        <v>0.16666666666666666</v>
      </c>
      <c r="M96" s="90">
        <f>Insumos!E77</f>
        <v>1</v>
      </c>
      <c r="N96" s="90" t="str">
        <f>Insumos!F77</f>
        <v>semestral</v>
      </c>
      <c r="O96" s="81">
        <f t="shared" si="7"/>
        <v>6</v>
      </c>
    </row>
    <row r="97" spans="1:21" ht="27" customHeight="1" x14ac:dyDescent="0.25">
      <c r="A97" s="89">
        <v>21</v>
      </c>
      <c r="B97" s="560" t="str">
        <f>Insumos!B78</f>
        <v>Sabão em barra glicerinado - cor neutra. Pacote com 5 de 200g cada unidade</v>
      </c>
      <c r="C97" s="560"/>
      <c r="D97" s="560"/>
      <c r="E97" s="74" t="str">
        <f>Insumos!C78</f>
        <v>unid.</v>
      </c>
      <c r="F97" s="75" t="str">
        <f>Insumos!D78</f>
        <v>Minuano</v>
      </c>
      <c r="G97" s="76">
        <f t="shared" si="4"/>
        <v>1</v>
      </c>
      <c r="H97" s="77">
        <f>G97*Insumos!G78</f>
        <v>12</v>
      </c>
      <c r="I97" s="561" t="str">
        <f t="shared" si="5"/>
        <v>Fornecimento igual ao estimado mensalmente</v>
      </c>
      <c r="J97" s="561"/>
      <c r="K97" s="561"/>
      <c r="L97" s="78">
        <f t="shared" si="6"/>
        <v>1</v>
      </c>
      <c r="M97" s="90">
        <f>Insumos!E78</f>
        <v>1</v>
      </c>
      <c r="N97" s="90" t="str">
        <f>Insumos!F78</f>
        <v>mensal</v>
      </c>
      <c r="O97" s="81">
        <f t="shared" si="7"/>
        <v>1</v>
      </c>
    </row>
    <row r="98" spans="1:21" ht="27" customHeight="1" x14ac:dyDescent="0.25">
      <c r="A98" s="89">
        <v>22</v>
      </c>
      <c r="B98" s="560" t="str">
        <f>Insumos!B79</f>
        <v>Saco De Algodão Tipo: Alvejado, Tamanho: 60 X 80 CM, Cor: Branco, Características Adicionais: Dupla Face</v>
      </c>
      <c r="C98" s="560"/>
      <c r="D98" s="560"/>
      <c r="E98" s="74" t="str">
        <f>Insumos!C79</f>
        <v>unid.</v>
      </c>
      <c r="F98" s="75" t="str">
        <f>Insumos!D79</f>
        <v>Uzzilim</v>
      </c>
      <c r="G98" s="76">
        <f t="shared" si="4"/>
        <v>4</v>
      </c>
      <c r="H98" s="77">
        <f>G98*Insumos!G79</f>
        <v>32.92</v>
      </c>
      <c r="I98" s="561" t="str">
        <f t="shared" si="5"/>
        <v>Fornecimento igual ao estimado mensalmente</v>
      </c>
      <c r="J98" s="561"/>
      <c r="K98" s="561"/>
      <c r="L98" s="78">
        <f t="shared" si="6"/>
        <v>4</v>
      </c>
      <c r="M98" s="90">
        <f>Insumos!E79</f>
        <v>4</v>
      </c>
      <c r="N98" s="90" t="str">
        <f>Insumos!F79</f>
        <v>mensal</v>
      </c>
      <c r="O98" s="81">
        <f t="shared" si="7"/>
        <v>1</v>
      </c>
    </row>
    <row r="99" spans="1:21" ht="27" customHeight="1" x14ac:dyDescent="0.25">
      <c r="A99" s="562" t="s">
        <v>68</v>
      </c>
      <c r="B99" s="562"/>
      <c r="C99" s="562"/>
      <c r="D99" s="562"/>
      <c r="E99" s="562"/>
      <c r="F99" s="562"/>
      <c r="G99" s="562"/>
      <c r="H99" s="91">
        <f>SUM(H77:H98)</f>
        <v>347.63916666666665</v>
      </c>
      <c r="I99" s="56"/>
      <c r="J99" s="56"/>
      <c r="K99" s="3"/>
      <c r="L99" s="68"/>
      <c r="M99" s="68"/>
      <c r="N99" s="68"/>
      <c r="U99" s="3"/>
    </row>
    <row r="100" spans="1:21" ht="27" customHeight="1" x14ac:dyDescent="0.25">
      <c r="A100" s="563" t="s">
        <v>69</v>
      </c>
      <c r="B100" s="563"/>
      <c r="C100" s="563"/>
      <c r="D100" s="563"/>
      <c r="E100" s="563"/>
      <c r="F100" s="563"/>
      <c r="G100" s="85">
        <f>Dados!$G$43</f>
        <v>0.03</v>
      </c>
      <c r="H100" s="86">
        <f>ROUND((H99*G100),2)</f>
        <v>10.43</v>
      </c>
      <c r="I100" s="68"/>
      <c r="J100" s="68"/>
      <c r="K100" s="3"/>
      <c r="L100" s="68"/>
      <c r="M100" s="68"/>
      <c r="N100" s="68"/>
      <c r="U100" s="3"/>
    </row>
    <row r="101" spans="1:21" ht="27" customHeight="1" x14ac:dyDescent="0.25">
      <c r="A101" s="563" t="s">
        <v>70</v>
      </c>
      <c r="B101" s="563"/>
      <c r="C101" s="563"/>
      <c r="D101" s="563"/>
      <c r="E101" s="563"/>
      <c r="F101" s="563"/>
      <c r="G101" s="85">
        <f>Dados!$G$44</f>
        <v>6.7900000000000002E-2</v>
      </c>
      <c r="H101" s="86">
        <f>ROUND((SUM(H99:H100)*G101),2)</f>
        <v>24.31</v>
      </c>
      <c r="I101" s="68"/>
      <c r="J101" s="68"/>
      <c r="K101" s="3"/>
      <c r="L101" s="68"/>
      <c r="M101" s="68"/>
      <c r="N101" s="68"/>
      <c r="U101" s="3"/>
    </row>
    <row r="102" spans="1:21" ht="27" customHeight="1" x14ac:dyDescent="0.25">
      <c r="A102" s="563" t="s">
        <v>71</v>
      </c>
      <c r="B102" s="563"/>
      <c r="C102" s="563"/>
      <c r="D102" s="563"/>
      <c r="E102" s="563"/>
      <c r="F102" s="563"/>
      <c r="G102" s="85">
        <f>Dados!$G$55</f>
        <v>0.14250000000000002</v>
      </c>
      <c r="H102" s="86">
        <f>ROUND((H103*G102),2)</f>
        <v>63.54</v>
      </c>
      <c r="I102" s="68"/>
      <c r="J102" s="68"/>
      <c r="K102" s="3"/>
      <c r="L102" s="68"/>
      <c r="M102" s="68"/>
      <c r="N102" s="68"/>
      <c r="U102" s="3"/>
    </row>
    <row r="103" spans="1:21" ht="27" customHeight="1" x14ac:dyDescent="0.25">
      <c r="A103" s="564" t="s">
        <v>74</v>
      </c>
      <c r="B103" s="564"/>
      <c r="C103" s="564"/>
      <c r="D103" s="564"/>
      <c r="E103" s="564"/>
      <c r="F103" s="564"/>
      <c r="G103" s="564"/>
      <c r="H103" s="87">
        <f>ROUND((SUM(H99:H101)/(1-G102)),2)</f>
        <v>445.92</v>
      </c>
      <c r="I103" s="68"/>
      <c r="J103" s="68"/>
      <c r="K103" s="3"/>
      <c r="L103" s="68"/>
      <c r="M103" s="68"/>
      <c r="N103" s="68"/>
      <c r="U103" s="3"/>
    </row>
    <row r="104" spans="1:21" ht="27" customHeight="1" x14ac:dyDescent="0.25">
      <c r="A104" s="63"/>
      <c r="B104" s="68"/>
      <c r="C104" s="68"/>
      <c r="D104" s="68"/>
      <c r="E104" s="68"/>
      <c r="F104" s="68"/>
      <c r="G104" s="63"/>
      <c r="H104" s="88"/>
      <c r="I104" s="68"/>
      <c r="J104" s="68"/>
      <c r="K104" s="3"/>
      <c r="L104" s="68"/>
      <c r="M104" s="68"/>
      <c r="N104" s="68"/>
      <c r="U104" s="3"/>
    </row>
    <row r="105" spans="1:21" ht="27" customHeight="1" x14ac:dyDescent="0.25">
      <c r="L105" s="3"/>
      <c r="M105" s="3"/>
      <c r="P105" s="5"/>
      <c r="Q105" s="5"/>
      <c r="U105" s="3"/>
    </row>
    <row r="107" spans="1:21" ht="27" customHeight="1" x14ac:dyDescent="0.25">
      <c r="B107" s="565" t="s">
        <v>75</v>
      </c>
      <c r="C107" s="565"/>
    </row>
    <row r="108" spans="1:21" ht="27" customHeight="1" x14ac:dyDescent="0.25">
      <c r="B108" s="92" t="s">
        <v>76</v>
      </c>
      <c r="C108" s="93">
        <v>22</v>
      </c>
      <c r="D108" s="3" t="s">
        <v>77</v>
      </c>
    </row>
    <row r="109" spans="1:21" ht="27" customHeight="1" x14ac:dyDescent="0.25">
      <c r="B109" s="92" t="s">
        <v>3</v>
      </c>
      <c r="C109" s="94">
        <v>30</v>
      </c>
      <c r="D109" s="3" t="s">
        <v>78</v>
      </c>
    </row>
    <row r="110" spans="1:21" ht="27" customHeight="1" x14ac:dyDescent="0.25">
      <c r="B110" s="92" t="s">
        <v>79</v>
      </c>
      <c r="C110" s="94" t="s">
        <v>80</v>
      </c>
      <c r="D110" s="3" t="s">
        <v>81</v>
      </c>
    </row>
    <row r="112" spans="1:21" ht="27" customHeight="1" x14ac:dyDescent="0.25">
      <c r="B112" s="92" t="s">
        <v>82</v>
      </c>
      <c r="C112" s="92" t="s">
        <v>83</v>
      </c>
    </row>
    <row r="113" spans="2:3" ht="27" customHeight="1" x14ac:dyDescent="0.25">
      <c r="B113" s="92">
        <v>220</v>
      </c>
      <c r="C113" s="92">
        <v>8.8000000000000007</v>
      </c>
    </row>
    <row r="114" spans="2:3" ht="27" customHeight="1" x14ac:dyDescent="0.25">
      <c r="B114" s="92">
        <v>200</v>
      </c>
      <c r="C114" s="92">
        <v>8</v>
      </c>
    </row>
    <row r="115" spans="2:3" ht="27" customHeight="1" x14ac:dyDescent="0.25">
      <c r="B115" s="92">
        <v>180</v>
      </c>
      <c r="C115" s="92">
        <v>7.2</v>
      </c>
    </row>
    <row r="116" spans="2:3" ht="27" customHeight="1" x14ac:dyDescent="0.25">
      <c r="B116" s="92">
        <v>150</v>
      </c>
      <c r="C116" s="92">
        <v>6</v>
      </c>
    </row>
    <row r="117" spans="2:3" ht="27" customHeight="1" x14ac:dyDescent="0.25">
      <c r="B117" s="92">
        <v>120</v>
      </c>
      <c r="C117" s="92">
        <v>4.8</v>
      </c>
    </row>
    <row r="118" spans="2:3" ht="27" customHeight="1" x14ac:dyDescent="0.25">
      <c r="B118" s="92">
        <v>100</v>
      </c>
      <c r="C118" s="92">
        <v>4</v>
      </c>
    </row>
    <row r="119" spans="2:3" ht="27" customHeight="1" x14ac:dyDescent="0.25">
      <c r="B119" s="92">
        <v>75</v>
      </c>
      <c r="C119" s="92">
        <v>3</v>
      </c>
    </row>
    <row r="121" spans="2:3" ht="27" customHeight="1" x14ac:dyDescent="0.25">
      <c r="B121" s="92" t="s">
        <v>84</v>
      </c>
    </row>
    <row r="122" spans="2:3" ht="27" customHeight="1" x14ac:dyDescent="0.25">
      <c r="B122" s="95">
        <v>0</v>
      </c>
    </row>
    <row r="123" spans="2:3" ht="27" customHeight="1" x14ac:dyDescent="0.25">
      <c r="B123" s="95">
        <v>1</v>
      </c>
    </row>
    <row r="124" spans="2:3" ht="27" customHeight="1" x14ac:dyDescent="0.25">
      <c r="B124" s="95">
        <v>2</v>
      </c>
    </row>
  </sheetData>
  <sheetProtection algorithmName="SHA-512" hashValue="p+slDzJXa2i5xCTswMqweax6/yPoBamwp5M8dUBj0QhhTkebehtGopyfs3qaOz9tezicVaOhQVIIsQB9+fOnmg==" saltValue="k8+vam1iA4Tf/igL88rwlA==" spinCount="100000" sheet="1" objects="1" scenarios="1"/>
  <mergeCells count="177">
    <mergeCell ref="C2:R2"/>
    <mergeCell ref="C3:R3"/>
    <mergeCell ref="A5:C5"/>
    <mergeCell ref="A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U9"/>
    <mergeCell ref="A15:G15"/>
    <mergeCell ref="I15:J15"/>
    <mergeCell ref="A18:B19"/>
    <mergeCell ref="A20:F21"/>
    <mergeCell ref="A24:A25"/>
    <mergeCell ref="B24:E24"/>
    <mergeCell ref="F24:H24"/>
    <mergeCell ref="I24:K25"/>
    <mergeCell ref="L24:O24"/>
    <mergeCell ref="B25:D25"/>
    <mergeCell ref="B26:D26"/>
    <mergeCell ref="I26:K26"/>
    <mergeCell ref="B27:D27"/>
    <mergeCell ref="I27:K27"/>
    <mergeCell ref="B28:D28"/>
    <mergeCell ref="I28:K28"/>
    <mergeCell ref="B29:D29"/>
    <mergeCell ref="I29:K29"/>
    <mergeCell ref="B30:D30"/>
    <mergeCell ref="I30:K30"/>
    <mergeCell ref="B31:D31"/>
    <mergeCell ref="I31:K31"/>
    <mergeCell ref="B32:D32"/>
    <mergeCell ref="I32:K32"/>
    <mergeCell ref="B33:D33"/>
    <mergeCell ref="I33:K33"/>
    <mergeCell ref="B34:D34"/>
    <mergeCell ref="I34:K34"/>
    <mergeCell ref="B35:D35"/>
    <mergeCell ref="I35:K35"/>
    <mergeCell ref="B36:D36"/>
    <mergeCell ref="I36:K36"/>
    <mergeCell ref="B37:D37"/>
    <mergeCell ref="I37:K37"/>
    <mergeCell ref="B38:D38"/>
    <mergeCell ref="I38:K38"/>
    <mergeCell ref="B39:D39"/>
    <mergeCell ref="I39:K39"/>
    <mergeCell ref="B40:D40"/>
    <mergeCell ref="I40:K40"/>
    <mergeCell ref="B41:D41"/>
    <mergeCell ref="I41:K41"/>
    <mergeCell ref="B42:D42"/>
    <mergeCell ref="I42:K42"/>
    <mergeCell ref="B43:D43"/>
    <mergeCell ref="I43:K43"/>
    <mergeCell ref="B44:D44"/>
    <mergeCell ref="I44:K44"/>
    <mergeCell ref="B45:D45"/>
    <mergeCell ref="I45:K45"/>
    <mergeCell ref="B46:D46"/>
    <mergeCell ref="I46:K46"/>
    <mergeCell ref="B47:D47"/>
    <mergeCell ref="I47:K47"/>
    <mergeCell ref="B48:D48"/>
    <mergeCell ref="I48:K48"/>
    <mergeCell ref="B49:D49"/>
    <mergeCell ref="I49:K49"/>
    <mergeCell ref="B50:D50"/>
    <mergeCell ref="I50:K50"/>
    <mergeCell ref="B51:D51"/>
    <mergeCell ref="I51:K51"/>
    <mergeCell ref="B52:D52"/>
    <mergeCell ref="I52:K52"/>
    <mergeCell ref="B53:D53"/>
    <mergeCell ref="I53:K53"/>
    <mergeCell ref="B54:D54"/>
    <mergeCell ref="I54:K54"/>
    <mergeCell ref="B55:D55"/>
    <mergeCell ref="I55:K55"/>
    <mergeCell ref="B56:D56"/>
    <mergeCell ref="I56:K56"/>
    <mergeCell ref="B57:D57"/>
    <mergeCell ref="I57:K57"/>
    <mergeCell ref="B58:D58"/>
    <mergeCell ref="I58:K58"/>
    <mergeCell ref="B59:D59"/>
    <mergeCell ref="I59:K59"/>
    <mergeCell ref="B60:D60"/>
    <mergeCell ref="I60:K60"/>
    <mergeCell ref="B61:D61"/>
    <mergeCell ref="I61:K61"/>
    <mergeCell ref="B62:D62"/>
    <mergeCell ref="I62:K62"/>
    <mergeCell ref="B63:D63"/>
    <mergeCell ref="I63:K63"/>
    <mergeCell ref="B64:D64"/>
    <mergeCell ref="I64:K64"/>
    <mergeCell ref="B65:D65"/>
    <mergeCell ref="I65:K65"/>
    <mergeCell ref="B66:D66"/>
    <mergeCell ref="I66:K66"/>
    <mergeCell ref="B67:D67"/>
    <mergeCell ref="I67:K67"/>
    <mergeCell ref="B68:D68"/>
    <mergeCell ref="I68:K68"/>
    <mergeCell ref="A69:G69"/>
    <mergeCell ref="A70:F70"/>
    <mergeCell ref="A71:F71"/>
    <mergeCell ref="A72:F72"/>
    <mergeCell ref="A73:G73"/>
    <mergeCell ref="A75:A76"/>
    <mergeCell ref="B75:E75"/>
    <mergeCell ref="F75:H75"/>
    <mergeCell ref="I75:K76"/>
    <mergeCell ref="L75:O75"/>
    <mergeCell ref="B76:D76"/>
    <mergeCell ref="B77:D77"/>
    <mergeCell ref="I77:K77"/>
    <mergeCell ref="B78:D78"/>
    <mergeCell ref="I78:K78"/>
    <mergeCell ref="B79:D79"/>
    <mergeCell ref="I79:K79"/>
    <mergeCell ref="B80:D80"/>
    <mergeCell ref="I80:K80"/>
    <mergeCell ref="B81:D81"/>
    <mergeCell ref="I81:K81"/>
    <mergeCell ref="B82:D82"/>
    <mergeCell ref="I82:K82"/>
    <mergeCell ref="B83:D83"/>
    <mergeCell ref="I83:K83"/>
    <mergeCell ref="B84:D84"/>
    <mergeCell ref="I84:K84"/>
    <mergeCell ref="B85:D85"/>
    <mergeCell ref="I85:K85"/>
    <mergeCell ref="B86:D86"/>
    <mergeCell ref="I86:K86"/>
    <mergeCell ref="B87:D87"/>
    <mergeCell ref="I87:K87"/>
    <mergeCell ref="B88:D88"/>
    <mergeCell ref="I88:K88"/>
    <mergeCell ref="B89:D89"/>
    <mergeCell ref="I89:K89"/>
    <mergeCell ref="B90:D90"/>
    <mergeCell ref="I90:K90"/>
    <mergeCell ref="B91:D91"/>
    <mergeCell ref="I91:K91"/>
    <mergeCell ref="B92:D92"/>
    <mergeCell ref="I92:K92"/>
    <mergeCell ref="B98:D98"/>
    <mergeCell ref="I98:K98"/>
    <mergeCell ref="A99:G99"/>
    <mergeCell ref="A100:F100"/>
    <mergeCell ref="A101:F101"/>
    <mergeCell ref="A102:F102"/>
    <mergeCell ref="A103:G103"/>
    <mergeCell ref="B107:C107"/>
    <mergeCell ref="B93:D93"/>
    <mergeCell ref="I93:K93"/>
    <mergeCell ref="B94:D94"/>
    <mergeCell ref="I94:K94"/>
    <mergeCell ref="B95:D95"/>
    <mergeCell ref="I95:K95"/>
    <mergeCell ref="B96:D96"/>
    <mergeCell ref="I96:K96"/>
    <mergeCell ref="B97:D97"/>
    <mergeCell ref="I97:K97"/>
  </mergeCells>
  <conditionalFormatting sqref="I26:I68 I77:I98">
    <cfRule type="containsText" dxfId="1" priority="2" operator="containsText" text="inferior">
      <formula>NOT(ISERROR(SEARCH("inferior",I26)))</formula>
    </cfRule>
    <cfRule type="containsText" dxfId="0" priority="3" operator="containsText" text="superior">
      <formula>NOT(ISERROR(SEARCH("superior",I26)))</formula>
    </cfRule>
  </conditionalFormatting>
  <dataValidations count="6">
    <dataValidation type="list" allowBlank="1" showInputMessage="1" showErrorMessage="1" sqref="N26:N68" xr:uid="{00000000-0002-0000-0000-000000000000}">
      <formula1>"Mensal,Bimestral,Trimestral,Quadrimestral,Semestral,Anual,Bienal"</formula1>
      <formula2>0</formula2>
    </dataValidation>
    <dataValidation type="list" allowBlank="1" showInputMessage="1" showErrorMessage="1" sqref="C19" xr:uid="{00000000-0002-0000-0000-000001000000}">
      <formula1>$B$113:$B$119</formula1>
      <formula2>0</formula2>
    </dataValidation>
    <dataValidation type="list" allowBlank="1" showInputMessage="1" showErrorMessage="1" sqref="D14" xr:uid="{00000000-0002-0000-0000-000002000000}">
      <formula1>$B$122:$B$124</formula1>
      <formula2>0</formula2>
    </dataValidation>
    <dataValidation type="list" allowBlank="1" showInputMessage="1" showErrorMessage="1" sqref="D5" xr:uid="{00000000-0002-0000-0000-000003000000}">
      <formula1>$B$108:$B$110</formula1>
      <formula2>0</formula2>
    </dataValidation>
    <dataValidation type="list" allowBlank="1" showInputMessage="1" showErrorMessage="1" sqref="E11:E14" xr:uid="{00000000-0002-0000-0000-000004000000}">
      <formula1>"SIM,NÃO"</formula1>
      <formula2>0</formula2>
    </dataValidation>
    <dataValidation type="list" allowBlank="1" showInputMessage="1" showErrorMessage="1" sqref="D11:D13" xr:uid="{00000000-0002-0000-0000-000005000000}">
      <formula1>$B$122:$B$123</formula1>
      <formula2>0</formula2>
    </dataValidation>
  </dataValidations>
  <pageMargins left="0.7" right="0.7" top="0.75" bottom="0.75" header="0.511811023622047" footer="0.511811023622047"/>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K48"/>
  <sheetViews>
    <sheetView showGridLines="0" view="pageBreakPreview" zoomScaleNormal="100" workbookViewId="0"/>
  </sheetViews>
  <sheetFormatPr defaultColWidth="8.7109375" defaultRowHeight="15" x14ac:dyDescent="0.25"/>
  <cols>
    <col min="1" max="1" width="10.5703125" style="68" customWidth="1"/>
    <col min="2" max="2" width="27.7109375" style="68" customWidth="1"/>
    <col min="3" max="3" width="14.42578125" style="68" customWidth="1"/>
    <col min="4" max="5" width="15" style="68" customWidth="1"/>
    <col min="6" max="6" width="16.7109375" style="437" customWidth="1"/>
    <col min="7" max="8" width="13.140625" style="437" customWidth="1"/>
    <col min="9" max="10" width="12.5703125" style="437" customWidth="1"/>
    <col min="11" max="257" width="9.140625" style="68" customWidth="1"/>
    <col min="258" max="258" width="10.5703125" style="68" customWidth="1"/>
    <col min="259" max="259" width="27.7109375" style="68" customWidth="1"/>
    <col min="260" max="260" width="14.42578125" style="68" customWidth="1"/>
    <col min="261" max="262" width="15" style="68" customWidth="1"/>
    <col min="263" max="263" width="16.7109375" style="68" customWidth="1"/>
    <col min="264" max="264" width="13.140625" style="68" customWidth="1"/>
    <col min="265" max="266" width="12.5703125" style="68" customWidth="1"/>
    <col min="267" max="513" width="9.140625" style="68" customWidth="1"/>
    <col min="514" max="514" width="10.5703125" style="68" customWidth="1"/>
    <col min="515" max="515" width="27.7109375" style="68" customWidth="1"/>
    <col min="516" max="516" width="14.42578125" style="68" customWidth="1"/>
    <col min="517" max="518" width="15" style="68" customWidth="1"/>
    <col min="519" max="519" width="16.7109375" style="68" customWidth="1"/>
    <col min="520" max="520" width="13.140625" style="68" customWidth="1"/>
    <col min="521" max="522" width="12.5703125" style="68" customWidth="1"/>
    <col min="523" max="769" width="9.140625" style="68" customWidth="1"/>
    <col min="770" max="770" width="10.5703125" style="68" customWidth="1"/>
    <col min="771" max="771" width="27.7109375" style="68" customWidth="1"/>
    <col min="772" max="772" width="14.42578125" style="68" customWidth="1"/>
    <col min="773" max="774" width="15" style="68" customWidth="1"/>
    <col min="775" max="775" width="16.7109375" style="68" customWidth="1"/>
    <col min="776" max="776" width="13.140625" style="68" customWidth="1"/>
    <col min="777" max="778" width="12.5703125" style="68" customWidth="1"/>
    <col min="779" max="1025" width="9.140625" style="68" customWidth="1"/>
  </cols>
  <sheetData>
    <row r="1" spans="1:10" x14ac:dyDescent="0.25">
      <c r="A1" s="438"/>
      <c r="B1" s="98" t="str">
        <f>INSTRUÇÕES!B1</f>
        <v>Tribunal Regional Federal da 6ª Região</v>
      </c>
      <c r="C1" s="439"/>
      <c r="D1" s="439"/>
      <c r="E1" s="439"/>
      <c r="F1" s="440"/>
      <c r="G1" s="441"/>
      <c r="H1" s="441"/>
      <c r="I1" s="440"/>
      <c r="J1" s="442"/>
    </row>
    <row r="2" spans="1:10" x14ac:dyDescent="0.25">
      <c r="A2" s="443"/>
      <c r="B2" s="100" t="str">
        <f>INSTRUÇÕES!B2</f>
        <v>Seção Judiciária de Minas Gerais</v>
      </c>
      <c r="C2" s="56"/>
      <c r="D2" s="56"/>
      <c r="E2" s="56"/>
      <c r="F2" s="444"/>
      <c r="I2" s="444"/>
      <c r="J2" s="445"/>
    </row>
    <row r="3" spans="1:10" x14ac:dyDescent="0.25">
      <c r="A3" s="168"/>
      <c r="B3" s="446" t="str">
        <f>INSTRUÇÕES!B3</f>
        <v>Subseção Judiciária de Poços de Caldas</v>
      </c>
      <c r="C3" s="56"/>
      <c r="D3" s="56"/>
      <c r="E3" s="56"/>
      <c r="F3" s="444"/>
      <c r="I3" s="444"/>
      <c r="J3" s="445"/>
    </row>
    <row r="4" spans="1:10" ht="19.5" customHeight="1" x14ac:dyDescent="0.25">
      <c r="A4" s="656" t="s">
        <v>602</v>
      </c>
      <c r="B4" s="656"/>
      <c r="C4" s="656"/>
      <c r="D4" s="656"/>
      <c r="E4" s="656"/>
      <c r="F4" s="656"/>
      <c r="G4" s="656"/>
      <c r="H4" s="656"/>
      <c r="I4" s="656"/>
      <c r="J4" s="656"/>
    </row>
    <row r="5" spans="1:10" ht="19.5" customHeight="1" x14ac:dyDescent="0.25">
      <c r="A5" s="703" t="s">
        <v>290</v>
      </c>
      <c r="B5" s="703"/>
      <c r="C5" s="703"/>
      <c r="D5" s="703"/>
      <c r="E5" s="703"/>
      <c r="F5" s="703"/>
      <c r="G5" s="703"/>
      <c r="H5" s="703"/>
      <c r="I5" s="703"/>
      <c r="J5" s="703"/>
    </row>
    <row r="6" spans="1:10" ht="36" customHeight="1" x14ac:dyDescent="0.25">
      <c r="A6" s="704" t="str">
        <f>Dados!A4</f>
        <v>Sindicato utilizado - SINSERTH x SINTAPPI. Vigência: 01/04/2025 à 31/03/2026. Sendo a data base da categoria 1 de abril. Com número de registro no MTE MG001973/2025.</v>
      </c>
      <c r="B6" s="704"/>
      <c r="C6" s="704"/>
      <c r="D6" s="704"/>
      <c r="E6" s="704"/>
      <c r="F6" s="704"/>
      <c r="G6" s="704"/>
      <c r="H6" s="704"/>
      <c r="I6" s="704"/>
      <c r="J6" s="704"/>
    </row>
    <row r="7" spans="1:10" ht="19.5" customHeight="1" x14ac:dyDescent="0.25">
      <c r="A7" s="705" t="str">
        <f>Dados!C7</f>
        <v>Servente de Limpeza 40% Insalubridade</v>
      </c>
      <c r="B7" s="705"/>
      <c r="C7" s="705"/>
      <c r="D7" s="705"/>
      <c r="E7" s="705"/>
      <c r="F7" s="706" t="s">
        <v>603</v>
      </c>
      <c r="G7" s="706" t="s">
        <v>604</v>
      </c>
      <c r="H7" s="706" t="s">
        <v>605</v>
      </c>
      <c r="I7" s="706" t="s">
        <v>606</v>
      </c>
      <c r="J7" s="706" t="s">
        <v>607</v>
      </c>
    </row>
    <row r="8" spans="1:10" ht="19.5" customHeight="1" x14ac:dyDescent="0.25">
      <c r="A8" s="707" t="s">
        <v>608</v>
      </c>
      <c r="B8" s="707"/>
      <c r="C8" s="707"/>
      <c r="D8" s="707"/>
      <c r="E8" s="447" t="s">
        <v>498</v>
      </c>
      <c r="F8" s="706"/>
      <c r="G8" s="706"/>
      <c r="H8" s="706"/>
      <c r="I8" s="706"/>
      <c r="J8" s="706"/>
    </row>
    <row r="9" spans="1:10" ht="19.5" customHeight="1" x14ac:dyDescent="0.25">
      <c r="A9" s="688" t="s">
        <v>609</v>
      </c>
      <c r="B9" s="688"/>
      <c r="C9" s="688"/>
      <c r="D9" s="688"/>
      <c r="E9" s="688"/>
      <c r="F9" s="688"/>
      <c r="G9" s="688"/>
      <c r="H9" s="688"/>
      <c r="I9" s="688"/>
      <c r="J9" s="688"/>
    </row>
    <row r="10" spans="1:10" ht="24" customHeight="1" x14ac:dyDescent="0.25">
      <c r="A10" s="173" t="s">
        <v>499</v>
      </c>
      <c r="B10" s="697" t="s">
        <v>610</v>
      </c>
      <c r="C10" s="697"/>
      <c r="D10" s="448" t="s">
        <v>611</v>
      </c>
      <c r="E10" s="449" t="s">
        <v>612</v>
      </c>
      <c r="F10" s="698" t="s">
        <v>502</v>
      </c>
      <c r="G10" s="698"/>
      <c r="H10" s="698"/>
      <c r="I10" s="698"/>
      <c r="J10" s="698"/>
    </row>
    <row r="11" spans="1:10" ht="19.5" customHeight="1" x14ac:dyDescent="0.25">
      <c r="A11" s="699">
        <v>1</v>
      </c>
      <c r="B11" s="700" t="str">
        <f>A7</f>
        <v>Servente de Limpeza 40% Insalubridade</v>
      </c>
      <c r="C11" s="700"/>
      <c r="D11" s="29">
        <f>Dados!D7</f>
        <v>220</v>
      </c>
      <c r="E11" s="451">
        <f>Dados!E7</f>
        <v>1633.68</v>
      </c>
      <c r="F11" s="452">
        <f>ROUND(E11/220*D11,2)</f>
        <v>1633.68</v>
      </c>
      <c r="G11" s="452">
        <f>F11</f>
        <v>1633.68</v>
      </c>
      <c r="H11" s="452"/>
      <c r="I11" s="452"/>
      <c r="J11" s="453"/>
    </row>
    <row r="12" spans="1:10" ht="19.5" customHeight="1" x14ac:dyDescent="0.25">
      <c r="A12" s="699"/>
      <c r="B12" s="700" t="s">
        <v>613</v>
      </c>
      <c r="C12" s="700"/>
      <c r="D12" s="454">
        <f>Dados!G7</f>
        <v>0.4</v>
      </c>
      <c r="E12" s="451">
        <f>Dados!G27</f>
        <v>1518</v>
      </c>
      <c r="F12" s="452">
        <f>D12*E12</f>
        <v>607.20000000000005</v>
      </c>
      <c r="G12" s="452">
        <f>F12</f>
        <v>607.20000000000005</v>
      </c>
      <c r="H12" s="452"/>
      <c r="I12" s="452"/>
      <c r="J12" s="453">
        <f>F12</f>
        <v>607.20000000000005</v>
      </c>
    </row>
    <row r="13" spans="1:10" ht="20.25" customHeight="1" x14ac:dyDescent="0.25">
      <c r="A13" s="699"/>
      <c r="B13" s="455" t="s">
        <v>614</v>
      </c>
      <c r="C13" s="456">
        <f>Dados!I7</f>
        <v>0</v>
      </c>
      <c r="D13" s="456">
        <f>Dados!J7</f>
        <v>0</v>
      </c>
      <c r="E13" s="457">
        <f>Dados!K9</f>
        <v>0</v>
      </c>
      <c r="F13" s="458">
        <f>ROUND((E13*D13*C13),2)</f>
        <v>0</v>
      </c>
      <c r="G13" s="458">
        <f>F13</f>
        <v>0</v>
      </c>
      <c r="H13" s="458"/>
      <c r="I13" s="458"/>
      <c r="J13" s="459"/>
    </row>
    <row r="14" spans="1:10" ht="19.5" customHeight="1" x14ac:dyDescent="0.25">
      <c r="A14" s="699"/>
      <c r="B14" s="701" t="s">
        <v>615</v>
      </c>
      <c r="C14" s="701"/>
      <c r="D14" s="701"/>
      <c r="E14" s="701"/>
      <c r="F14" s="460">
        <f>SUM(F11:F13)</f>
        <v>2240.88</v>
      </c>
      <c r="G14" s="460">
        <f>SUM(G11:G13)</f>
        <v>2240.88</v>
      </c>
      <c r="H14" s="460">
        <f>SUM(H11:H13)</f>
        <v>0</v>
      </c>
      <c r="I14" s="460">
        <f>SUM(I11:I13)</f>
        <v>0</v>
      </c>
      <c r="J14" s="461">
        <f>SUM(J11:J13)</f>
        <v>607.20000000000005</v>
      </c>
    </row>
    <row r="15" spans="1:10" ht="19.5" customHeight="1" x14ac:dyDescent="0.25">
      <c r="A15" s="699"/>
      <c r="B15" s="702" t="s">
        <v>616</v>
      </c>
      <c r="C15" s="702"/>
      <c r="D15" s="702"/>
      <c r="E15" s="462">
        <f>Encargos!$C$57</f>
        <v>0.76400000000000001</v>
      </c>
      <c r="F15" s="452">
        <f>ROUND((E15*F14),2)</f>
        <v>1712.03</v>
      </c>
      <c r="G15" s="452">
        <f>F15</f>
        <v>1712.03</v>
      </c>
      <c r="H15" s="452"/>
      <c r="I15" s="452"/>
      <c r="J15" s="453">
        <f>ROUND((E15*J14),2)</f>
        <v>463.9</v>
      </c>
    </row>
    <row r="16" spans="1:10" ht="19.5" customHeight="1" x14ac:dyDescent="0.25">
      <c r="A16" s="693" t="s">
        <v>617</v>
      </c>
      <c r="B16" s="693"/>
      <c r="C16" s="693"/>
      <c r="D16" s="693"/>
      <c r="E16" s="693"/>
      <c r="F16" s="463">
        <f>SUM(F14:F15)</f>
        <v>3952.91</v>
      </c>
      <c r="G16" s="463">
        <f>SUM(G14:G15)</f>
        <v>3952.91</v>
      </c>
      <c r="H16" s="463">
        <f>SUM(H14:H15)</f>
        <v>0</v>
      </c>
      <c r="I16" s="463">
        <f>SUM(I14:I15)</f>
        <v>0</v>
      </c>
      <c r="J16" s="464">
        <f>SUM(J14:J15)</f>
        <v>1071.0999999999999</v>
      </c>
    </row>
    <row r="17" spans="1:12" ht="19.5" customHeight="1" x14ac:dyDescent="0.25">
      <c r="A17" s="694" t="s">
        <v>618</v>
      </c>
      <c r="B17" s="694"/>
      <c r="C17" s="694"/>
      <c r="D17" s="694"/>
      <c r="E17" s="694"/>
      <c r="F17" s="694"/>
      <c r="G17" s="694"/>
      <c r="H17" s="694"/>
      <c r="I17" s="694"/>
      <c r="J17" s="694"/>
    </row>
    <row r="18" spans="1:12" ht="19.5" customHeight="1" x14ac:dyDescent="0.25">
      <c r="A18" s="689" t="s">
        <v>619</v>
      </c>
      <c r="B18" s="689"/>
      <c r="C18" s="39" t="s">
        <v>501</v>
      </c>
      <c r="D18" s="695" t="s">
        <v>620</v>
      </c>
      <c r="E18" s="695"/>
      <c r="F18" s="696" t="s">
        <v>502</v>
      </c>
      <c r="G18" s="696"/>
      <c r="H18" s="696"/>
      <c r="I18" s="696"/>
      <c r="J18" s="696"/>
    </row>
    <row r="19" spans="1:12" ht="19.5" customHeight="1" x14ac:dyDescent="0.25">
      <c r="A19" s="680" t="s">
        <v>621</v>
      </c>
      <c r="B19" s="680"/>
      <c r="C19" s="467"/>
      <c r="D19" s="467"/>
      <c r="E19" s="467"/>
      <c r="F19" s="452">
        <f>Dados!$N$7</f>
        <v>54.59</v>
      </c>
      <c r="G19" s="452">
        <f t="shared" ref="G19:G24" si="0">F19</f>
        <v>54.59</v>
      </c>
      <c r="H19" s="452"/>
      <c r="I19" s="452"/>
      <c r="J19" s="453"/>
    </row>
    <row r="20" spans="1:12" ht="19.5" customHeight="1" x14ac:dyDescent="0.25">
      <c r="A20" s="680" t="s">
        <v>622</v>
      </c>
      <c r="B20" s="680"/>
      <c r="C20" s="467"/>
      <c r="D20" s="467"/>
      <c r="E20" s="467"/>
      <c r="F20" s="452">
        <f>Dados!$G$30</f>
        <v>5.27</v>
      </c>
      <c r="G20" s="452">
        <f t="shared" si="0"/>
        <v>5.27</v>
      </c>
      <c r="H20" s="452"/>
      <c r="I20" s="452"/>
      <c r="J20" s="453"/>
    </row>
    <row r="21" spans="1:12" ht="23.25" customHeight="1" x14ac:dyDescent="0.25">
      <c r="A21" s="692" t="s">
        <v>220</v>
      </c>
      <c r="B21" s="692"/>
      <c r="C21" s="467"/>
      <c r="D21" s="467"/>
      <c r="E21" s="467"/>
      <c r="F21" s="452">
        <f>Dados!G31</f>
        <v>0</v>
      </c>
      <c r="G21" s="452">
        <f t="shared" si="0"/>
        <v>0</v>
      </c>
      <c r="H21" s="452"/>
      <c r="I21" s="452"/>
      <c r="J21" s="453"/>
    </row>
    <row r="22" spans="1:12" ht="19.5" customHeight="1" x14ac:dyDescent="0.25">
      <c r="A22" s="680" t="s">
        <v>221</v>
      </c>
      <c r="B22" s="680"/>
      <c r="C22" s="468">
        <f>Dados!$G$34</f>
        <v>22</v>
      </c>
      <c r="D22" s="468">
        <f>Dados!$G$33</f>
        <v>2</v>
      </c>
      <c r="E22" s="467">
        <f>Dados!$G$32</f>
        <v>6</v>
      </c>
      <c r="F22" s="452">
        <f>IF(ROUND((E22*D22*C22)-(F11*Dados!$G$35),2)&lt;0,0,ROUND((E22*D22*C22)-(F11*Dados!$G$35),2))</f>
        <v>165.98</v>
      </c>
      <c r="G22" s="452">
        <f t="shared" si="0"/>
        <v>165.98</v>
      </c>
      <c r="H22" s="452"/>
      <c r="I22" s="452">
        <f>F22</f>
        <v>165.98</v>
      </c>
      <c r="J22" s="453"/>
    </row>
    <row r="23" spans="1:12" ht="19.5" customHeight="1" x14ac:dyDescent="0.25">
      <c r="A23" s="680" t="s">
        <v>230</v>
      </c>
      <c r="B23" s="680"/>
      <c r="C23" s="468">
        <f>Dados!$G$37</f>
        <v>22</v>
      </c>
      <c r="D23" s="469">
        <f>Dados!$G$38</f>
        <v>0.2</v>
      </c>
      <c r="E23" s="467">
        <f>Dados!$G$36</f>
        <v>29</v>
      </c>
      <c r="F23" s="263">
        <f>ROUND((IF(D11&gt;150,((C23*E23)-(C23*(D23*E23))),0)),2)</f>
        <v>510.4</v>
      </c>
      <c r="G23" s="452">
        <f t="shared" si="0"/>
        <v>510.4</v>
      </c>
      <c r="H23" s="452">
        <f>$F$23</f>
        <v>510.4</v>
      </c>
      <c r="I23" s="263"/>
      <c r="J23" s="453"/>
    </row>
    <row r="24" spans="1:12" ht="19.5" customHeight="1" x14ac:dyDescent="0.25">
      <c r="A24" s="680" t="s">
        <v>178</v>
      </c>
      <c r="B24" s="680"/>
      <c r="C24" s="468"/>
      <c r="D24" s="468"/>
      <c r="E24" s="467"/>
      <c r="F24" s="263">
        <f>Dados!Q7</f>
        <v>9.8833333333333329</v>
      </c>
      <c r="G24" s="452">
        <f t="shared" si="0"/>
        <v>9.8833333333333329</v>
      </c>
      <c r="H24" s="452"/>
      <c r="I24" s="263"/>
      <c r="J24" s="453"/>
    </row>
    <row r="25" spans="1:12" ht="19.5" customHeight="1" x14ac:dyDescent="0.25">
      <c r="A25" s="680" t="s">
        <v>623</v>
      </c>
      <c r="B25" s="680"/>
      <c r="C25" s="468"/>
      <c r="D25" s="467"/>
      <c r="E25" s="467"/>
      <c r="F25" s="452">
        <f>Dados!$O$7</f>
        <v>922.28166666666675</v>
      </c>
      <c r="G25" s="452"/>
      <c r="H25" s="452"/>
      <c r="I25" s="452"/>
      <c r="J25" s="453"/>
      <c r="L25" s="56"/>
    </row>
    <row r="26" spans="1:12" ht="19.5" customHeight="1" x14ac:dyDescent="0.25">
      <c r="A26" s="466" t="s">
        <v>624</v>
      </c>
      <c r="B26" s="470"/>
      <c r="C26" s="468"/>
      <c r="D26" s="467"/>
      <c r="E26" s="467"/>
      <c r="F26" s="452"/>
      <c r="G26" s="452"/>
      <c r="H26" s="452"/>
      <c r="I26" s="452"/>
      <c r="J26" s="453"/>
    </row>
    <row r="27" spans="1:12" ht="19.5" customHeight="1" x14ac:dyDescent="0.25">
      <c r="A27" s="691" t="s">
        <v>625</v>
      </c>
      <c r="B27" s="691"/>
      <c r="C27" s="471"/>
      <c r="D27" s="472"/>
      <c r="E27" s="472"/>
      <c r="F27" s="458">
        <f>Dados!$R$7</f>
        <v>0</v>
      </c>
      <c r="G27" s="458">
        <f>F27</f>
        <v>0</v>
      </c>
      <c r="H27" s="458"/>
      <c r="I27" s="458"/>
      <c r="J27" s="459"/>
    </row>
    <row r="28" spans="1:12" ht="18.75" customHeight="1" x14ac:dyDescent="0.25">
      <c r="A28" s="680" t="str">
        <f>Dados!$B$39</f>
        <v>Outros (inserir somente com a justificativa legal)</v>
      </c>
      <c r="B28" s="680"/>
      <c r="C28" s="468"/>
      <c r="D28" s="468"/>
      <c r="E28" s="467"/>
      <c r="F28" s="263">
        <f>Dados!$G$39</f>
        <v>0</v>
      </c>
      <c r="G28" s="452"/>
      <c r="H28" s="452"/>
      <c r="I28" s="263"/>
      <c r="J28" s="453"/>
    </row>
    <row r="29" spans="1:12" ht="18.75" customHeight="1" x14ac:dyDescent="0.25">
      <c r="A29" s="680" t="str">
        <f>Dados!$B$40</f>
        <v>Outros (inserir somente com a justificativa legal)</v>
      </c>
      <c r="B29" s="680"/>
      <c r="C29" s="468"/>
      <c r="D29" s="468"/>
      <c r="E29" s="467"/>
      <c r="F29" s="263">
        <f>Dados!$G$40</f>
        <v>0</v>
      </c>
      <c r="G29" s="452"/>
      <c r="H29" s="452"/>
      <c r="I29" s="263"/>
      <c r="J29" s="453"/>
    </row>
    <row r="30" spans="1:12" ht="19.5" customHeight="1" x14ac:dyDescent="0.25">
      <c r="A30" s="687" t="s">
        <v>626</v>
      </c>
      <c r="B30" s="687"/>
      <c r="C30" s="687"/>
      <c r="D30" s="687"/>
      <c r="E30" s="687"/>
      <c r="F30" s="463">
        <f>SUM(F19:F29)</f>
        <v>1668.4050000000002</v>
      </c>
      <c r="G30" s="463">
        <f>SUM(G19:G29)</f>
        <v>746.12333333333333</v>
      </c>
      <c r="H30" s="463">
        <f>SUM(H19:H29)</f>
        <v>510.4</v>
      </c>
      <c r="I30" s="463">
        <f>SUM(I19:I29)</f>
        <v>165.98</v>
      </c>
      <c r="J30" s="464">
        <f>SUM(J19:J29)</f>
        <v>0</v>
      </c>
    </row>
    <row r="31" spans="1:12" ht="19.5" customHeight="1" x14ac:dyDescent="0.25">
      <c r="A31" s="687" t="s">
        <v>627</v>
      </c>
      <c r="B31" s="687"/>
      <c r="C31" s="687"/>
      <c r="D31" s="687"/>
      <c r="E31" s="687"/>
      <c r="F31" s="463">
        <f>F16+F30</f>
        <v>5621.3150000000005</v>
      </c>
      <c r="G31" s="463">
        <f>G16+G30</f>
        <v>4699.0333333333328</v>
      </c>
      <c r="H31" s="463">
        <f>H16+H30</f>
        <v>510.4</v>
      </c>
      <c r="I31" s="463">
        <f>I16+I30</f>
        <v>165.98</v>
      </c>
      <c r="J31" s="464">
        <f>J16+J30</f>
        <v>1071.0999999999999</v>
      </c>
    </row>
    <row r="32" spans="1:12" ht="19.5" customHeight="1" x14ac:dyDescent="0.25">
      <c r="A32" s="688" t="s">
        <v>628</v>
      </c>
      <c r="B32" s="688"/>
      <c r="C32" s="688"/>
      <c r="D32" s="688"/>
      <c r="E32" s="688"/>
      <c r="F32" s="688"/>
      <c r="G32" s="688"/>
      <c r="H32" s="688"/>
      <c r="I32" s="688"/>
      <c r="J32" s="688"/>
    </row>
    <row r="33" spans="1:12" ht="19.5" customHeight="1" x14ac:dyDescent="0.25">
      <c r="A33" s="689" t="s">
        <v>629</v>
      </c>
      <c r="B33" s="689"/>
      <c r="C33" s="689"/>
      <c r="D33" s="80" t="s">
        <v>630</v>
      </c>
      <c r="E33" s="690" t="s">
        <v>502</v>
      </c>
      <c r="F33" s="690"/>
      <c r="G33" s="690"/>
      <c r="H33" s="690"/>
      <c r="I33" s="690"/>
      <c r="J33" s="690"/>
    </row>
    <row r="34" spans="1:12" ht="19.5" customHeight="1" x14ac:dyDescent="0.25">
      <c r="A34" s="473" t="s">
        <v>631</v>
      </c>
      <c r="B34" s="474"/>
      <c r="C34" s="474"/>
      <c r="D34" s="454">
        <f>Dados!$G$43</f>
        <v>0.03</v>
      </c>
      <c r="E34" s="475"/>
      <c r="F34" s="452">
        <f>ROUND((F31*$D$34),2)</f>
        <v>168.64</v>
      </c>
      <c r="G34" s="452">
        <f>ROUND((G31*$D$34),2)</f>
        <v>140.97</v>
      </c>
      <c r="H34" s="452">
        <f>ROUND((H31*$D$34),2)</f>
        <v>15.31</v>
      </c>
      <c r="I34" s="452">
        <f>ROUND((I31*$D$34),2)</f>
        <v>4.9800000000000004</v>
      </c>
      <c r="J34" s="453">
        <f>ROUND((J31*$D$34),2)</f>
        <v>32.130000000000003</v>
      </c>
    </row>
    <row r="35" spans="1:12" ht="19.5" customHeight="1" x14ac:dyDescent="0.25">
      <c r="A35" s="684" t="s">
        <v>632</v>
      </c>
      <c r="B35" s="684"/>
      <c r="C35" s="684"/>
      <c r="D35" s="454"/>
      <c r="E35" s="475"/>
      <c r="F35" s="452">
        <f>F31+F34</f>
        <v>5789.9550000000008</v>
      </c>
      <c r="G35" s="452">
        <f>G31+G34</f>
        <v>4840.0033333333331</v>
      </c>
      <c r="H35" s="452">
        <f>H31+H34</f>
        <v>525.70999999999992</v>
      </c>
      <c r="I35" s="452">
        <f>I31+I34</f>
        <v>170.95999999999998</v>
      </c>
      <c r="J35" s="453">
        <f>J31+J34</f>
        <v>1103.23</v>
      </c>
    </row>
    <row r="36" spans="1:12" ht="19.5" customHeight="1" x14ac:dyDescent="0.25">
      <c r="A36" s="476" t="s">
        <v>238</v>
      </c>
      <c r="B36" s="477"/>
      <c r="C36" s="477"/>
      <c r="D36" s="478">
        <f>Dados!$G$44</f>
        <v>6.7900000000000002E-2</v>
      </c>
      <c r="E36" s="479"/>
      <c r="F36" s="458">
        <f>ROUND((F35*$D$36),2)</f>
        <v>393.14</v>
      </c>
      <c r="G36" s="458">
        <f>ROUND((G35*$D$36),2)</f>
        <v>328.64</v>
      </c>
      <c r="H36" s="458">
        <f>ROUND((H35*$D$36),2)</f>
        <v>35.700000000000003</v>
      </c>
      <c r="I36" s="458">
        <f>ROUND((I35*$D$36),2)</f>
        <v>11.61</v>
      </c>
      <c r="J36" s="459">
        <f>ROUND((J35*$D$36),2)</f>
        <v>74.91</v>
      </c>
    </row>
    <row r="37" spans="1:12" ht="19.5" customHeight="1" x14ac:dyDescent="0.25">
      <c r="A37" s="480" t="s">
        <v>633</v>
      </c>
      <c r="B37" s="481"/>
      <c r="C37" s="481"/>
      <c r="D37" s="482">
        <f>SUM(D34:D36)</f>
        <v>9.7900000000000001E-2</v>
      </c>
      <c r="E37" s="483"/>
      <c r="F37" s="463">
        <f>F34+F36</f>
        <v>561.78</v>
      </c>
      <c r="G37" s="463">
        <f>G34+G36</f>
        <v>469.61</v>
      </c>
      <c r="H37" s="463">
        <f>H34+H36</f>
        <v>51.010000000000005</v>
      </c>
      <c r="I37" s="463">
        <f>I34+I36</f>
        <v>16.59</v>
      </c>
      <c r="J37" s="464">
        <f>J34+J36</f>
        <v>107.03999999999999</v>
      </c>
    </row>
    <row r="38" spans="1:12" ht="19.5" customHeight="1" x14ac:dyDescent="0.25">
      <c r="A38" s="685" t="s">
        <v>634</v>
      </c>
      <c r="B38" s="685"/>
      <c r="C38" s="685"/>
      <c r="D38" s="685"/>
      <c r="E38" s="685"/>
      <c r="F38" s="484">
        <f>F31+F37</f>
        <v>6183.0950000000003</v>
      </c>
      <c r="G38" s="484">
        <f>G31+G37</f>
        <v>5168.6433333333325</v>
      </c>
      <c r="H38" s="484">
        <f>H31+H37</f>
        <v>561.41</v>
      </c>
      <c r="I38" s="484">
        <f>I31+I37</f>
        <v>182.57</v>
      </c>
      <c r="J38" s="485">
        <f>J31+J37</f>
        <v>1178.1399999999999</v>
      </c>
    </row>
    <row r="39" spans="1:12" ht="19.5" customHeight="1" x14ac:dyDescent="0.25">
      <c r="A39" s="686" t="s">
        <v>635</v>
      </c>
      <c r="B39" s="686"/>
      <c r="C39" s="686"/>
      <c r="D39" s="686"/>
      <c r="E39" s="686"/>
      <c r="F39" s="686"/>
      <c r="G39" s="686"/>
      <c r="H39" s="686"/>
      <c r="I39" s="686"/>
      <c r="J39" s="686"/>
    </row>
    <row r="40" spans="1:12" ht="19.5" customHeight="1" x14ac:dyDescent="0.25">
      <c r="A40" s="680" t="s">
        <v>244</v>
      </c>
      <c r="B40" s="680"/>
      <c r="C40" s="680"/>
      <c r="D40" s="454">
        <f>Dados!G51</f>
        <v>7.5999999999999998E-2</v>
      </c>
      <c r="E40" s="452"/>
      <c r="F40" s="452">
        <f>ROUND(($F$46*D40),2)</f>
        <v>548.01</v>
      </c>
      <c r="G40" s="452">
        <f>ROUND((G46*$D$40),2)</f>
        <v>458.1</v>
      </c>
      <c r="H40" s="452">
        <f>ROUND((H46*$D$40),2)</f>
        <v>49.76</v>
      </c>
      <c r="I40" s="452">
        <f>ROUND((I46*$D$40),2)</f>
        <v>16.18</v>
      </c>
      <c r="J40" s="453">
        <f>ROUND((J46*$D$40),2)</f>
        <v>104.42</v>
      </c>
    </row>
    <row r="41" spans="1:12" ht="19.5" customHeight="1" x14ac:dyDescent="0.25">
      <c r="A41" s="680" t="s">
        <v>246</v>
      </c>
      <c r="B41" s="680"/>
      <c r="C41" s="680"/>
      <c r="D41" s="454">
        <f>Dados!G52</f>
        <v>1.6500000000000001E-2</v>
      </c>
      <c r="E41" s="452"/>
      <c r="F41" s="452">
        <f>ROUND((F46*$D$41),2)</f>
        <v>118.98</v>
      </c>
      <c r="G41" s="452">
        <f>ROUND((G46*$D$41),2)</f>
        <v>99.45</v>
      </c>
      <c r="H41" s="452">
        <f>ROUND((H46*$D$41),2)</f>
        <v>10.8</v>
      </c>
      <c r="I41" s="452">
        <f>ROUND((I46*$D$41),2)</f>
        <v>3.51</v>
      </c>
      <c r="J41" s="453">
        <f>ROUND((J46*$D$41),2)</f>
        <v>22.67</v>
      </c>
    </row>
    <row r="42" spans="1:12" ht="19.5" customHeight="1" x14ac:dyDescent="0.25">
      <c r="A42" s="680" t="s">
        <v>247</v>
      </c>
      <c r="B42" s="680"/>
      <c r="C42" s="680"/>
      <c r="D42" s="454">
        <f>Dados!G53</f>
        <v>0.05</v>
      </c>
      <c r="E42" s="452"/>
      <c r="F42" s="452">
        <f>ROUND((F46*$D$42),2)</f>
        <v>360.53</v>
      </c>
      <c r="G42" s="452">
        <f>ROUND((G46*$D$42),2)</f>
        <v>301.38</v>
      </c>
      <c r="H42" s="452">
        <f>ROUND((H46*$D$42),2)</f>
        <v>32.74</v>
      </c>
      <c r="I42" s="452">
        <f>ROUND((I46*$D$42),2)</f>
        <v>10.65</v>
      </c>
      <c r="J42" s="453">
        <f>ROUND((J46*$D$42),2)</f>
        <v>68.7</v>
      </c>
    </row>
    <row r="43" spans="1:12" ht="19.5" customHeight="1" x14ac:dyDescent="0.25">
      <c r="A43" s="680" t="s">
        <v>233</v>
      </c>
      <c r="B43" s="680"/>
      <c r="C43" s="680"/>
      <c r="D43" s="454">
        <f>Dados!G54</f>
        <v>0</v>
      </c>
      <c r="E43" s="452"/>
      <c r="F43" s="452">
        <f>ROUND((F46*$D$43),2)</f>
        <v>0</v>
      </c>
      <c r="G43" s="452">
        <f>ROUND((G46*$D$43),2)</f>
        <v>0</v>
      </c>
      <c r="H43" s="452">
        <f>ROUND((H46*$D$43),2)</f>
        <v>0</v>
      </c>
      <c r="I43" s="452">
        <f>ROUND((I46*$D$43),2)</f>
        <v>0</v>
      </c>
      <c r="J43" s="453">
        <f>ROUND((J46*$D$43),2)</f>
        <v>0</v>
      </c>
    </row>
    <row r="44" spans="1:12" ht="19.5" customHeight="1" x14ac:dyDescent="0.25">
      <c r="A44" s="681" t="s">
        <v>636</v>
      </c>
      <c r="B44" s="681"/>
      <c r="C44" s="681"/>
      <c r="D44" s="486">
        <f>SUM(D40:D43)</f>
        <v>0.14250000000000002</v>
      </c>
      <c r="E44" s="487"/>
      <c r="F44" s="488">
        <f>SUM(F40:F43)</f>
        <v>1027.52</v>
      </c>
      <c r="G44" s="488">
        <f>SUM(G40:G43)</f>
        <v>858.93000000000006</v>
      </c>
      <c r="H44" s="488">
        <f>SUM(H40:H43)</f>
        <v>93.300000000000011</v>
      </c>
      <c r="I44" s="488">
        <f>SUM(I40:I43)</f>
        <v>30.339999999999996</v>
      </c>
      <c r="J44" s="489">
        <f>SUM(J40:J42)</f>
        <v>195.79000000000002</v>
      </c>
    </row>
    <row r="45" spans="1:12" ht="19.5" customHeight="1" x14ac:dyDescent="0.25">
      <c r="A45" s="682" t="str">
        <f>CONCATENATE("Custo Mensal - ",A7)</f>
        <v>Custo Mensal - Servente de Limpeza 40% Insalubridade</v>
      </c>
      <c r="B45" s="682"/>
      <c r="C45" s="682"/>
      <c r="D45" s="682"/>
      <c r="E45" s="682"/>
      <c r="F45" s="490">
        <f>ROUND(F38/(1-D44),2)</f>
        <v>7210.61</v>
      </c>
      <c r="G45" s="490">
        <f>ROUND(G38/(1-D44),2)</f>
        <v>6027.57</v>
      </c>
      <c r="H45" s="490">
        <f>ROUND(H38/(1-D44),2)</f>
        <v>654.71</v>
      </c>
      <c r="I45" s="490">
        <f>ROUND(I38/(1-D44),2)</f>
        <v>212.91</v>
      </c>
      <c r="J45" s="491">
        <f>ROUND(J38/(1-D44),2)</f>
        <v>1373.92</v>
      </c>
    </row>
    <row r="46" spans="1:12" ht="19.5" customHeight="1" x14ac:dyDescent="0.25">
      <c r="A46" s="683" t="str">
        <f>CONCATENATE("Valor do Custo Mensal - ",A7)</f>
        <v>Valor do Custo Mensal - Servente de Limpeza 40% Insalubridade</v>
      </c>
      <c r="B46" s="683"/>
      <c r="C46" s="683"/>
      <c r="D46" s="683"/>
      <c r="E46" s="683"/>
      <c r="F46" s="490">
        <f>F45</f>
        <v>7210.61</v>
      </c>
      <c r="G46" s="490">
        <f>G45</f>
        <v>6027.57</v>
      </c>
      <c r="H46" s="490">
        <f>H45</f>
        <v>654.71</v>
      </c>
      <c r="I46" s="490">
        <f>I45</f>
        <v>212.91</v>
      </c>
      <c r="J46" s="491">
        <f>J45</f>
        <v>1373.92</v>
      </c>
      <c r="K46" s="492"/>
      <c r="L46" s="492"/>
    </row>
    <row r="47" spans="1:12" ht="27.75" customHeight="1" x14ac:dyDescent="0.25">
      <c r="A47" s="678" t="s">
        <v>637</v>
      </c>
      <c r="B47" s="678"/>
      <c r="C47" s="678"/>
      <c r="D47" s="678"/>
      <c r="E47" s="678"/>
      <c r="F47" s="493">
        <f>(F46/F14)</f>
        <v>3.2177582021348754</v>
      </c>
      <c r="G47" s="493">
        <f>(G46/G14)</f>
        <v>2.6898227482060615</v>
      </c>
      <c r="H47" s="679" t="s">
        <v>638</v>
      </c>
      <c r="I47" s="679"/>
      <c r="J47" s="494">
        <f>ROUND((J46/30),2)</f>
        <v>45.8</v>
      </c>
    </row>
    <row r="48" spans="1:12" ht="19.5" customHeight="1" x14ac:dyDescent="0.25"/>
  </sheetData>
  <sheetProtection algorithmName="SHA-512" hashValue="tJELKhtoOofvP4JWxznr/rtA7bQu/3ISMuFOL2CkU1fQeKu/g5w1PTn5X+lfH6aTbz5vSp2RVR3ADkaaLKqIpw==" saltValue="MReMMniQ9NF0ehMGcsSuQA==" spinCount="100000" sheet="1" objects="1" scenarios="1"/>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7:B27"/>
    <mergeCell ref="A28:B28"/>
    <mergeCell ref="A29:B29"/>
    <mergeCell ref="A30:E30"/>
    <mergeCell ref="A31:E31"/>
    <mergeCell ref="A32:J32"/>
    <mergeCell ref="A33:C33"/>
    <mergeCell ref="E33:J33"/>
    <mergeCell ref="A35:C35"/>
    <mergeCell ref="A38:E38"/>
    <mergeCell ref="A39:J39"/>
    <mergeCell ref="A40:C40"/>
    <mergeCell ref="A41:C41"/>
    <mergeCell ref="A47:E47"/>
    <mergeCell ref="H47:I47"/>
    <mergeCell ref="A42:C42"/>
    <mergeCell ref="A43:C43"/>
    <mergeCell ref="A44:C44"/>
    <mergeCell ref="A45:E45"/>
    <mergeCell ref="A46:E46"/>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K48"/>
  <sheetViews>
    <sheetView showGridLines="0" view="pageBreakPreview" zoomScaleNormal="100" workbookViewId="0"/>
  </sheetViews>
  <sheetFormatPr defaultColWidth="8.7109375" defaultRowHeight="15" x14ac:dyDescent="0.25"/>
  <cols>
    <col min="1" max="1" width="10.5703125" style="68" customWidth="1"/>
    <col min="2" max="2" width="27.7109375" style="68" customWidth="1"/>
    <col min="3" max="3" width="14.42578125" style="68" customWidth="1"/>
    <col min="4" max="5" width="15" style="68" customWidth="1"/>
    <col min="6" max="6" width="16.7109375" style="437" customWidth="1"/>
    <col min="7" max="8" width="13.140625" style="437" customWidth="1"/>
    <col min="9" max="10" width="12.5703125" style="437" customWidth="1"/>
    <col min="11" max="257" width="9.140625" style="68" customWidth="1"/>
    <col min="258" max="258" width="10.5703125" style="68" customWidth="1"/>
    <col min="259" max="259" width="27.7109375" style="68" customWidth="1"/>
    <col min="260" max="260" width="14.42578125" style="68" customWidth="1"/>
    <col min="261" max="262" width="15" style="68" customWidth="1"/>
    <col min="263" max="263" width="16.7109375" style="68" customWidth="1"/>
    <col min="264" max="264" width="13.140625" style="68" customWidth="1"/>
    <col min="265" max="266" width="12.5703125" style="68" customWidth="1"/>
    <col min="267" max="513" width="9.140625" style="68" customWidth="1"/>
    <col min="514" max="514" width="10.5703125" style="68" customWidth="1"/>
    <col min="515" max="515" width="27.7109375" style="68" customWidth="1"/>
    <col min="516" max="516" width="14.42578125" style="68" customWidth="1"/>
    <col min="517" max="518" width="15" style="68" customWidth="1"/>
    <col min="519" max="519" width="16.7109375" style="68" customWidth="1"/>
    <col min="520" max="520" width="13.140625" style="68" customWidth="1"/>
    <col min="521" max="522" width="12.5703125" style="68" customWidth="1"/>
    <col min="523" max="769" width="9.140625" style="68" customWidth="1"/>
    <col min="770" max="770" width="10.5703125" style="68" customWidth="1"/>
    <col min="771" max="771" width="27.7109375" style="68" customWidth="1"/>
    <col min="772" max="772" width="14.42578125" style="68" customWidth="1"/>
    <col min="773" max="774" width="15" style="68" customWidth="1"/>
    <col min="775" max="775" width="16.7109375" style="68" customWidth="1"/>
    <col min="776" max="776" width="13.140625" style="68" customWidth="1"/>
    <col min="777" max="778" width="12.5703125" style="68" customWidth="1"/>
    <col min="779" max="1025" width="9.140625" style="68" customWidth="1"/>
  </cols>
  <sheetData>
    <row r="1" spans="1:10" x14ac:dyDescent="0.25">
      <c r="A1" s="438"/>
      <c r="B1" s="98" t="str">
        <f>INSTRUÇÕES!B1</f>
        <v>Tribunal Regional Federal da 6ª Região</v>
      </c>
      <c r="C1" s="439"/>
      <c r="D1" s="439"/>
      <c r="E1" s="439"/>
      <c r="F1" s="440"/>
      <c r="G1" s="441"/>
      <c r="H1" s="441"/>
      <c r="I1" s="440"/>
      <c r="J1" s="442"/>
    </row>
    <row r="2" spans="1:10" x14ac:dyDescent="0.25">
      <c r="A2" s="443"/>
      <c r="B2" s="100" t="str">
        <f>INSTRUÇÕES!B2</f>
        <v>Seção Judiciária de Minas Gerais</v>
      </c>
      <c r="C2" s="56"/>
      <c r="D2" s="56"/>
      <c r="E2" s="56"/>
      <c r="F2" s="444"/>
      <c r="I2" s="444"/>
      <c r="J2" s="445"/>
    </row>
    <row r="3" spans="1:10" x14ac:dyDescent="0.25">
      <c r="A3" s="168"/>
      <c r="B3" s="446" t="str">
        <f>INSTRUÇÕES!B3</f>
        <v>Subseção Judiciária de Poços de Caldas</v>
      </c>
      <c r="C3" s="56"/>
      <c r="D3" s="56"/>
      <c r="E3" s="56"/>
      <c r="F3" s="444"/>
      <c r="I3" s="444"/>
      <c r="J3" s="445"/>
    </row>
    <row r="4" spans="1:10" ht="19.5" customHeight="1" x14ac:dyDescent="0.25">
      <c r="A4" s="656" t="s">
        <v>602</v>
      </c>
      <c r="B4" s="656"/>
      <c r="C4" s="656"/>
      <c r="D4" s="656"/>
      <c r="E4" s="656"/>
      <c r="F4" s="656"/>
      <c r="G4" s="656"/>
      <c r="H4" s="656"/>
      <c r="I4" s="656"/>
      <c r="J4" s="656"/>
    </row>
    <row r="5" spans="1:10" ht="19.5" customHeight="1" x14ac:dyDescent="0.25">
      <c r="A5" s="703" t="s">
        <v>290</v>
      </c>
      <c r="B5" s="703"/>
      <c r="C5" s="703"/>
      <c r="D5" s="703"/>
      <c r="E5" s="703"/>
      <c r="F5" s="703"/>
      <c r="G5" s="703"/>
      <c r="H5" s="703"/>
      <c r="I5" s="703"/>
      <c r="J5" s="703"/>
    </row>
    <row r="6" spans="1:10" ht="36" customHeight="1" x14ac:dyDescent="0.25">
      <c r="A6" s="704" t="str">
        <f>Dados!A4</f>
        <v>Sindicato utilizado - SINSERTH x SINTAPPI. Vigência: 01/04/2025 à 31/03/2026. Sendo a data base da categoria 1 de abril. Com número de registro no MTE MG001973/2025.</v>
      </c>
      <c r="B6" s="704"/>
      <c r="C6" s="704"/>
      <c r="D6" s="704"/>
      <c r="E6" s="704"/>
      <c r="F6" s="704"/>
      <c r="G6" s="704"/>
      <c r="H6" s="704"/>
      <c r="I6" s="704"/>
      <c r="J6" s="704"/>
    </row>
    <row r="7" spans="1:10" ht="19.5" customHeight="1" x14ac:dyDescent="0.25">
      <c r="A7" s="705" t="str">
        <f>Dados!C8</f>
        <v>Servente de Limpeza  com acúmulo Copeira</v>
      </c>
      <c r="B7" s="705"/>
      <c r="C7" s="705"/>
      <c r="D7" s="705"/>
      <c r="E7" s="705"/>
      <c r="F7" s="706" t="s">
        <v>603</v>
      </c>
      <c r="G7" s="706" t="s">
        <v>604</v>
      </c>
      <c r="H7" s="706" t="s">
        <v>605</v>
      </c>
      <c r="I7" s="706" t="s">
        <v>606</v>
      </c>
      <c r="J7" s="706" t="s">
        <v>607</v>
      </c>
    </row>
    <row r="8" spans="1:10" ht="19.5" customHeight="1" x14ac:dyDescent="0.25">
      <c r="A8" s="707" t="s">
        <v>608</v>
      </c>
      <c r="B8" s="707"/>
      <c r="C8" s="707"/>
      <c r="D8" s="707"/>
      <c r="E8" s="447" t="s">
        <v>498</v>
      </c>
      <c r="F8" s="706"/>
      <c r="G8" s="706"/>
      <c r="H8" s="706"/>
      <c r="I8" s="706"/>
      <c r="J8" s="706"/>
    </row>
    <row r="9" spans="1:10" ht="19.5" customHeight="1" x14ac:dyDescent="0.25">
      <c r="A9" s="688" t="s">
        <v>609</v>
      </c>
      <c r="B9" s="688"/>
      <c r="C9" s="688"/>
      <c r="D9" s="688"/>
      <c r="E9" s="688"/>
      <c r="F9" s="688"/>
      <c r="G9" s="688"/>
      <c r="H9" s="688"/>
      <c r="I9" s="688"/>
      <c r="J9" s="688"/>
    </row>
    <row r="10" spans="1:10" ht="24" customHeight="1" x14ac:dyDescent="0.25">
      <c r="A10" s="173" t="s">
        <v>499</v>
      </c>
      <c r="B10" s="697" t="s">
        <v>610</v>
      </c>
      <c r="C10" s="697"/>
      <c r="D10" s="448" t="s">
        <v>611</v>
      </c>
      <c r="E10" s="449" t="s">
        <v>612</v>
      </c>
      <c r="F10" s="698" t="s">
        <v>502</v>
      </c>
      <c r="G10" s="698"/>
      <c r="H10" s="698"/>
      <c r="I10" s="698"/>
      <c r="J10" s="698"/>
    </row>
    <row r="11" spans="1:10" ht="19.5" customHeight="1" x14ac:dyDescent="0.25">
      <c r="A11" s="699">
        <v>1</v>
      </c>
      <c r="B11" s="700" t="str">
        <f>A7</f>
        <v>Servente de Limpeza  com acúmulo Copeira</v>
      </c>
      <c r="C11" s="700"/>
      <c r="D11" s="29">
        <f>Dados!D8</f>
        <v>220</v>
      </c>
      <c r="E11" s="451">
        <f>Dados!E8</f>
        <v>1633.68</v>
      </c>
      <c r="F11" s="452">
        <f>ROUND(E11/220*D11,2)</f>
        <v>1633.68</v>
      </c>
      <c r="G11" s="452">
        <f>F11</f>
        <v>1633.68</v>
      </c>
      <c r="H11" s="452"/>
      <c r="I11" s="452"/>
      <c r="J11" s="453"/>
    </row>
    <row r="12" spans="1:10" ht="19.5" customHeight="1" x14ac:dyDescent="0.25">
      <c r="A12" s="699"/>
      <c r="B12" s="700" t="s">
        <v>613</v>
      </c>
      <c r="C12" s="700"/>
      <c r="D12" s="495">
        <f>Dados!G8</f>
        <v>0</v>
      </c>
      <c r="E12" s="451">
        <f>Dados!G27</f>
        <v>1518</v>
      </c>
      <c r="F12" s="452">
        <f>D12*E12</f>
        <v>0</v>
      </c>
      <c r="G12" s="452">
        <f>F12</f>
        <v>0</v>
      </c>
      <c r="H12" s="452"/>
      <c r="I12" s="452"/>
      <c r="J12" s="453">
        <f>F12</f>
        <v>0</v>
      </c>
    </row>
    <row r="13" spans="1:10" ht="21" customHeight="1" x14ac:dyDescent="0.25">
      <c r="A13" s="699"/>
      <c r="B13" s="455" t="s">
        <v>614</v>
      </c>
      <c r="C13" s="456">
        <f>Dados!I8</f>
        <v>0.12</v>
      </c>
      <c r="D13" s="456">
        <f>Dados!J8</f>
        <v>0.25</v>
      </c>
      <c r="E13" s="457">
        <f>Dados!K8</f>
        <v>1633.68</v>
      </c>
      <c r="F13" s="458">
        <f>ROUND((E13*D13*C13),2)</f>
        <v>49.01</v>
      </c>
      <c r="G13" s="458">
        <f>F13</f>
        <v>49.01</v>
      </c>
      <c r="H13" s="458"/>
      <c r="I13" s="458"/>
      <c r="J13" s="459"/>
    </row>
    <row r="14" spans="1:10" ht="19.5" customHeight="1" x14ac:dyDescent="0.25">
      <c r="A14" s="699"/>
      <c r="B14" s="701" t="s">
        <v>615</v>
      </c>
      <c r="C14" s="701"/>
      <c r="D14" s="701"/>
      <c r="E14" s="701"/>
      <c r="F14" s="460">
        <f>SUM(F11:F13)</f>
        <v>1682.69</v>
      </c>
      <c r="G14" s="460">
        <f>SUM(G11:G13)</f>
        <v>1682.69</v>
      </c>
      <c r="H14" s="460">
        <f>SUM(H11:H13)</f>
        <v>0</v>
      </c>
      <c r="I14" s="460">
        <f>SUM(I11:I13)</f>
        <v>0</v>
      </c>
      <c r="J14" s="461">
        <f>SUM(J11:J13)</f>
        <v>0</v>
      </c>
    </row>
    <row r="15" spans="1:10" ht="19.5" customHeight="1" x14ac:dyDescent="0.25">
      <c r="A15" s="699"/>
      <c r="B15" s="702" t="s">
        <v>616</v>
      </c>
      <c r="C15" s="702"/>
      <c r="D15" s="702"/>
      <c r="E15" s="462">
        <f>Encargos!$C$57</f>
        <v>0.76400000000000001</v>
      </c>
      <c r="F15" s="452">
        <f>ROUND((E15*F14),2)</f>
        <v>1285.58</v>
      </c>
      <c r="G15" s="452">
        <f>F15</f>
        <v>1285.58</v>
      </c>
      <c r="H15" s="452"/>
      <c r="I15" s="452"/>
      <c r="J15" s="453">
        <f>ROUND((E15*J14),2)</f>
        <v>0</v>
      </c>
    </row>
    <row r="16" spans="1:10" ht="19.5" customHeight="1" x14ac:dyDescent="0.25">
      <c r="A16" s="693" t="s">
        <v>617</v>
      </c>
      <c r="B16" s="693"/>
      <c r="C16" s="693"/>
      <c r="D16" s="693"/>
      <c r="E16" s="693"/>
      <c r="F16" s="463">
        <f>SUM(F14:F15)</f>
        <v>2968.27</v>
      </c>
      <c r="G16" s="463">
        <f>SUM(G14:G15)</f>
        <v>2968.27</v>
      </c>
      <c r="H16" s="463">
        <f>SUM(H14:H15)</f>
        <v>0</v>
      </c>
      <c r="I16" s="463">
        <f>SUM(I14:I15)</f>
        <v>0</v>
      </c>
      <c r="J16" s="464">
        <f>SUM(J14:J15)</f>
        <v>0</v>
      </c>
    </row>
    <row r="17" spans="1:12" ht="19.5" customHeight="1" x14ac:dyDescent="0.25">
      <c r="A17" s="694" t="s">
        <v>618</v>
      </c>
      <c r="B17" s="694"/>
      <c r="C17" s="694"/>
      <c r="D17" s="694"/>
      <c r="E17" s="694"/>
      <c r="F17" s="694"/>
      <c r="G17" s="694"/>
      <c r="H17" s="694"/>
      <c r="I17" s="694"/>
      <c r="J17" s="694"/>
    </row>
    <row r="18" spans="1:12" ht="19.5" customHeight="1" x14ac:dyDescent="0.25">
      <c r="A18" s="689" t="s">
        <v>619</v>
      </c>
      <c r="B18" s="689"/>
      <c r="C18" s="39" t="s">
        <v>501</v>
      </c>
      <c r="D18" s="695" t="s">
        <v>639</v>
      </c>
      <c r="E18" s="695"/>
      <c r="F18" s="696" t="s">
        <v>502</v>
      </c>
      <c r="G18" s="696"/>
      <c r="H18" s="696"/>
      <c r="I18" s="696"/>
      <c r="J18" s="696"/>
    </row>
    <row r="19" spans="1:12" ht="19.5" customHeight="1" x14ac:dyDescent="0.25">
      <c r="A19" s="680" t="s">
        <v>621</v>
      </c>
      <c r="B19" s="680"/>
      <c r="C19" s="467"/>
      <c r="D19" s="467"/>
      <c r="E19" s="467"/>
      <c r="F19" s="452">
        <f>Dados!$N$8</f>
        <v>59.96</v>
      </c>
      <c r="G19" s="452">
        <f t="shared" ref="G19:G24" si="0">F19</f>
        <v>59.96</v>
      </c>
      <c r="H19" s="452"/>
      <c r="I19" s="452"/>
      <c r="J19" s="453"/>
    </row>
    <row r="20" spans="1:12" ht="19.5" customHeight="1" x14ac:dyDescent="0.25">
      <c r="A20" s="680" t="s">
        <v>622</v>
      </c>
      <c r="B20" s="680"/>
      <c r="C20" s="467"/>
      <c r="D20" s="467"/>
      <c r="E20" s="467"/>
      <c r="F20" s="452">
        <f>Dados!$G$30</f>
        <v>5.27</v>
      </c>
      <c r="G20" s="452">
        <f t="shared" si="0"/>
        <v>5.27</v>
      </c>
      <c r="H20" s="452"/>
      <c r="I20" s="452"/>
      <c r="J20" s="453"/>
    </row>
    <row r="21" spans="1:12" ht="23.25" customHeight="1" x14ac:dyDescent="0.25">
      <c r="A21" s="692" t="s">
        <v>220</v>
      </c>
      <c r="B21" s="692"/>
      <c r="C21" s="467"/>
      <c r="D21" s="467"/>
      <c r="E21" s="467"/>
      <c r="F21" s="452">
        <f>Dados!G31</f>
        <v>0</v>
      </c>
      <c r="G21" s="452">
        <f t="shared" si="0"/>
        <v>0</v>
      </c>
      <c r="H21" s="452"/>
      <c r="I21" s="452"/>
      <c r="J21" s="453"/>
    </row>
    <row r="22" spans="1:12" ht="19.5" customHeight="1" x14ac:dyDescent="0.25">
      <c r="A22" s="680" t="s">
        <v>221</v>
      </c>
      <c r="B22" s="680"/>
      <c r="C22" s="468">
        <f>Dados!$G$34</f>
        <v>22</v>
      </c>
      <c r="D22" s="468">
        <f>Dados!$G$33</f>
        <v>2</v>
      </c>
      <c r="E22" s="467">
        <f>Dados!$G$32</f>
        <v>6</v>
      </c>
      <c r="F22" s="452">
        <f>IF(ROUND((E22*D22*C22)-(F11*Dados!$G$35),2)&lt;0,0,ROUND((E22*D22*C22)-(F11*Dados!$G$35),2))</f>
        <v>165.98</v>
      </c>
      <c r="G22" s="452">
        <f t="shared" si="0"/>
        <v>165.98</v>
      </c>
      <c r="H22" s="452"/>
      <c r="I22" s="452">
        <f>F22</f>
        <v>165.98</v>
      </c>
      <c r="J22" s="453"/>
    </row>
    <row r="23" spans="1:12" ht="19.5" customHeight="1" x14ac:dyDescent="0.25">
      <c r="A23" s="680" t="s">
        <v>230</v>
      </c>
      <c r="B23" s="680"/>
      <c r="C23" s="468">
        <f>Dados!G37</f>
        <v>22</v>
      </c>
      <c r="D23" s="469">
        <f>Dados!G38</f>
        <v>0.2</v>
      </c>
      <c r="E23" s="467">
        <f>Dados!$G$36</f>
        <v>29</v>
      </c>
      <c r="F23" s="263">
        <f>ROUND((IF(D11&gt;150,((C23*E23)-(C23*(D23*E23))),0)),2)</f>
        <v>510.4</v>
      </c>
      <c r="G23" s="452">
        <f t="shared" si="0"/>
        <v>510.4</v>
      </c>
      <c r="H23" s="452">
        <f>$F$23</f>
        <v>510.4</v>
      </c>
      <c r="I23" s="263"/>
      <c r="J23" s="453"/>
    </row>
    <row r="24" spans="1:12" ht="19.5" customHeight="1" x14ac:dyDescent="0.25">
      <c r="A24" s="680" t="s">
        <v>178</v>
      </c>
      <c r="B24" s="680"/>
      <c r="C24" s="468"/>
      <c r="D24" s="468"/>
      <c r="E24" s="467"/>
      <c r="F24" s="263">
        <f>Dados!Q8</f>
        <v>9.8833333333333329</v>
      </c>
      <c r="G24" s="452">
        <f t="shared" si="0"/>
        <v>9.8833333333333329</v>
      </c>
      <c r="H24" s="452"/>
      <c r="I24" s="263"/>
      <c r="J24" s="453"/>
    </row>
    <row r="25" spans="1:12" ht="19.5" customHeight="1" x14ac:dyDescent="0.25">
      <c r="A25" s="680" t="s">
        <v>623</v>
      </c>
      <c r="B25" s="680"/>
      <c r="C25" s="468"/>
      <c r="D25" s="467"/>
      <c r="E25" s="467"/>
      <c r="F25" s="452">
        <f>Dados!$O$8</f>
        <v>922.28166666666675</v>
      </c>
      <c r="G25" s="452"/>
      <c r="H25" s="452"/>
      <c r="I25" s="452"/>
      <c r="J25" s="453"/>
      <c r="L25" s="56"/>
    </row>
    <row r="26" spans="1:12" ht="19.5" customHeight="1" x14ac:dyDescent="0.25">
      <c r="A26" s="466" t="s">
        <v>624</v>
      </c>
      <c r="B26" s="470"/>
      <c r="C26" s="468"/>
      <c r="D26" s="467"/>
      <c r="E26" s="467"/>
      <c r="F26" s="452">
        <f>Dados!P8</f>
        <v>347.63916666666665</v>
      </c>
      <c r="G26" s="452"/>
      <c r="H26" s="452"/>
      <c r="I26" s="452"/>
      <c r="J26" s="453"/>
    </row>
    <row r="27" spans="1:12" ht="19.5" customHeight="1" x14ac:dyDescent="0.25">
      <c r="A27" s="691" t="s">
        <v>625</v>
      </c>
      <c r="B27" s="691"/>
      <c r="C27" s="471"/>
      <c r="D27" s="472"/>
      <c r="E27" s="472"/>
      <c r="F27" s="458">
        <f>Dados!$R$8</f>
        <v>0</v>
      </c>
      <c r="G27" s="458">
        <f>F27</f>
        <v>0</v>
      </c>
      <c r="H27" s="458"/>
      <c r="I27" s="458"/>
      <c r="J27" s="459"/>
    </row>
    <row r="28" spans="1:12" ht="19.5" customHeight="1" x14ac:dyDescent="0.25">
      <c r="A28" s="680" t="str">
        <f>Dados!$B$39</f>
        <v>Outros (inserir somente com a justificativa legal)</v>
      </c>
      <c r="B28" s="680"/>
      <c r="C28" s="468"/>
      <c r="D28" s="468"/>
      <c r="E28" s="467"/>
      <c r="F28" s="263">
        <f>Dados!$G$39</f>
        <v>0</v>
      </c>
      <c r="G28" s="452"/>
      <c r="H28" s="452"/>
      <c r="I28" s="263"/>
      <c r="J28" s="453"/>
    </row>
    <row r="29" spans="1:12" ht="18.75" customHeight="1" x14ac:dyDescent="0.25">
      <c r="A29" s="680" t="str">
        <f>Dados!$B$40</f>
        <v>Outros (inserir somente com a justificativa legal)</v>
      </c>
      <c r="B29" s="680"/>
      <c r="C29" s="468"/>
      <c r="D29" s="468"/>
      <c r="E29" s="467"/>
      <c r="F29" s="263">
        <f>Dados!$G$40</f>
        <v>0</v>
      </c>
      <c r="G29" s="452"/>
      <c r="H29" s="452"/>
      <c r="I29" s="263"/>
      <c r="J29" s="453"/>
    </row>
    <row r="30" spans="1:12" ht="19.5" customHeight="1" x14ac:dyDescent="0.25">
      <c r="A30" s="687" t="s">
        <v>626</v>
      </c>
      <c r="B30" s="687"/>
      <c r="C30" s="687"/>
      <c r="D30" s="687"/>
      <c r="E30" s="687"/>
      <c r="F30" s="463">
        <f>SUM(F19:F29)</f>
        <v>2021.4141666666667</v>
      </c>
      <c r="G30" s="463">
        <f>SUM(G19:G29)</f>
        <v>751.49333333333323</v>
      </c>
      <c r="H30" s="463">
        <f>SUM(H19:H29)</f>
        <v>510.4</v>
      </c>
      <c r="I30" s="463">
        <f>SUM(I19:I29)</f>
        <v>165.98</v>
      </c>
      <c r="J30" s="464">
        <f>SUM(J19:J29)</f>
        <v>0</v>
      </c>
    </row>
    <row r="31" spans="1:12" ht="19.5" customHeight="1" x14ac:dyDescent="0.25">
      <c r="A31" s="687" t="s">
        <v>627</v>
      </c>
      <c r="B31" s="687"/>
      <c r="C31" s="687"/>
      <c r="D31" s="687"/>
      <c r="E31" s="687"/>
      <c r="F31" s="463">
        <f>F16+F30</f>
        <v>4989.6841666666669</v>
      </c>
      <c r="G31" s="463">
        <f>G16+G30</f>
        <v>3719.7633333333333</v>
      </c>
      <c r="H31" s="463">
        <f>H16+H30</f>
        <v>510.4</v>
      </c>
      <c r="I31" s="463">
        <f>I16+I30</f>
        <v>165.98</v>
      </c>
      <c r="J31" s="464">
        <f>J16+J30</f>
        <v>0</v>
      </c>
    </row>
    <row r="32" spans="1:12" ht="19.5" customHeight="1" x14ac:dyDescent="0.25">
      <c r="A32" s="688" t="s">
        <v>628</v>
      </c>
      <c r="B32" s="688"/>
      <c r="C32" s="688"/>
      <c r="D32" s="688"/>
      <c r="E32" s="688"/>
      <c r="F32" s="688"/>
      <c r="G32" s="688"/>
      <c r="H32" s="688"/>
      <c r="I32" s="688"/>
      <c r="J32" s="688"/>
    </row>
    <row r="33" spans="1:12" ht="19.5" customHeight="1" x14ac:dyDescent="0.25">
      <c r="A33" s="689" t="s">
        <v>629</v>
      </c>
      <c r="B33" s="689"/>
      <c r="C33" s="689"/>
      <c r="D33" s="80" t="s">
        <v>630</v>
      </c>
      <c r="E33" s="690" t="s">
        <v>502</v>
      </c>
      <c r="F33" s="690"/>
      <c r="G33" s="690"/>
      <c r="H33" s="690"/>
      <c r="I33" s="690"/>
      <c r="J33" s="690"/>
    </row>
    <row r="34" spans="1:12" ht="19.5" customHeight="1" x14ac:dyDescent="0.25">
      <c r="A34" s="473" t="s">
        <v>631</v>
      </c>
      <c r="B34" s="474"/>
      <c r="C34" s="474"/>
      <c r="D34" s="454">
        <f>Dados!$G$43</f>
        <v>0.03</v>
      </c>
      <c r="E34" s="475"/>
      <c r="F34" s="452">
        <f>ROUND((F31*$D$34),2)</f>
        <v>149.69</v>
      </c>
      <c r="G34" s="452">
        <f>ROUND((G31*$D$34),2)</f>
        <v>111.59</v>
      </c>
      <c r="H34" s="452">
        <f>ROUND((H31*$D$34),2)</f>
        <v>15.31</v>
      </c>
      <c r="I34" s="452">
        <f>ROUND((I31*$D$34),2)</f>
        <v>4.9800000000000004</v>
      </c>
      <c r="J34" s="453">
        <f>ROUND((J31*$D$34),2)</f>
        <v>0</v>
      </c>
    </row>
    <row r="35" spans="1:12" ht="19.5" customHeight="1" x14ac:dyDescent="0.25">
      <c r="A35" s="684" t="s">
        <v>632</v>
      </c>
      <c r="B35" s="684"/>
      <c r="C35" s="684"/>
      <c r="D35" s="454"/>
      <c r="E35" s="475"/>
      <c r="F35" s="452">
        <f>F31+F34</f>
        <v>5139.3741666666665</v>
      </c>
      <c r="G35" s="452">
        <f>G31+G34</f>
        <v>3831.3533333333335</v>
      </c>
      <c r="H35" s="452">
        <f>H31+H34</f>
        <v>525.70999999999992</v>
      </c>
      <c r="I35" s="452">
        <f>I31+I34</f>
        <v>170.95999999999998</v>
      </c>
      <c r="J35" s="453">
        <f>J31+J34</f>
        <v>0</v>
      </c>
    </row>
    <row r="36" spans="1:12" ht="19.5" customHeight="1" x14ac:dyDescent="0.25">
      <c r="A36" s="476" t="s">
        <v>238</v>
      </c>
      <c r="B36" s="477"/>
      <c r="C36" s="477"/>
      <c r="D36" s="478">
        <f>Dados!$G$44</f>
        <v>6.7900000000000002E-2</v>
      </c>
      <c r="E36" s="479"/>
      <c r="F36" s="458">
        <f>ROUND((F35*$D$36),2)</f>
        <v>348.96</v>
      </c>
      <c r="G36" s="458">
        <f>ROUND((G35*$D$36),2)</f>
        <v>260.14999999999998</v>
      </c>
      <c r="H36" s="458">
        <f>ROUND((H35*$D$36),2)</f>
        <v>35.700000000000003</v>
      </c>
      <c r="I36" s="458">
        <f>ROUND((I35*$D$36),2)</f>
        <v>11.61</v>
      </c>
      <c r="J36" s="459">
        <f>ROUND((J35*$D$36),2)</f>
        <v>0</v>
      </c>
    </row>
    <row r="37" spans="1:12" ht="19.5" customHeight="1" x14ac:dyDescent="0.25">
      <c r="A37" s="480" t="s">
        <v>633</v>
      </c>
      <c r="B37" s="481"/>
      <c r="C37" s="481"/>
      <c r="D37" s="482">
        <f>SUM(D34:D36)</f>
        <v>9.7900000000000001E-2</v>
      </c>
      <c r="E37" s="483"/>
      <c r="F37" s="463">
        <f>F34+F36</f>
        <v>498.65</v>
      </c>
      <c r="G37" s="463">
        <f>G34+G36</f>
        <v>371.74</v>
      </c>
      <c r="H37" s="463">
        <f>H34+H36</f>
        <v>51.010000000000005</v>
      </c>
      <c r="I37" s="463">
        <f>I34+I36</f>
        <v>16.59</v>
      </c>
      <c r="J37" s="464">
        <f>J34+J36</f>
        <v>0</v>
      </c>
    </row>
    <row r="38" spans="1:12" ht="19.5" customHeight="1" x14ac:dyDescent="0.25">
      <c r="A38" s="685" t="s">
        <v>634</v>
      </c>
      <c r="B38" s="685"/>
      <c r="C38" s="685"/>
      <c r="D38" s="685"/>
      <c r="E38" s="685"/>
      <c r="F38" s="484">
        <f>F31+F37</f>
        <v>5488.3341666666665</v>
      </c>
      <c r="G38" s="484">
        <f>G31+G37</f>
        <v>4091.5033333333331</v>
      </c>
      <c r="H38" s="484">
        <f>H31+H37</f>
        <v>561.41</v>
      </c>
      <c r="I38" s="484">
        <f>I31+I37</f>
        <v>182.57</v>
      </c>
      <c r="J38" s="485">
        <f>J31+J37</f>
        <v>0</v>
      </c>
    </row>
    <row r="39" spans="1:12" ht="19.5" customHeight="1" x14ac:dyDescent="0.25">
      <c r="A39" s="686" t="s">
        <v>635</v>
      </c>
      <c r="B39" s="686"/>
      <c r="C39" s="686"/>
      <c r="D39" s="686"/>
      <c r="E39" s="686"/>
      <c r="F39" s="686"/>
      <c r="G39" s="686"/>
      <c r="H39" s="686"/>
      <c r="I39" s="686"/>
      <c r="J39" s="686"/>
    </row>
    <row r="40" spans="1:12" ht="19.5" customHeight="1" x14ac:dyDescent="0.25">
      <c r="A40" s="680" t="s">
        <v>244</v>
      </c>
      <c r="B40" s="680"/>
      <c r="C40" s="680"/>
      <c r="D40" s="454">
        <f>Dados!G51</f>
        <v>7.5999999999999998E-2</v>
      </c>
      <c r="E40" s="452"/>
      <c r="F40" s="452">
        <f>ROUND(($F$46*D40),2)</f>
        <v>486.43</v>
      </c>
      <c r="G40" s="452">
        <f>ROUND((G46*$D$40),2)</f>
        <v>362.63</v>
      </c>
      <c r="H40" s="452">
        <f>ROUND((H46*$D$40),2)</f>
        <v>49.76</v>
      </c>
      <c r="I40" s="452">
        <f>ROUND((I46*$D$40),2)</f>
        <v>16.18</v>
      </c>
      <c r="J40" s="453">
        <f>ROUND((J46*$D$40),2)</f>
        <v>0</v>
      </c>
    </row>
    <row r="41" spans="1:12" ht="19.5" customHeight="1" x14ac:dyDescent="0.25">
      <c r="A41" s="680" t="s">
        <v>246</v>
      </c>
      <c r="B41" s="680"/>
      <c r="C41" s="680"/>
      <c r="D41" s="454">
        <f>Dados!G52</f>
        <v>1.6500000000000001E-2</v>
      </c>
      <c r="E41" s="452"/>
      <c r="F41" s="452">
        <f>ROUND((F46*$D$41),2)</f>
        <v>105.61</v>
      </c>
      <c r="G41" s="452">
        <f>ROUND((G46*$D$41),2)</f>
        <v>78.73</v>
      </c>
      <c r="H41" s="452">
        <f>ROUND((H46*$D$41),2)</f>
        <v>10.8</v>
      </c>
      <c r="I41" s="452">
        <f>ROUND((I46*$D$41),2)</f>
        <v>3.51</v>
      </c>
      <c r="J41" s="453">
        <f>ROUND((J46*$D$41),2)</f>
        <v>0</v>
      </c>
    </row>
    <row r="42" spans="1:12" ht="19.5" customHeight="1" x14ac:dyDescent="0.25">
      <c r="A42" s="680" t="s">
        <v>247</v>
      </c>
      <c r="B42" s="680"/>
      <c r="C42" s="680"/>
      <c r="D42" s="454">
        <f>Dados!G53</f>
        <v>0.05</v>
      </c>
      <c r="E42" s="452"/>
      <c r="F42" s="452">
        <f>ROUND((F46*$D$42),2)</f>
        <v>320.02</v>
      </c>
      <c r="G42" s="452">
        <f>ROUND((G46*$D$42),2)</f>
        <v>238.57</v>
      </c>
      <c r="H42" s="452">
        <f>ROUND((H46*$D$42),2)</f>
        <v>32.74</v>
      </c>
      <c r="I42" s="452">
        <f>ROUND((I46*$D$42),2)</f>
        <v>10.65</v>
      </c>
      <c r="J42" s="453">
        <f>ROUND((J46*$D$42),2)</f>
        <v>0</v>
      </c>
    </row>
    <row r="43" spans="1:12" ht="19.5" customHeight="1" x14ac:dyDescent="0.25">
      <c r="A43" s="680" t="s">
        <v>233</v>
      </c>
      <c r="B43" s="680"/>
      <c r="C43" s="680"/>
      <c r="D43" s="454">
        <f>Dados!G54</f>
        <v>0</v>
      </c>
      <c r="E43" s="452"/>
      <c r="F43" s="452">
        <f>ROUND((F46*$D$43),2)</f>
        <v>0</v>
      </c>
      <c r="G43" s="452">
        <f>ROUND((G46*$D$43),2)</f>
        <v>0</v>
      </c>
      <c r="H43" s="452">
        <f>ROUND((H46*$D$43),2)</f>
        <v>0</v>
      </c>
      <c r="I43" s="452">
        <f>ROUND((I46*$D$43),2)</f>
        <v>0</v>
      </c>
      <c r="J43" s="453">
        <f>ROUND((J46*$D$43),2)</f>
        <v>0</v>
      </c>
    </row>
    <row r="44" spans="1:12" ht="19.5" customHeight="1" x14ac:dyDescent="0.25">
      <c r="A44" s="681" t="s">
        <v>636</v>
      </c>
      <c r="B44" s="681"/>
      <c r="C44" s="681"/>
      <c r="D44" s="486">
        <f>SUM(D40:D43)</f>
        <v>0.14250000000000002</v>
      </c>
      <c r="E44" s="487"/>
      <c r="F44" s="488">
        <f>SUM(F40:F43)</f>
        <v>912.06</v>
      </c>
      <c r="G44" s="488">
        <f>SUM(G40:G43)</f>
        <v>679.93000000000006</v>
      </c>
      <c r="H44" s="488">
        <f>SUM(H40:H43)</f>
        <v>93.300000000000011</v>
      </c>
      <c r="I44" s="488">
        <f>SUM(I40:I43)</f>
        <v>30.339999999999996</v>
      </c>
      <c r="J44" s="489">
        <f>SUM(J40:J42)</f>
        <v>0</v>
      </c>
    </row>
    <row r="45" spans="1:12" ht="19.5" customHeight="1" x14ac:dyDescent="0.25">
      <c r="A45" s="682" t="str">
        <f>CONCATENATE("Custo Mensal - ",A7)</f>
        <v>Custo Mensal - Servente de Limpeza  com acúmulo Copeira</v>
      </c>
      <c r="B45" s="682"/>
      <c r="C45" s="682"/>
      <c r="D45" s="682"/>
      <c r="E45" s="682"/>
      <c r="F45" s="490">
        <f>ROUND(F38/(1-D44),2)</f>
        <v>6400.39</v>
      </c>
      <c r="G45" s="490">
        <f>ROUND(G38/(1-D44),2)</f>
        <v>4771.43</v>
      </c>
      <c r="H45" s="490">
        <f>ROUND(H38/(1-D44),2)</f>
        <v>654.71</v>
      </c>
      <c r="I45" s="490">
        <f>ROUND(I38/(1-D44),2)</f>
        <v>212.91</v>
      </c>
      <c r="J45" s="491">
        <f>ROUND(J38/(1-D44),2)</f>
        <v>0</v>
      </c>
    </row>
    <row r="46" spans="1:12" ht="19.5" customHeight="1" x14ac:dyDescent="0.25">
      <c r="A46" s="683" t="str">
        <f>CONCATENATE("Valor do Custo Mensal - ",A7)</f>
        <v>Valor do Custo Mensal - Servente de Limpeza  com acúmulo Copeira</v>
      </c>
      <c r="B46" s="683"/>
      <c r="C46" s="683"/>
      <c r="D46" s="683"/>
      <c r="E46" s="683"/>
      <c r="F46" s="490">
        <f>F45</f>
        <v>6400.39</v>
      </c>
      <c r="G46" s="490">
        <f>G45</f>
        <v>4771.43</v>
      </c>
      <c r="H46" s="490">
        <f>H45</f>
        <v>654.71</v>
      </c>
      <c r="I46" s="490">
        <f>I45</f>
        <v>212.91</v>
      </c>
      <c r="J46" s="491">
        <f>J45</f>
        <v>0</v>
      </c>
      <c r="K46" s="492"/>
      <c r="L46" s="492"/>
    </row>
    <row r="47" spans="1:12" ht="27.75" customHeight="1" x14ac:dyDescent="0.25">
      <c r="A47" s="678" t="s">
        <v>637</v>
      </c>
      <c r="B47" s="678"/>
      <c r="C47" s="678"/>
      <c r="D47" s="678"/>
      <c r="E47" s="678"/>
      <c r="F47" s="493">
        <f>(F46/F14)</f>
        <v>3.8036655593127673</v>
      </c>
      <c r="G47" s="493">
        <f>(G46/G14)</f>
        <v>2.835596574532445</v>
      </c>
      <c r="H47" s="679" t="s">
        <v>638</v>
      </c>
      <c r="I47" s="679"/>
      <c r="J47" s="494">
        <v>0</v>
      </c>
    </row>
    <row r="48" spans="1:12" ht="19.5" customHeight="1" x14ac:dyDescent="0.25"/>
  </sheetData>
  <sheetProtection algorithmName="SHA-512" hashValue="HPkS8ZjcCWNqPV5466K0szTpgc1OKL8b2R46IjHiNWY1lO+W4hqNMi4BKzm46FUjJeaNLFKjiN0n9oI195nRLQ==" saltValue="6qg3B8H5mGn549jnhj5y3A==" spinCount="100000" sheet="1" objects="1" scenarios="1"/>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7:B27"/>
    <mergeCell ref="A28:B28"/>
    <mergeCell ref="A29:B29"/>
    <mergeCell ref="A30:E30"/>
    <mergeCell ref="A31:E31"/>
    <mergeCell ref="A32:J32"/>
    <mergeCell ref="A33:C33"/>
    <mergeCell ref="E33:J33"/>
    <mergeCell ref="A35:C35"/>
    <mergeCell ref="A38:E38"/>
    <mergeCell ref="A39:J39"/>
    <mergeCell ref="A40:C40"/>
    <mergeCell ref="A41:C41"/>
    <mergeCell ref="A47:E47"/>
    <mergeCell ref="H47:I47"/>
    <mergeCell ref="A42:C42"/>
    <mergeCell ref="A43:C43"/>
    <mergeCell ref="A44:C44"/>
    <mergeCell ref="A45:E45"/>
    <mergeCell ref="A46:E46"/>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K48"/>
  <sheetViews>
    <sheetView showGridLines="0" view="pageBreakPreview" zoomScaleNormal="100" workbookViewId="0"/>
  </sheetViews>
  <sheetFormatPr defaultColWidth="8.7109375" defaultRowHeight="15" x14ac:dyDescent="0.25"/>
  <cols>
    <col min="1" max="1" width="10.5703125" style="68" customWidth="1"/>
    <col min="2" max="2" width="27.7109375" style="68" customWidth="1"/>
    <col min="3" max="3" width="14.42578125" style="68" customWidth="1"/>
    <col min="4" max="5" width="15" style="68" customWidth="1"/>
    <col min="6" max="6" width="16.7109375" style="437" customWidth="1"/>
    <col min="7" max="8" width="13.140625" style="437" customWidth="1"/>
    <col min="9" max="10" width="12.5703125" style="437" customWidth="1"/>
    <col min="11" max="257" width="9.140625" style="68" customWidth="1"/>
    <col min="258" max="258" width="10.5703125" style="68" customWidth="1"/>
    <col min="259" max="259" width="27.7109375" style="68" customWidth="1"/>
    <col min="260" max="260" width="14.42578125" style="68" customWidth="1"/>
    <col min="261" max="262" width="15" style="68" customWidth="1"/>
    <col min="263" max="263" width="16.7109375" style="68" customWidth="1"/>
    <col min="264" max="264" width="13.140625" style="68" customWidth="1"/>
    <col min="265" max="266" width="12.5703125" style="68" customWidth="1"/>
    <col min="267" max="513" width="9.140625" style="68" customWidth="1"/>
    <col min="514" max="514" width="10.5703125" style="68" customWidth="1"/>
    <col min="515" max="515" width="27.7109375" style="68" customWidth="1"/>
    <col min="516" max="516" width="14.42578125" style="68" customWidth="1"/>
    <col min="517" max="518" width="15" style="68" customWidth="1"/>
    <col min="519" max="519" width="16.7109375" style="68" customWidth="1"/>
    <col min="520" max="520" width="13.140625" style="68" customWidth="1"/>
    <col min="521" max="522" width="12.5703125" style="68" customWidth="1"/>
    <col min="523" max="769" width="9.140625" style="68" customWidth="1"/>
    <col min="770" max="770" width="10.5703125" style="68" customWidth="1"/>
    <col min="771" max="771" width="27.7109375" style="68" customWidth="1"/>
    <col min="772" max="772" width="14.42578125" style="68" customWidth="1"/>
    <col min="773" max="774" width="15" style="68" customWidth="1"/>
    <col min="775" max="775" width="16.7109375" style="68" customWidth="1"/>
    <col min="776" max="776" width="13.140625" style="68" customWidth="1"/>
    <col min="777" max="778" width="12.5703125" style="68" customWidth="1"/>
    <col min="779" max="1025" width="9.140625" style="68" customWidth="1"/>
  </cols>
  <sheetData>
    <row r="1" spans="1:10" x14ac:dyDescent="0.25">
      <c r="A1" s="438"/>
      <c r="B1" s="98" t="str">
        <f>INSTRUÇÕES!B1</f>
        <v>Tribunal Regional Federal da 6ª Região</v>
      </c>
      <c r="C1" s="439"/>
      <c r="D1" s="439"/>
      <c r="E1" s="439"/>
      <c r="F1" s="440"/>
      <c r="G1" s="441"/>
      <c r="H1" s="441"/>
      <c r="I1" s="440"/>
      <c r="J1" s="442"/>
    </row>
    <row r="2" spans="1:10" x14ac:dyDescent="0.25">
      <c r="A2" s="443"/>
      <c r="B2" s="100" t="str">
        <f>INSTRUÇÕES!B2</f>
        <v>Seção Judiciária de Minas Gerais</v>
      </c>
      <c r="C2" s="56"/>
      <c r="D2" s="56"/>
      <c r="E2" s="56"/>
      <c r="F2" s="444"/>
      <c r="I2" s="444"/>
      <c r="J2" s="445"/>
    </row>
    <row r="3" spans="1:10" x14ac:dyDescent="0.25">
      <c r="A3" s="168"/>
      <c r="B3" s="446" t="str">
        <f>INSTRUÇÕES!B3</f>
        <v>Subseção Judiciária de Poços de Caldas</v>
      </c>
      <c r="C3" s="56"/>
      <c r="D3" s="56"/>
      <c r="E3" s="56"/>
      <c r="F3" s="444"/>
      <c r="I3" s="444"/>
      <c r="J3" s="445"/>
    </row>
    <row r="4" spans="1:10" ht="19.5" customHeight="1" x14ac:dyDescent="0.25">
      <c r="A4" s="656" t="s">
        <v>602</v>
      </c>
      <c r="B4" s="656"/>
      <c r="C4" s="656"/>
      <c r="D4" s="656"/>
      <c r="E4" s="656"/>
      <c r="F4" s="656"/>
      <c r="G4" s="656"/>
      <c r="H4" s="656"/>
      <c r="I4" s="656"/>
      <c r="J4" s="656"/>
    </row>
    <row r="5" spans="1:10" ht="19.5" customHeight="1" x14ac:dyDescent="0.25">
      <c r="A5" s="703" t="s">
        <v>290</v>
      </c>
      <c r="B5" s="703"/>
      <c r="C5" s="703"/>
      <c r="D5" s="703"/>
      <c r="E5" s="703"/>
      <c r="F5" s="703"/>
      <c r="G5" s="703"/>
      <c r="H5" s="703"/>
      <c r="I5" s="703"/>
      <c r="J5" s="703"/>
    </row>
    <row r="6" spans="1:10" ht="36" customHeight="1" x14ac:dyDescent="0.25">
      <c r="A6" s="704" t="str">
        <f>Dados!A4</f>
        <v>Sindicato utilizado - SINSERTH x SINTAPPI. Vigência: 01/04/2025 à 31/03/2026. Sendo a data base da categoria 1 de abril. Com número de registro no MTE MG001973/2025.</v>
      </c>
      <c r="B6" s="704"/>
      <c r="C6" s="704"/>
      <c r="D6" s="704"/>
      <c r="E6" s="704"/>
      <c r="F6" s="704"/>
      <c r="G6" s="704"/>
      <c r="H6" s="704"/>
      <c r="I6" s="704"/>
      <c r="J6" s="704"/>
    </row>
    <row r="7" spans="1:10" ht="19.5" customHeight="1" x14ac:dyDescent="0.25">
      <c r="A7" s="705" t="str">
        <f>Dados!C9</f>
        <v>Zelador</v>
      </c>
      <c r="B7" s="705"/>
      <c r="C7" s="705"/>
      <c r="D7" s="705"/>
      <c r="E7" s="705"/>
      <c r="F7" s="706" t="s">
        <v>603</v>
      </c>
      <c r="G7" s="706" t="s">
        <v>604</v>
      </c>
      <c r="H7" s="706" t="s">
        <v>605</v>
      </c>
      <c r="I7" s="706" t="s">
        <v>606</v>
      </c>
      <c r="J7" s="706" t="s">
        <v>607</v>
      </c>
    </row>
    <row r="8" spans="1:10" ht="19.5" customHeight="1" x14ac:dyDescent="0.25">
      <c r="A8" s="707" t="s">
        <v>608</v>
      </c>
      <c r="B8" s="707"/>
      <c r="C8" s="707"/>
      <c r="D8" s="707"/>
      <c r="E8" s="447" t="s">
        <v>498</v>
      </c>
      <c r="F8" s="706"/>
      <c r="G8" s="706"/>
      <c r="H8" s="706"/>
      <c r="I8" s="706"/>
      <c r="J8" s="706"/>
    </row>
    <row r="9" spans="1:10" ht="19.5" customHeight="1" x14ac:dyDescent="0.25">
      <c r="A9" s="688" t="s">
        <v>609</v>
      </c>
      <c r="B9" s="688"/>
      <c r="C9" s="688"/>
      <c r="D9" s="688"/>
      <c r="E9" s="688"/>
      <c r="F9" s="688"/>
      <c r="G9" s="688"/>
      <c r="H9" s="688"/>
      <c r="I9" s="688"/>
      <c r="J9" s="688"/>
    </row>
    <row r="10" spans="1:10" ht="24" customHeight="1" x14ac:dyDescent="0.25">
      <c r="A10" s="173" t="s">
        <v>499</v>
      </c>
      <c r="B10" s="697" t="s">
        <v>610</v>
      </c>
      <c r="C10" s="697"/>
      <c r="D10" s="448" t="s">
        <v>611</v>
      </c>
      <c r="E10" s="449" t="s">
        <v>612</v>
      </c>
      <c r="F10" s="698" t="s">
        <v>502</v>
      </c>
      <c r="G10" s="698"/>
      <c r="H10" s="698"/>
      <c r="I10" s="698"/>
      <c r="J10" s="698"/>
    </row>
    <row r="11" spans="1:10" ht="19.5" customHeight="1" x14ac:dyDescent="0.25">
      <c r="A11" s="699">
        <v>1</v>
      </c>
      <c r="B11" s="700" t="str">
        <f>A7</f>
        <v>Zelador</v>
      </c>
      <c r="C11" s="700"/>
      <c r="D11" s="29">
        <f>Dados!$D$9</f>
        <v>220</v>
      </c>
      <c r="E11" s="451">
        <f>Dados!$E$9</f>
        <v>2441.1</v>
      </c>
      <c r="F11" s="452">
        <f>ROUND(E11/220*D11,2)</f>
        <v>2441.1</v>
      </c>
      <c r="G11" s="452">
        <f>F11</f>
        <v>2441.1</v>
      </c>
      <c r="H11" s="452"/>
      <c r="I11" s="452"/>
      <c r="J11" s="453"/>
    </row>
    <row r="12" spans="1:10" ht="19.5" customHeight="1" x14ac:dyDescent="0.25">
      <c r="A12" s="699"/>
      <c r="B12" s="700" t="s">
        <v>613</v>
      </c>
      <c r="C12" s="700"/>
      <c r="D12" s="495">
        <f>Dados!G8</f>
        <v>0</v>
      </c>
      <c r="E12" s="451">
        <f>Dados!$G$27</f>
        <v>1518</v>
      </c>
      <c r="F12" s="452">
        <f>D12*E12</f>
        <v>0</v>
      </c>
      <c r="G12" s="452">
        <f>F12</f>
        <v>0</v>
      </c>
      <c r="H12" s="452"/>
      <c r="I12" s="452"/>
      <c r="J12" s="453">
        <f>F12</f>
        <v>0</v>
      </c>
    </row>
    <row r="13" spans="1:10" ht="30.75" customHeight="1" x14ac:dyDescent="0.25">
      <c r="A13" s="699"/>
      <c r="B13" s="455" t="s">
        <v>614</v>
      </c>
      <c r="C13" s="456">
        <f>Dados!$I$9</f>
        <v>0</v>
      </c>
      <c r="D13" s="456">
        <f>Dados!$J$9</f>
        <v>0</v>
      </c>
      <c r="E13" s="457">
        <f>Dados!$K$9</f>
        <v>0</v>
      </c>
      <c r="F13" s="458">
        <f>ROUND((E13*D13*C13),2)</f>
        <v>0</v>
      </c>
      <c r="G13" s="458">
        <f>F13</f>
        <v>0</v>
      </c>
      <c r="H13" s="458"/>
      <c r="I13" s="458"/>
      <c r="J13" s="459"/>
    </row>
    <row r="14" spans="1:10" ht="19.5" customHeight="1" x14ac:dyDescent="0.25">
      <c r="A14" s="699"/>
      <c r="B14" s="701" t="s">
        <v>615</v>
      </c>
      <c r="C14" s="701"/>
      <c r="D14" s="701"/>
      <c r="E14" s="701"/>
      <c r="F14" s="460">
        <f>SUM(F11:F13)</f>
        <v>2441.1</v>
      </c>
      <c r="G14" s="460">
        <f>SUM(G11:G13)</f>
        <v>2441.1</v>
      </c>
      <c r="H14" s="460">
        <f>SUM(H11:H13)</f>
        <v>0</v>
      </c>
      <c r="I14" s="460">
        <f>SUM(I11:I13)</f>
        <v>0</v>
      </c>
      <c r="J14" s="461">
        <f>SUM(J11:J13)</f>
        <v>0</v>
      </c>
    </row>
    <row r="15" spans="1:10" ht="19.5" customHeight="1" x14ac:dyDescent="0.25">
      <c r="A15" s="699"/>
      <c r="B15" s="702" t="s">
        <v>616</v>
      </c>
      <c r="C15" s="702"/>
      <c r="D15" s="702"/>
      <c r="E15" s="462">
        <f>Encargos!$C$57</f>
        <v>0.76400000000000001</v>
      </c>
      <c r="F15" s="452">
        <f>ROUND((E15*F14),2)</f>
        <v>1865</v>
      </c>
      <c r="G15" s="452">
        <f>F15</f>
        <v>1865</v>
      </c>
      <c r="H15" s="452"/>
      <c r="I15" s="452"/>
      <c r="J15" s="453">
        <f>ROUND((E15*J14),2)</f>
        <v>0</v>
      </c>
    </row>
    <row r="16" spans="1:10" ht="19.5" customHeight="1" x14ac:dyDescent="0.25">
      <c r="A16" s="693" t="s">
        <v>617</v>
      </c>
      <c r="B16" s="693"/>
      <c r="C16" s="693"/>
      <c r="D16" s="693"/>
      <c r="E16" s="693"/>
      <c r="F16" s="463">
        <f>SUM(F14:F15)</f>
        <v>4306.1000000000004</v>
      </c>
      <c r="G16" s="463">
        <f>SUM(G14:G15)</f>
        <v>4306.1000000000004</v>
      </c>
      <c r="H16" s="463">
        <f>SUM(H14:H15)</f>
        <v>0</v>
      </c>
      <c r="I16" s="463">
        <f>SUM(I14:I15)</f>
        <v>0</v>
      </c>
      <c r="J16" s="464">
        <f>SUM(J14:J15)</f>
        <v>0</v>
      </c>
    </row>
    <row r="17" spans="1:12" ht="19.5" customHeight="1" x14ac:dyDescent="0.25">
      <c r="A17" s="694" t="s">
        <v>618</v>
      </c>
      <c r="B17" s="694"/>
      <c r="C17" s="694"/>
      <c r="D17" s="694"/>
      <c r="E17" s="694"/>
      <c r="F17" s="694"/>
      <c r="G17" s="694"/>
      <c r="H17" s="694"/>
      <c r="I17" s="694"/>
      <c r="J17" s="694"/>
    </row>
    <row r="18" spans="1:12" ht="19.5" customHeight="1" x14ac:dyDescent="0.25">
      <c r="A18" s="689" t="s">
        <v>619</v>
      </c>
      <c r="B18" s="689"/>
      <c r="C18" s="39" t="s">
        <v>501</v>
      </c>
      <c r="D18" s="695" t="s">
        <v>639</v>
      </c>
      <c r="E18" s="695"/>
      <c r="F18" s="696" t="s">
        <v>502</v>
      </c>
      <c r="G18" s="696"/>
      <c r="H18" s="696"/>
      <c r="I18" s="696"/>
      <c r="J18" s="696"/>
    </row>
    <row r="19" spans="1:12" ht="19.5" customHeight="1" x14ac:dyDescent="0.25">
      <c r="A19" s="680" t="s">
        <v>621</v>
      </c>
      <c r="B19" s="680"/>
      <c r="C19" s="467"/>
      <c r="D19" s="467"/>
      <c r="E19" s="467"/>
      <c r="F19" s="452">
        <f>Dados!$N$9</f>
        <v>58.92</v>
      </c>
      <c r="G19" s="452">
        <f t="shared" ref="G19:G24" si="0">F19</f>
        <v>58.92</v>
      </c>
      <c r="H19" s="452"/>
      <c r="I19" s="452"/>
      <c r="J19" s="453"/>
    </row>
    <row r="20" spans="1:12" ht="19.5" customHeight="1" x14ac:dyDescent="0.25">
      <c r="A20" s="680" t="s">
        <v>622</v>
      </c>
      <c r="B20" s="680"/>
      <c r="C20" s="467"/>
      <c r="D20" s="467"/>
      <c r="E20" s="467"/>
      <c r="F20" s="452">
        <f>Dados!$G$30</f>
        <v>5.27</v>
      </c>
      <c r="G20" s="452">
        <f t="shared" si="0"/>
        <v>5.27</v>
      </c>
      <c r="H20" s="452"/>
      <c r="I20" s="452"/>
      <c r="J20" s="453"/>
    </row>
    <row r="21" spans="1:12" ht="23.25" customHeight="1" x14ac:dyDescent="0.25">
      <c r="A21" s="692" t="s">
        <v>220</v>
      </c>
      <c r="B21" s="692"/>
      <c r="C21" s="467"/>
      <c r="D21" s="467"/>
      <c r="E21" s="467"/>
      <c r="F21" s="452">
        <f>Dados!G31</f>
        <v>0</v>
      </c>
      <c r="G21" s="452">
        <f t="shared" si="0"/>
        <v>0</v>
      </c>
      <c r="H21" s="452"/>
      <c r="I21" s="452"/>
      <c r="J21" s="453"/>
    </row>
    <row r="22" spans="1:12" ht="19.5" customHeight="1" x14ac:dyDescent="0.25">
      <c r="A22" s="680" t="s">
        <v>221</v>
      </c>
      <c r="B22" s="680"/>
      <c r="C22" s="468">
        <f>Dados!$G$34</f>
        <v>22</v>
      </c>
      <c r="D22" s="468">
        <f>Dados!$G$33</f>
        <v>2</v>
      </c>
      <c r="E22" s="467">
        <f>Dados!$G$32</f>
        <v>6</v>
      </c>
      <c r="F22" s="452">
        <f>IF(ROUND((E22*D22*C22)-(F11*Dados!$G$35),2)&lt;0,0,ROUND((E22*D22*C22)-(F11*Dados!$G$35),2))</f>
        <v>117.53</v>
      </c>
      <c r="G22" s="452">
        <f t="shared" si="0"/>
        <v>117.53</v>
      </c>
      <c r="H22" s="452"/>
      <c r="I22" s="452">
        <f>F22</f>
        <v>117.53</v>
      </c>
      <c r="J22" s="453"/>
    </row>
    <row r="23" spans="1:12" ht="19.5" customHeight="1" x14ac:dyDescent="0.25">
      <c r="A23" s="680" t="s">
        <v>230</v>
      </c>
      <c r="B23" s="680"/>
      <c r="C23" s="468">
        <f>Dados!G37</f>
        <v>22</v>
      </c>
      <c r="D23" s="469">
        <f>Dados!G38</f>
        <v>0.2</v>
      </c>
      <c r="E23" s="467">
        <f>Dados!$G$36</f>
        <v>29</v>
      </c>
      <c r="F23" s="263">
        <f>ROUND((IF(D11&gt;150,((C23*E23)-(C23*(D23*E23))),0)),2)</f>
        <v>510.4</v>
      </c>
      <c r="G23" s="452">
        <f t="shared" si="0"/>
        <v>510.4</v>
      </c>
      <c r="H23" s="452">
        <f>$F$23</f>
        <v>510.4</v>
      </c>
      <c r="I23" s="263"/>
      <c r="J23" s="453"/>
    </row>
    <row r="24" spans="1:12" ht="19.5" customHeight="1" x14ac:dyDescent="0.25">
      <c r="A24" s="680" t="s">
        <v>178</v>
      </c>
      <c r="B24" s="680"/>
      <c r="C24" s="468"/>
      <c r="D24" s="467"/>
      <c r="E24" s="467"/>
      <c r="F24" s="452">
        <f>Dados!Q9</f>
        <v>45.363333333333337</v>
      </c>
      <c r="G24" s="452">
        <f t="shared" si="0"/>
        <v>45.363333333333337</v>
      </c>
      <c r="H24" s="452"/>
      <c r="I24" s="452"/>
      <c r="J24" s="452"/>
      <c r="L24" s="56"/>
    </row>
    <row r="25" spans="1:12" x14ac:dyDescent="0.25">
      <c r="A25" s="680" t="s">
        <v>623</v>
      </c>
      <c r="B25" s="680"/>
      <c r="C25" s="468"/>
      <c r="D25" s="467"/>
      <c r="E25" s="467"/>
      <c r="F25" s="452">
        <v>0</v>
      </c>
      <c r="G25" s="496"/>
      <c r="H25" s="496"/>
      <c r="I25" s="496"/>
      <c r="J25" s="496"/>
    </row>
    <row r="26" spans="1:12" ht="19.5" customHeight="1" x14ac:dyDescent="0.25">
      <c r="A26" s="466" t="s">
        <v>624</v>
      </c>
      <c r="B26" s="470"/>
      <c r="C26" s="468"/>
      <c r="D26" s="467"/>
      <c r="E26" s="467"/>
      <c r="F26" s="452"/>
      <c r="G26" s="452"/>
      <c r="H26" s="452"/>
      <c r="I26" s="452"/>
      <c r="J26" s="452"/>
    </row>
    <row r="27" spans="1:12" ht="19.5" customHeight="1" x14ac:dyDescent="0.25">
      <c r="A27" s="691" t="s">
        <v>625</v>
      </c>
      <c r="B27" s="691"/>
      <c r="C27" s="471"/>
      <c r="D27" s="472"/>
      <c r="E27" s="472"/>
      <c r="F27" s="452">
        <f>Dados!R9</f>
        <v>25.64</v>
      </c>
      <c r="G27" s="452">
        <f>F27</f>
        <v>25.64</v>
      </c>
      <c r="H27" s="452"/>
      <c r="I27" s="452"/>
      <c r="J27" s="452"/>
    </row>
    <row r="28" spans="1:12" ht="19.5" customHeight="1" x14ac:dyDescent="0.25">
      <c r="A28" s="680" t="str">
        <f>Dados!$B$39</f>
        <v>Outros (inserir somente com a justificativa legal)</v>
      </c>
      <c r="B28" s="680"/>
      <c r="C28" s="468"/>
      <c r="D28" s="468"/>
      <c r="E28" s="467"/>
      <c r="F28" s="263">
        <f>Dados!$G$39</f>
        <v>0</v>
      </c>
      <c r="G28" s="452"/>
      <c r="H28" s="452"/>
      <c r="I28" s="263"/>
      <c r="J28" s="452"/>
    </row>
    <row r="29" spans="1:12" ht="19.5" customHeight="1" x14ac:dyDescent="0.25">
      <c r="A29" s="680" t="str">
        <f>Dados!$B$40</f>
        <v>Outros (inserir somente com a justificativa legal)</v>
      </c>
      <c r="B29" s="680"/>
      <c r="C29" s="468"/>
      <c r="D29" s="468"/>
      <c r="E29" s="467"/>
      <c r="F29" s="263">
        <f>Dados!$G$40</f>
        <v>0</v>
      </c>
      <c r="G29" s="452"/>
      <c r="H29" s="452"/>
      <c r="I29" s="263"/>
      <c r="J29" s="453"/>
    </row>
    <row r="30" spans="1:12" ht="19.5" customHeight="1" x14ac:dyDescent="0.25">
      <c r="A30" s="687" t="s">
        <v>626</v>
      </c>
      <c r="B30" s="687"/>
      <c r="C30" s="687"/>
      <c r="D30" s="687"/>
      <c r="E30" s="687"/>
      <c r="F30" s="463">
        <f>SUM(F19:F29)</f>
        <v>763.12333333333333</v>
      </c>
      <c r="G30" s="463">
        <f>SUM(G19:G29)</f>
        <v>763.12333333333333</v>
      </c>
      <c r="H30" s="463">
        <f>SUM(H19:H29)</f>
        <v>510.4</v>
      </c>
      <c r="I30" s="463">
        <f>SUM(I19:I29)</f>
        <v>117.53</v>
      </c>
      <c r="J30" s="464">
        <f>SUM(J19:J29)</f>
        <v>0</v>
      </c>
    </row>
    <row r="31" spans="1:12" ht="19.5" customHeight="1" x14ac:dyDescent="0.25">
      <c r="A31" s="687" t="s">
        <v>627</v>
      </c>
      <c r="B31" s="687"/>
      <c r="C31" s="687"/>
      <c r="D31" s="687"/>
      <c r="E31" s="687"/>
      <c r="F31" s="463">
        <f>F16+F30</f>
        <v>5069.2233333333334</v>
      </c>
      <c r="G31" s="463">
        <f>G16+G30</f>
        <v>5069.2233333333334</v>
      </c>
      <c r="H31" s="463">
        <f>H16+H30</f>
        <v>510.4</v>
      </c>
      <c r="I31" s="463">
        <f>I16+I30</f>
        <v>117.53</v>
      </c>
      <c r="J31" s="464">
        <f>J16+J30</f>
        <v>0</v>
      </c>
    </row>
    <row r="32" spans="1:12" ht="19.5" customHeight="1" x14ac:dyDescent="0.25">
      <c r="A32" s="688" t="s">
        <v>628</v>
      </c>
      <c r="B32" s="688"/>
      <c r="C32" s="688"/>
      <c r="D32" s="688"/>
      <c r="E32" s="688"/>
      <c r="F32" s="688"/>
      <c r="G32" s="688"/>
      <c r="H32" s="688"/>
      <c r="I32" s="688"/>
      <c r="J32" s="688"/>
    </row>
    <row r="33" spans="1:12" ht="19.5" customHeight="1" x14ac:dyDescent="0.25">
      <c r="A33" s="689" t="s">
        <v>629</v>
      </c>
      <c r="B33" s="689"/>
      <c r="C33" s="689"/>
      <c r="D33" s="80" t="s">
        <v>630</v>
      </c>
      <c r="E33" s="690" t="s">
        <v>502</v>
      </c>
      <c r="F33" s="690"/>
      <c r="G33" s="690"/>
      <c r="H33" s="690"/>
      <c r="I33" s="690"/>
      <c r="J33" s="690"/>
    </row>
    <row r="34" spans="1:12" ht="19.5" customHeight="1" x14ac:dyDescent="0.25">
      <c r="A34" s="473" t="s">
        <v>631</v>
      </c>
      <c r="B34" s="474"/>
      <c r="C34" s="474"/>
      <c r="D34" s="454">
        <f>Dados!$G$43</f>
        <v>0.03</v>
      </c>
      <c r="E34" s="475"/>
      <c r="F34" s="452">
        <f>ROUND((F31*$D$34),2)</f>
        <v>152.08000000000001</v>
      </c>
      <c r="G34" s="452">
        <f>ROUND((G31*$D$34),2)</f>
        <v>152.08000000000001</v>
      </c>
      <c r="H34" s="452">
        <f>ROUND((H31*$D$34),2)</f>
        <v>15.31</v>
      </c>
      <c r="I34" s="452">
        <f>ROUND((I31*$D$34),2)</f>
        <v>3.53</v>
      </c>
      <c r="J34" s="453">
        <f>ROUND((J31*$D$34),2)</f>
        <v>0</v>
      </c>
    </row>
    <row r="35" spans="1:12" ht="19.5" customHeight="1" x14ac:dyDescent="0.25">
      <c r="A35" s="684" t="s">
        <v>632</v>
      </c>
      <c r="B35" s="684"/>
      <c r="C35" s="684"/>
      <c r="D35" s="454"/>
      <c r="E35" s="475"/>
      <c r="F35" s="452">
        <f>F31+F34</f>
        <v>5221.3033333333333</v>
      </c>
      <c r="G35" s="452">
        <f>G31+G34</f>
        <v>5221.3033333333333</v>
      </c>
      <c r="H35" s="452">
        <f>H31+H34</f>
        <v>525.70999999999992</v>
      </c>
      <c r="I35" s="452">
        <f>I31+I34</f>
        <v>121.06</v>
      </c>
      <c r="J35" s="453">
        <f>J31+J34</f>
        <v>0</v>
      </c>
    </row>
    <row r="36" spans="1:12" ht="19.5" customHeight="1" x14ac:dyDescent="0.25">
      <c r="A36" s="476" t="s">
        <v>238</v>
      </c>
      <c r="B36" s="477"/>
      <c r="C36" s="477"/>
      <c r="D36" s="478">
        <f>Dados!$G$44</f>
        <v>6.7900000000000002E-2</v>
      </c>
      <c r="E36" s="479"/>
      <c r="F36" s="458">
        <f>ROUND((F35*$D$36),2)</f>
        <v>354.53</v>
      </c>
      <c r="G36" s="458">
        <f>ROUND((G35*$D$36),2)</f>
        <v>354.53</v>
      </c>
      <c r="H36" s="458">
        <f>ROUND((H35*$D$36),2)</f>
        <v>35.700000000000003</v>
      </c>
      <c r="I36" s="458">
        <f>ROUND((I35*$D$36),2)</f>
        <v>8.2200000000000006</v>
      </c>
      <c r="J36" s="459">
        <f>ROUND((J35*$D$36),2)</f>
        <v>0</v>
      </c>
    </row>
    <row r="37" spans="1:12" ht="19.5" customHeight="1" x14ac:dyDescent="0.25">
      <c r="A37" s="480" t="s">
        <v>633</v>
      </c>
      <c r="B37" s="481"/>
      <c r="C37" s="481"/>
      <c r="D37" s="482">
        <f>SUM(D34:D36)</f>
        <v>9.7900000000000001E-2</v>
      </c>
      <c r="E37" s="483"/>
      <c r="F37" s="463">
        <f>F34+F36</f>
        <v>506.61</v>
      </c>
      <c r="G37" s="463">
        <f>G34+G36</f>
        <v>506.61</v>
      </c>
      <c r="H37" s="463">
        <f>H34+H36</f>
        <v>51.010000000000005</v>
      </c>
      <c r="I37" s="463">
        <f>I34+I36</f>
        <v>11.75</v>
      </c>
      <c r="J37" s="464">
        <f>J34+J36</f>
        <v>0</v>
      </c>
    </row>
    <row r="38" spans="1:12" ht="19.5" customHeight="1" x14ac:dyDescent="0.25">
      <c r="A38" s="685" t="s">
        <v>634</v>
      </c>
      <c r="B38" s="685"/>
      <c r="C38" s="685"/>
      <c r="D38" s="685"/>
      <c r="E38" s="685"/>
      <c r="F38" s="484">
        <f>F31+F37</f>
        <v>5575.833333333333</v>
      </c>
      <c r="G38" s="484">
        <f>G31+G37</f>
        <v>5575.833333333333</v>
      </c>
      <c r="H38" s="484">
        <f>H31+H37</f>
        <v>561.41</v>
      </c>
      <c r="I38" s="484">
        <f>I31+I37</f>
        <v>129.28</v>
      </c>
      <c r="J38" s="485">
        <f>J31+J37</f>
        <v>0</v>
      </c>
    </row>
    <row r="39" spans="1:12" ht="19.5" customHeight="1" x14ac:dyDescent="0.25">
      <c r="A39" s="686" t="s">
        <v>635</v>
      </c>
      <c r="B39" s="686"/>
      <c r="C39" s="686"/>
      <c r="D39" s="686"/>
      <c r="E39" s="686"/>
      <c r="F39" s="686"/>
      <c r="G39" s="686"/>
      <c r="H39" s="686"/>
      <c r="I39" s="686"/>
      <c r="J39" s="686"/>
    </row>
    <row r="40" spans="1:12" ht="19.5" customHeight="1" x14ac:dyDescent="0.25">
      <c r="A40" s="680" t="s">
        <v>244</v>
      </c>
      <c r="B40" s="680"/>
      <c r="C40" s="680"/>
      <c r="D40" s="454">
        <f>Dados!G51</f>
        <v>7.5999999999999998E-2</v>
      </c>
      <c r="E40" s="452"/>
      <c r="F40" s="452">
        <f>ROUND(($F$46*D40),2)</f>
        <v>494.18</v>
      </c>
      <c r="G40" s="452">
        <f>ROUND((G46*$D$40),2)</f>
        <v>494.18</v>
      </c>
      <c r="H40" s="452">
        <f>ROUND((H46*$D$40),2)</f>
        <v>49.76</v>
      </c>
      <c r="I40" s="452">
        <f>ROUND((I46*$D$40),2)</f>
        <v>11.46</v>
      </c>
      <c r="J40" s="453">
        <f>ROUND((J46*$D$40),2)</f>
        <v>0</v>
      </c>
    </row>
    <row r="41" spans="1:12" ht="19.5" customHeight="1" x14ac:dyDescent="0.25">
      <c r="A41" s="680" t="s">
        <v>246</v>
      </c>
      <c r="B41" s="680"/>
      <c r="C41" s="680"/>
      <c r="D41" s="454">
        <f>Dados!G52</f>
        <v>1.6500000000000001E-2</v>
      </c>
      <c r="E41" s="452"/>
      <c r="F41" s="452">
        <f>ROUND((F46*$D$41),2)</f>
        <v>107.29</v>
      </c>
      <c r="G41" s="452">
        <f>ROUND((G46*$D$41),2)</f>
        <v>107.29</v>
      </c>
      <c r="H41" s="452">
        <f>ROUND((H46*$D$41),2)</f>
        <v>10.8</v>
      </c>
      <c r="I41" s="452">
        <f>ROUND((I46*$D$41),2)</f>
        <v>2.4900000000000002</v>
      </c>
      <c r="J41" s="453">
        <f>ROUND((J46*$D$41),2)</f>
        <v>0</v>
      </c>
    </row>
    <row r="42" spans="1:12" ht="19.5" customHeight="1" x14ac:dyDescent="0.25">
      <c r="A42" s="680" t="s">
        <v>247</v>
      </c>
      <c r="B42" s="680"/>
      <c r="C42" s="680"/>
      <c r="D42" s="454">
        <f>Dados!G53</f>
        <v>0.05</v>
      </c>
      <c r="E42" s="452"/>
      <c r="F42" s="452">
        <f>ROUND((F46*$D$42),2)</f>
        <v>325.12</v>
      </c>
      <c r="G42" s="452">
        <f>ROUND((G46*$D$42),2)</f>
        <v>325.12</v>
      </c>
      <c r="H42" s="452">
        <f>ROUND((H46*$D$42),2)</f>
        <v>32.74</v>
      </c>
      <c r="I42" s="452">
        <f>ROUND((I46*$D$42),2)</f>
        <v>7.54</v>
      </c>
      <c r="J42" s="453">
        <f>ROUND((J46*$D$42),2)</f>
        <v>0</v>
      </c>
    </row>
    <row r="43" spans="1:12" ht="19.5" customHeight="1" x14ac:dyDescent="0.25">
      <c r="A43" s="680" t="s">
        <v>233</v>
      </c>
      <c r="B43" s="680"/>
      <c r="C43" s="680"/>
      <c r="D43" s="454">
        <f>Dados!G54</f>
        <v>0</v>
      </c>
      <c r="E43" s="452"/>
      <c r="F43" s="452">
        <f>ROUND((F46*$D$43),2)</f>
        <v>0</v>
      </c>
      <c r="G43" s="452">
        <f>ROUND((G46*$D$43),2)</f>
        <v>0</v>
      </c>
      <c r="H43" s="452">
        <f>ROUND((H46*$D$43),2)</f>
        <v>0</v>
      </c>
      <c r="I43" s="452">
        <f>ROUND((I46*$D$43),2)</f>
        <v>0</v>
      </c>
      <c r="J43" s="453">
        <f>ROUND((J46*$D$43),2)</f>
        <v>0</v>
      </c>
    </row>
    <row r="44" spans="1:12" ht="19.5" customHeight="1" x14ac:dyDescent="0.25">
      <c r="A44" s="681" t="s">
        <v>636</v>
      </c>
      <c r="B44" s="681"/>
      <c r="C44" s="681"/>
      <c r="D44" s="486">
        <f>SUM(D40:D43)</f>
        <v>0.14250000000000002</v>
      </c>
      <c r="E44" s="487"/>
      <c r="F44" s="488">
        <f>SUM(F40:F43)</f>
        <v>926.59</v>
      </c>
      <c r="G44" s="488">
        <f>SUM(G40:G43)</f>
        <v>926.59</v>
      </c>
      <c r="H44" s="488">
        <f>SUM(H40:H43)</f>
        <v>93.300000000000011</v>
      </c>
      <c r="I44" s="488">
        <f>SUM(I40:I43)</f>
        <v>21.490000000000002</v>
      </c>
      <c r="J44" s="489">
        <f>SUM(J40:J42)</f>
        <v>0</v>
      </c>
    </row>
    <row r="45" spans="1:12" ht="19.5" customHeight="1" x14ac:dyDescent="0.25">
      <c r="A45" s="682" t="str">
        <f>CONCATENATE("Custo Mensal - ",A7)</f>
        <v>Custo Mensal - Zelador</v>
      </c>
      <c r="B45" s="682"/>
      <c r="C45" s="682"/>
      <c r="D45" s="682"/>
      <c r="E45" s="682"/>
      <c r="F45" s="490">
        <f>ROUND(F38/(1-D44),2)</f>
        <v>6502.43</v>
      </c>
      <c r="G45" s="490">
        <f>ROUND(G38/(1-D44),2)</f>
        <v>6502.43</v>
      </c>
      <c r="H45" s="490">
        <f>ROUND(H38/(1-D44),2)</f>
        <v>654.71</v>
      </c>
      <c r="I45" s="490">
        <f>ROUND(I38/(1-D44),2)</f>
        <v>150.76</v>
      </c>
      <c r="J45" s="491">
        <f>ROUND(J38/(1-D44),2)</f>
        <v>0</v>
      </c>
    </row>
    <row r="46" spans="1:12" ht="19.5" customHeight="1" x14ac:dyDescent="0.25">
      <c r="A46" s="683" t="str">
        <f>CONCATENATE("Valor do Custo Mensal - ",A7)</f>
        <v>Valor do Custo Mensal - Zelador</v>
      </c>
      <c r="B46" s="683"/>
      <c r="C46" s="683"/>
      <c r="D46" s="683"/>
      <c r="E46" s="683"/>
      <c r="F46" s="490">
        <f>F45</f>
        <v>6502.43</v>
      </c>
      <c r="G46" s="490">
        <f>G45</f>
        <v>6502.43</v>
      </c>
      <c r="H46" s="490">
        <f>H45</f>
        <v>654.71</v>
      </c>
      <c r="I46" s="490">
        <f>I45</f>
        <v>150.76</v>
      </c>
      <c r="J46" s="491">
        <f>J45</f>
        <v>0</v>
      </c>
      <c r="K46" s="492"/>
      <c r="L46" s="492"/>
    </row>
    <row r="47" spans="1:12" ht="27.75" customHeight="1" x14ac:dyDescent="0.25">
      <c r="A47" s="678" t="s">
        <v>637</v>
      </c>
      <c r="B47" s="678"/>
      <c r="C47" s="678"/>
      <c r="D47" s="678"/>
      <c r="E47" s="678"/>
      <c r="F47" s="493">
        <f>(F46/F14)</f>
        <v>2.6637294662242432</v>
      </c>
      <c r="G47" s="493">
        <f>(G46/G14)</f>
        <v>2.6637294662242432</v>
      </c>
      <c r="H47" s="679" t="s">
        <v>638</v>
      </c>
      <c r="I47" s="679"/>
      <c r="J47" s="494">
        <v>0</v>
      </c>
    </row>
    <row r="48" spans="1:12" ht="19.5" customHeight="1" x14ac:dyDescent="0.25"/>
  </sheetData>
  <sheetProtection algorithmName="SHA-512" hashValue="0sMc+ctiHmHguUWeIH2PrLw81dYlSGkVkKJPPMZ6IK6/CzP3FzkCCmt4Buc9tv1OzS7SjW7Z+SdtF+arRd4Djg==" saltValue="ykax+gtVnl/w0nH2aFHjTQ==" spinCount="100000" sheet="1" objects="1" scenarios="1"/>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7:B27"/>
    <mergeCell ref="A28:B28"/>
    <mergeCell ref="A29:B29"/>
    <mergeCell ref="A30:E30"/>
    <mergeCell ref="A31:E31"/>
    <mergeCell ref="A32:J32"/>
    <mergeCell ref="A33:C33"/>
    <mergeCell ref="E33:J33"/>
    <mergeCell ref="A35:C35"/>
    <mergeCell ref="A38:E38"/>
    <mergeCell ref="A39:J39"/>
    <mergeCell ref="A40:C40"/>
    <mergeCell ref="A41:C41"/>
    <mergeCell ref="A47:E47"/>
    <mergeCell ref="H47:I47"/>
    <mergeCell ref="A42:C42"/>
    <mergeCell ref="A43:C43"/>
    <mergeCell ref="A44:C44"/>
    <mergeCell ref="A45:E45"/>
    <mergeCell ref="A46:E46"/>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K48"/>
  <sheetViews>
    <sheetView showGridLines="0" view="pageBreakPreview" zoomScaleNormal="100" workbookViewId="0"/>
  </sheetViews>
  <sheetFormatPr defaultColWidth="8.7109375" defaultRowHeight="15" x14ac:dyDescent="0.25"/>
  <cols>
    <col min="1" max="1" width="10.5703125" style="68" customWidth="1"/>
    <col min="2" max="2" width="27.7109375" style="68" customWidth="1"/>
    <col min="3" max="3" width="14.42578125" style="68" customWidth="1"/>
    <col min="4" max="5" width="15" style="68" customWidth="1"/>
    <col min="6" max="6" width="16.7109375" style="437" customWidth="1"/>
    <col min="7" max="8" width="13.140625" style="437" customWidth="1"/>
    <col min="9" max="9" width="12.5703125" style="437" customWidth="1"/>
    <col min="10" max="10" width="13.85546875" style="437" customWidth="1"/>
    <col min="11" max="257" width="9.140625" style="68" customWidth="1"/>
    <col min="258" max="258" width="10.5703125" style="68" customWidth="1"/>
    <col min="259" max="259" width="27.7109375" style="68" customWidth="1"/>
    <col min="260" max="260" width="14.42578125" style="68" customWidth="1"/>
    <col min="261" max="262" width="15" style="68" customWidth="1"/>
    <col min="263" max="263" width="16.7109375" style="68" customWidth="1"/>
    <col min="264" max="264" width="13.140625" style="68" customWidth="1"/>
    <col min="265" max="266" width="12.5703125" style="68" customWidth="1"/>
    <col min="267" max="513" width="9.140625" style="68" customWidth="1"/>
    <col min="514" max="514" width="10.5703125" style="68" customWidth="1"/>
    <col min="515" max="515" width="27.7109375" style="68" customWidth="1"/>
    <col min="516" max="516" width="14.42578125" style="68" customWidth="1"/>
    <col min="517" max="518" width="15" style="68" customWidth="1"/>
    <col min="519" max="519" width="16.7109375" style="68" customWidth="1"/>
    <col min="520" max="520" width="13.140625" style="68" customWidth="1"/>
    <col min="521" max="522" width="12.5703125" style="68" customWidth="1"/>
    <col min="523" max="769" width="9.140625" style="68" customWidth="1"/>
    <col min="770" max="770" width="10.5703125" style="68" customWidth="1"/>
    <col min="771" max="771" width="27.7109375" style="68" customWidth="1"/>
    <col min="772" max="772" width="14.42578125" style="68" customWidth="1"/>
    <col min="773" max="774" width="15" style="68" customWidth="1"/>
    <col min="775" max="775" width="16.7109375" style="68" customWidth="1"/>
    <col min="776" max="776" width="13.140625" style="68" customWidth="1"/>
    <col min="777" max="778" width="12.5703125" style="68" customWidth="1"/>
    <col min="779" max="1025" width="9.140625" style="68" customWidth="1"/>
  </cols>
  <sheetData>
    <row r="1" spans="1:10" x14ac:dyDescent="0.25">
      <c r="A1" s="438"/>
      <c r="B1" s="98" t="str">
        <f>INSTRUÇÕES!B1</f>
        <v>Tribunal Regional Federal da 6ª Região</v>
      </c>
      <c r="C1" s="439"/>
      <c r="D1" s="439"/>
      <c r="E1" s="439"/>
      <c r="F1" s="440"/>
      <c r="G1" s="441"/>
      <c r="H1" s="441"/>
      <c r="I1" s="440"/>
      <c r="J1" s="442"/>
    </row>
    <row r="2" spans="1:10" x14ac:dyDescent="0.25">
      <c r="A2" s="443"/>
      <c r="B2" s="100" t="str">
        <f>INSTRUÇÕES!B2</f>
        <v>Seção Judiciária de Minas Gerais</v>
      </c>
      <c r="C2" s="56"/>
      <c r="D2" s="56"/>
      <c r="E2" s="56"/>
      <c r="F2" s="444"/>
      <c r="I2" s="444"/>
      <c r="J2" s="445"/>
    </row>
    <row r="3" spans="1:10" x14ac:dyDescent="0.25">
      <c r="A3" s="168"/>
      <c r="B3" s="446" t="str">
        <f>INSTRUÇÕES!B3</f>
        <v>Subseção Judiciária de Poços de Caldas</v>
      </c>
      <c r="C3" s="56"/>
      <c r="D3" s="56"/>
      <c r="E3" s="56"/>
      <c r="F3" s="444"/>
      <c r="I3" s="444"/>
      <c r="J3" s="445"/>
    </row>
    <row r="4" spans="1:10" ht="19.5" customHeight="1" x14ac:dyDescent="0.25">
      <c r="A4" s="656" t="s">
        <v>602</v>
      </c>
      <c r="B4" s="656"/>
      <c r="C4" s="656"/>
      <c r="D4" s="656"/>
      <c r="E4" s="656"/>
      <c r="F4" s="656"/>
      <c r="G4" s="656"/>
      <c r="H4" s="656"/>
      <c r="I4" s="656"/>
      <c r="J4" s="656"/>
    </row>
    <row r="5" spans="1:10" ht="19.5" customHeight="1" x14ac:dyDescent="0.25">
      <c r="A5" s="703" t="s">
        <v>290</v>
      </c>
      <c r="B5" s="703"/>
      <c r="C5" s="703"/>
      <c r="D5" s="703"/>
      <c r="E5" s="703"/>
      <c r="F5" s="703"/>
      <c r="G5" s="703"/>
      <c r="H5" s="703"/>
      <c r="I5" s="703"/>
      <c r="J5" s="703"/>
    </row>
    <row r="6" spans="1:10" s="3" customFormat="1" ht="36" customHeight="1" x14ac:dyDescent="0.25">
      <c r="A6" s="704" t="str">
        <f>Dados!A4</f>
        <v>Sindicato utilizado - SINSERTH x SINTAPPI. Vigência: 01/04/2025 à 31/03/2026. Sendo a data base da categoria 1 de abril. Com número de registro no MTE MG001973/2025.</v>
      </c>
      <c r="B6" s="704"/>
      <c r="C6" s="704"/>
      <c r="D6" s="704"/>
      <c r="E6" s="704"/>
      <c r="F6" s="704"/>
      <c r="G6" s="704"/>
      <c r="H6" s="704"/>
      <c r="I6" s="704"/>
      <c r="J6" s="704"/>
    </row>
    <row r="7" spans="1:10" ht="19.5" customHeight="1" x14ac:dyDescent="0.25">
      <c r="A7" s="705" t="str">
        <f>Dados!C10</f>
        <v>Auxiliar Administrativo</v>
      </c>
      <c r="B7" s="705"/>
      <c r="C7" s="705"/>
      <c r="D7" s="705"/>
      <c r="E7" s="705"/>
      <c r="F7" s="706" t="s">
        <v>603</v>
      </c>
      <c r="G7" s="706" t="s">
        <v>604</v>
      </c>
      <c r="H7" s="706" t="s">
        <v>605</v>
      </c>
      <c r="I7" s="706" t="s">
        <v>606</v>
      </c>
      <c r="J7" s="706" t="s">
        <v>607</v>
      </c>
    </row>
    <row r="8" spans="1:10" ht="19.5" customHeight="1" x14ac:dyDescent="0.25">
      <c r="A8" s="707" t="s">
        <v>640</v>
      </c>
      <c r="B8" s="707"/>
      <c r="C8" s="707"/>
      <c r="D8" s="707"/>
      <c r="E8" s="447" t="s">
        <v>498</v>
      </c>
      <c r="F8" s="706"/>
      <c r="G8" s="706"/>
      <c r="H8" s="706"/>
      <c r="I8" s="706"/>
      <c r="J8" s="706"/>
    </row>
    <row r="9" spans="1:10" ht="19.5" customHeight="1" x14ac:dyDescent="0.25">
      <c r="A9" s="688" t="s">
        <v>609</v>
      </c>
      <c r="B9" s="688"/>
      <c r="C9" s="688"/>
      <c r="D9" s="688"/>
      <c r="E9" s="688"/>
      <c r="F9" s="688"/>
      <c r="G9" s="688"/>
      <c r="H9" s="688"/>
      <c r="I9" s="688"/>
      <c r="J9" s="688"/>
    </row>
    <row r="10" spans="1:10" ht="24" customHeight="1" x14ac:dyDescent="0.25">
      <c r="A10" s="173" t="s">
        <v>499</v>
      </c>
      <c r="B10" s="697" t="s">
        <v>610</v>
      </c>
      <c r="C10" s="697"/>
      <c r="D10" s="448" t="s">
        <v>611</v>
      </c>
      <c r="E10" s="449" t="s">
        <v>612</v>
      </c>
      <c r="F10" s="698" t="s">
        <v>502</v>
      </c>
      <c r="G10" s="698"/>
      <c r="H10" s="698"/>
      <c r="I10" s="698"/>
      <c r="J10" s="698"/>
    </row>
    <row r="11" spans="1:10" ht="19.5" customHeight="1" x14ac:dyDescent="0.25">
      <c r="A11" s="699">
        <v>1</v>
      </c>
      <c r="B11" s="700" t="str">
        <f>A7</f>
        <v>Auxiliar Administrativo</v>
      </c>
      <c r="C11" s="700"/>
      <c r="D11" s="29">
        <f>Dados!$D$10</f>
        <v>150</v>
      </c>
      <c r="E11" s="451">
        <f>Dados!$E$10</f>
        <v>2048</v>
      </c>
      <c r="F11" s="452">
        <f>ROUND(E11/220*D11,2)</f>
        <v>1396.36</v>
      </c>
      <c r="G11" s="452">
        <f>F11</f>
        <v>1396.36</v>
      </c>
      <c r="H11" s="452"/>
      <c r="I11" s="452"/>
      <c r="J11" s="453"/>
    </row>
    <row r="12" spans="1:10" ht="19.5" customHeight="1" x14ac:dyDescent="0.25">
      <c r="A12" s="699"/>
      <c r="B12" s="700" t="s">
        <v>613</v>
      </c>
      <c r="C12" s="700"/>
      <c r="D12" s="495">
        <f>Dados!G8</f>
        <v>0</v>
      </c>
      <c r="E12" s="451">
        <f>Dados!$G$27</f>
        <v>1518</v>
      </c>
      <c r="F12" s="452">
        <f>D12*E12</f>
        <v>0</v>
      </c>
      <c r="G12" s="452">
        <f>F12</f>
        <v>0</v>
      </c>
      <c r="H12" s="452"/>
      <c r="I12" s="452"/>
      <c r="J12" s="453">
        <f>F12</f>
        <v>0</v>
      </c>
    </row>
    <row r="13" spans="1:10" ht="21.75" customHeight="1" x14ac:dyDescent="0.25">
      <c r="A13" s="699"/>
      <c r="B13" s="455" t="s">
        <v>614</v>
      </c>
      <c r="C13" s="456">
        <f>Dados!$I$10</f>
        <v>0</v>
      </c>
      <c r="D13" s="456">
        <f>Dados!$J$10</f>
        <v>0</v>
      </c>
      <c r="E13" s="457">
        <f>Dados!$K$10</f>
        <v>0</v>
      </c>
      <c r="F13" s="458">
        <f>ROUND((E13*D13*C13),2)</f>
        <v>0</v>
      </c>
      <c r="G13" s="458">
        <f>F13</f>
        <v>0</v>
      </c>
      <c r="H13" s="458"/>
      <c r="I13" s="458"/>
      <c r="J13" s="459"/>
    </row>
    <row r="14" spans="1:10" ht="19.5" customHeight="1" x14ac:dyDescent="0.25">
      <c r="A14" s="699"/>
      <c r="B14" s="701" t="s">
        <v>615</v>
      </c>
      <c r="C14" s="701"/>
      <c r="D14" s="701"/>
      <c r="E14" s="701"/>
      <c r="F14" s="460">
        <f>SUM(F11:F13)</f>
        <v>1396.36</v>
      </c>
      <c r="G14" s="460">
        <f>SUM(G11:G13)</f>
        <v>1396.36</v>
      </c>
      <c r="H14" s="460">
        <f>SUM(H11:H13)</f>
        <v>0</v>
      </c>
      <c r="I14" s="460">
        <f>SUM(I11:I13)</f>
        <v>0</v>
      </c>
      <c r="J14" s="461">
        <f>SUM(J11:J13)</f>
        <v>0</v>
      </c>
    </row>
    <row r="15" spans="1:10" ht="19.5" customHeight="1" x14ac:dyDescent="0.25">
      <c r="A15" s="699"/>
      <c r="B15" s="702" t="s">
        <v>616</v>
      </c>
      <c r="C15" s="702"/>
      <c r="D15" s="702"/>
      <c r="E15" s="462">
        <f>Encargos!$C$57</f>
        <v>0.76400000000000001</v>
      </c>
      <c r="F15" s="452">
        <f>ROUND((E15*F14),2)</f>
        <v>1066.82</v>
      </c>
      <c r="G15" s="452">
        <f>F15</f>
        <v>1066.82</v>
      </c>
      <c r="H15" s="452"/>
      <c r="I15" s="452"/>
      <c r="J15" s="453">
        <f>ROUND((E15*J14),2)</f>
        <v>0</v>
      </c>
    </row>
    <row r="16" spans="1:10" ht="19.5" customHeight="1" x14ac:dyDescent="0.25">
      <c r="A16" s="693" t="s">
        <v>617</v>
      </c>
      <c r="B16" s="693"/>
      <c r="C16" s="693"/>
      <c r="D16" s="693"/>
      <c r="E16" s="693"/>
      <c r="F16" s="463">
        <f>SUM(F14:F15)</f>
        <v>2463.1799999999998</v>
      </c>
      <c r="G16" s="463">
        <f>SUM(G14:G15)</f>
        <v>2463.1799999999998</v>
      </c>
      <c r="H16" s="463">
        <f>SUM(H14:H15)</f>
        <v>0</v>
      </c>
      <c r="I16" s="463">
        <f>SUM(I14:I15)</f>
        <v>0</v>
      </c>
      <c r="J16" s="464">
        <f>SUM(J14:J15)</f>
        <v>0</v>
      </c>
    </row>
    <row r="17" spans="1:12" ht="19.5" customHeight="1" x14ac:dyDescent="0.25">
      <c r="A17" s="694" t="s">
        <v>618</v>
      </c>
      <c r="B17" s="694"/>
      <c r="C17" s="694"/>
      <c r="D17" s="694"/>
      <c r="E17" s="694"/>
      <c r="F17" s="694"/>
      <c r="G17" s="694"/>
      <c r="H17" s="694"/>
      <c r="I17" s="694"/>
      <c r="J17" s="694"/>
    </row>
    <row r="18" spans="1:12" ht="19.5" customHeight="1" x14ac:dyDescent="0.25">
      <c r="A18" s="689" t="s">
        <v>619</v>
      </c>
      <c r="B18" s="689"/>
      <c r="C18" s="39" t="s">
        <v>501</v>
      </c>
      <c r="D18" s="695" t="s">
        <v>639</v>
      </c>
      <c r="E18" s="695"/>
      <c r="F18" s="696" t="s">
        <v>502</v>
      </c>
      <c r="G18" s="696"/>
      <c r="H18" s="696"/>
      <c r="I18" s="696"/>
      <c r="J18" s="696"/>
    </row>
    <row r="19" spans="1:12" ht="19.5" customHeight="1" x14ac:dyDescent="0.25">
      <c r="A19" s="680" t="s">
        <v>621</v>
      </c>
      <c r="B19" s="680"/>
      <c r="C19" s="467"/>
      <c r="D19" s="467"/>
      <c r="E19" s="467"/>
      <c r="F19" s="452">
        <f>Dados!$N$10</f>
        <v>58.88</v>
      </c>
      <c r="G19" s="452">
        <f>F19</f>
        <v>58.88</v>
      </c>
      <c r="H19" s="452"/>
      <c r="I19" s="452"/>
      <c r="J19" s="453"/>
    </row>
    <row r="20" spans="1:12" ht="19.5" customHeight="1" x14ac:dyDescent="0.25">
      <c r="A20" s="680" t="s">
        <v>622</v>
      </c>
      <c r="B20" s="680"/>
      <c r="C20" s="467"/>
      <c r="D20" s="467"/>
      <c r="E20" s="467"/>
      <c r="F20" s="452">
        <f>Dados!$G$30</f>
        <v>5.27</v>
      </c>
      <c r="G20" s="452">
        <f>F20</f>
        <v>5.27</v>
      </c>
      <c r="H20" s="452"/>
      <c r="I20" s="452"/>
      <c r="J20" s="453"/>
    </row>
    <row r="21" spans="1:12" ht="23.25" customHeight="1" x14ac:dyDescent="0.25">
      <c r="A21" s="692" t="s">
        <v>220</v>
      </c>
      <c r="B21" s="692"/>
      <c r="C21" s="467"/>
      <c r="D21" s="467"/>
      <c r="E21" s="467"/>
      <c r="F21" s="452">
        <f>Dados!G31</f>
        <v>0</v>
      </c>
      <c r="G21" s="452">
        <f>F21</f>
        <v>0</v>
      </c>
      <c r="H21" s="452"/>
      <c r="I21" s="452"/>
      <c r="J21" s="453"/>
    </row>
    <row r="22" spans="1:12" ht="19.5" customHeight="1" x14ac:dyDescent="0.25">
      <c r="A22" s="680" t="s">
        <v>221</v>
      </c>
      <c r="B22" s="680"/>
      <c r="C22" s="468">
        <f>Dados!$G$34</f>
        <v>22</v>
      </c>
      <c r="D22" s="468">
        <f>Dados!$G$33</f>
        <v>2</v>
      </c>
      <c r="E22" s="467">
        <f>Dados!$G$32</f>
        <v>6</v>
      </c>
      <c r="F22" s="452">
        <f>IF(ROUND((E22*D22*C22)-(F11*Dados!$G$35),2)&lt;0,0,ROUND((E22*D22*C22)-(F11*Dados!$G$35),2))</f>
        <v>180.22</v>
      </c>
      <c r="G22" s="452">
        <f>F22</f>
        <v>180.22</v>
      </c>
      <c r="H22" s="452"/>
      <c r="I22" s="452">
        <f>F22</f>
        <v>180.22</v>
      </c>
      <c r="J22" s="453"/>
    </row>
    <row r="23" spans="1:12" ht="19.5" customHeight="1" x14ac:dyDescent="0.25">
      <c r="A23" s="680" t="s">
        <v>230</v>
      </c>
      <c r="B23" s="680"/>
      <c r="C23" s="468">
        <f>Dados!G37</f>
        <v>22</v>
      </c>
      <c r="D23" s="469">
        <f>Dados!G38</f>
        <v>0.2</v>
      </c>
      <c r="E23" s="467">
        <f>Dados!$G$36</f>
        <v>29</v>
      </c>
      <c r="F23" s="263">
        <f>ROUND((IF(D11&gt;150,((C23*E23)-(C23*(D23*E23))),0)),2)</f>
        <v>0</v>
      </c>
      <c r="G23" s="452">
        <f>F23</f>
        <v>0</v>
      </c>
      <c r="H23" s="452">
        <f>$F$23</f>
        <v>0</v>
      </c>
      <c r="I23" s="263"/>
      <c r="J23" s="453"/>
    </row>
    <row r="24" spans="1:12" ht="19.5" customHeight="1" x14ac:dyDescent="0.25">
      <c r="A24" s="680" t="s">
        <v>178</v>
      </c>
      <c r="B24" s="680"/>
      <c r="C24" s="468"/>
      <c r="D24" s="467"/>
      <c r="E24" s="467"/>
      <c r="F24" s="452">
        <v>0</v>
      </c>
      <c r="G24" s="452"/>
      <c r="H24" s="452"/>
      <c r="I24" s="263"/>
      <c r="J24" s="453"/>
    </row>
    <row r="25" spans="1:12" ht="19.5" customHeight="1" x14ac:dyDescent="0.25">
      <c r="A25" s="680" t="s">
        <v>623</v>
      </c>
      <c r="B25" s="680"/>
      <c r="C25" s="468"/>
      <c r="D25" s="467"/>
      <c r="E25" s="467"/>
      <c r="F25" s="452"/>
      <c r="G25" s="452"/>
      <c r="H25" s="452"/>
      <c r="I25" s="452"/>
      <c r="J25" s="453"/>
      <c r="L25" s="56"/>
    </row>
    <row r="26" spans="1:12" ht="19.5" customHeight="1" x14ac:dyDescent="0.25">
      <c r="A26" s="466" t="s">
        <v>624</v>
      </c>
      <c r="B26" s="470"/>
      <c r="C26" s="468"/>
      <c r="D26" s="467"/>
      <c r="E26" s="467"/>
      <c r="F26" s="452"/>
      <c r="G26" s="452"/>
      <c r="H26" s="452"/>
      <c r="I26" s="452"/>
      <c r="J26" s="453"/>
    </row>
    <row r="27" spans="1:12" ht="19.5" customHeight="1" x14ac:dyDescent="0.25">
      <c r="A27" s="691" t="s">
        <v>625</v>
      </c>
      <c r="B27" s="691"/>
      <c r="C27" s="471"/>
      <c r="D27" s="472"/>
      <c r="E27" s="472"/>
      <c r="F27" s="458"/>
      <c r="G27" s="458"/>
      <c r="H27" s="458"/>
      <c r="I27" s="458"/>
      <c r="J27" s="459"/>
    </row>
    <row r="28" spans="1:12" ht="19.5" customHeight="1" x14ac:dyDescent="0.25">
      <c r="A28" s="680" t="str">
        <f>Dados!$B$39</f>
        <v>Outros (inserir somente com a justificativa legal)</v>
      </c>
      <c r="B28" s="680"/>
      <c r="C28" s="468"/>
      <c r="D28" s="468"/>
      <c r="E28" s="467"/>
      <c r="F28" s="263">
        <f>Dados!$G$39</f>
        <v>0</v>
      </c>
      <c r="G28" s="452"/>
      <c r="H28" s="452"/>
      <c r="I28" s="263"/>
      <c r="J28" s="453"/>
    </row>
    <row r="29" spans="1:12" ht="19.5" customHeight="1" x14ac:dyDescent="0.25">
      <c r="A29" s="680" t="str">
        <f>Dados!$B$40</f>
        <v>Outros (inserir somente com a justificativa legal)</v>
      </c>
      <c r="B29" s="680"/>
      <c r="C29" s="468"/>
      <c r="D29" s="468"/>
      <c r="E29" s="467"/>
      <c r="F29" s="263">
        <f>Dados!$G$40</f>
        <v>0</v>
      </c>
      <c r="G29" s="452"/>
      <c r="H29" s="452"/>
      <c r="I29" s="263"/>
      <c r="J29" s="453"/>
    </row>
    <row r="30" spans="1:12" ht="19.5" customHeight="1" x14ac:dyDescent="0.25">
      <c r="A30" s="687" t="s">
        <v>626</v>
      </c>
      <c r="B30" s="687"/>
      <c r="C30" s="687"/>
      <c r="D30" s="687"/>
      <c r="E30" s="687"/>
      <c r="F30" s="463">
        <f>SUM(F19:F29)</f>
        <v>244.37</v>
      </c>
      <c r="G30" s="463">
        <f>SUM(G19:G29)</f>
        <v>244.37</v>
      </c>
      <c r="H30" s="463">
        <f>SUM(H19:H29)</f>
        <v>0</v>
      </c>
      <c r="I30" s="463">
        <f>SUM(I19:I29)</f>
        <v>180.22</v>
      </c>
      <c r="J30" s="464">
        <f>SUM(J19:J29)</f>
        <v>0</v>
      </c>
    </row>
    <row r="31" spans="1:12" ht="19.5" customHeight="1" x14ac:dyDescent="0.25">
      <c r="A31" s="687" t="s">
        <v>627</v>
      </c>
      <c r="B31" s="687"/>
      <c r="C31" s="687"/>
      <c r="D31" s="687"/>
      <c r="E31" s="687"/>
      <c r="F31" s="463">
        <f>F16+F30</f>
        <v>2707.5499999999997</v>
      </c>
      <c r="G31" s="463">
        <f>G16+G30</f>
        <v>2707.5499999999997</v>
      </c>
      <c r="H31" s="463">
        <f>H16+H30</f>
        <v>0</v>
      </c>
      <c r="I31" s="463">
        <f>I16+I30</f>
        <v>180.22</v>
      </c>
      <c r="J31" s="464">
        <f>J16+J30</f>
        <v>0</v>
      </c>
    </row>
    <row r="32" spans="1:12" ht="19.5" customHeight="1" x14ac:dyDescent="0.25">
      <c r="A32" s="688" t="s">
        <v>628</v>
      </c>
      <c r="B32" s="688"/>
      <c r="C32" s="688"/>
      <c r="D32" s="688"/>
      <c r="E32" s="688"/>
      <c r="F32" s="688"/>
      <c r="G32" s="688"/>
      <c r="H32" s="688"/>
      <c r="I32" s="688"/>
      <c r="J32" s="688"/>
    </row>
    <row r="33" spans="1:12" ht="19.5" customHeight="1" x14ac:dyDescent="0.25">
      <c r="A33" s="689" t="s">
        <v>629</v>
      </c>
      <c r="B33" s="689"/>
      <c r="C33" s="689"/>
      <c r="D33" s="80" t="s">
        <v>630</v>
      </c>
      <c r="E33" s="690" t="s">
        <v>502</v>
      </c>
      <c r="F33" s="690"/>
      <c r="G33" s="690"/>
      <c r="H33" s="690"/>
      <c r="I33" s="690"/>
      <c r="J33" s="690"/>
    </row>
    <row r="34" spans="1:12" ht="19.5" customHeight="1" x14ac:dyDescent="0.25">
      <c r="A34" s="473" t="s">
        <v>631</v>
      </c>
      <c r="B34" s="474"/>
      <c r="C34" s="474"/>
      <c r="D34" s="454">
        <f>Dados!$G$43</f>
        <v>0.03</v>
      </c>
      <c r="E34" s="475"/>
      <c r="F34" s="452">
        <f>ROUND((F31*$D$34),2)</f>
        <v>81.23</v>
      </c>
      <c r="G34" s="452">
        <f>ROUND((G31*$D$34),2)</f>
        <v>81.23</v>
      </c>
      <c r="H34" s="452">
        <f>ROUND((H31*$D$34),2)</f>
        <v>0</v>
      </c>
      <c r="I34" s="452">
        <f>ROUND((I31*$D$34),2)</f>
        <v>5.41</v>
      </c>
      <c r="J34" s="453">
        <f>ROUND((J31*$D$34),2)</f>
        <v>0</v>
      </c>
    </row>
    <row r="35" spans="1:12" ht="19.5" customHeight="1" x14ac:dyDescent="0.25">
      <c r="A35" s="684" t="s">
        <v>632</v>
      </c>
      <c r="B35" s="684"/>
      <c r="C35" s="684"/>
      <c r="D35" s="454"/>
      <c r="E35" s="475"/>
      <c r="F35" s="452">
        <f>F31+F34</f>
        <v>2788.7799999999997</v>
      </c>
      <c r="G35" s="452">
        <f>G31+G34</f>
        <v>2788.7799999999997</v>
      </c>
      <c r="H35" s="452">
        <f>H31+H34</f>
        <v>0</v>
      </c>
      <c r="I35" s="452">
        <f>I31+I34</f>
        <v>185.63</v>
      </c>
      <c r="J35" s="453">
        <f>J31+J34</f>
        <v>0</v>
      </c>
    </row>
    <row r="36" spans="1:12" ht="19.5" customHeight="1" x14ac:dyDescent="0.25">
      <c r="A36" s="476" t="s">
        <v>238</v>
      </c>
      <c r="B36" s="477"/>
      <c r="C36" s="477"/>
      <c r="D36" s="478">
        <f>Dados!$G$44</f>
        <v>6.7900000000000002E-2</v>
      </c>
      <c r="E36" s="479"/>
      <c r="F36" s="458">
        <f>ROUND((F35*$D$36),2)</f>
        <v>189.36</v>
      </c>
      <c r="G36" s="458">
        <f>ROUND((G35*$D$36),2)</f>
        <v>189.36</v>
      </c>
      <c r="H36" s="458">
        <f>ROUND((H35*$D$36),2)</f>
        <v>0</v>
      </c>
      <c r="I36" s="458">
        <f>ROUND((I35*$D$36),2)</f>
        <v>12.6</v>
      </c>
      <c r="J36" s="459">
        <f>ROUND((J35*$D$36),2)</f>
        <v>0</v>
      </c>
    </row>
    <row r="37" spans="1:12" ht="19.5" customHeight="1" x14ac:dyDescent="0.25">
      <c r="A37" s="480" t="s">
        <v>633</v>
      </c>
      <c r="B37" s="481"/>
      <c r="C37" s="481"/>
      <c r="D37" s="482">
        <f>SUM(D34:D36)</f>
        <v>9.7900000000000001E-2</v>
      </c>
      <c r="E37" s="483"/>
      <c r="F37" s="463">
        <f>F34+F36</f>
        <v>270.59000000000003</v>
      </c>
      <c r="G37" s="463">
        <f>G34+G36</f>
        <v>270.59000000000003</v>
      </c>
      <c r="H37" s="463">
        <f>H34+H36</f>
        <v>0</v>
      </c>
      <c r="I37" s="463">
        <f>I34+I36</f>
        <v>18.009999999999998</v>
      </c>
      <c r="J37" s="464">
        <f>J34+J36</f>
        <v>0</v>
      </c>
    </row>
    <row r="38" spans="1:12" ht="19.5" customHeight="1" x14ac:dyDescent="0.25">
      <c r="A38" s="685" t="s">
        <v>634</v>
      </c>
      <c r="B38" s="685"/>
      <c r="C38" s="685"/>
      <c r="D38" s="685"/>
      <c r="E38" s="685"/>
      <c r="F38" s="484">
        <f>F31+F37</f>
        <v>2978.14</v>
      </c>
      <c r="G38" s="484">
        <f>G31+G37</f>
        <v>2978.14</v>
      </c>
      <c r="H38" s="484">
        <f>H31+H37</f>
        <v>0</v>
      </c>
      <c r="I38" s="484">
        <f>I31+I37</f>
        <v>198.23</v>
      </c>
      <c r="J38" s="485">
        <f>J31+J37</f>
        <v>0</v>
      </c>
    </row>
    <row r="39" spans="1:12" ht="19.5" customHeight="1" x14ac:dyDescent="0.25">
      <c r="A39" s="686" t="s">
        <v>635</v>
      </c>
      <c r="B39" s="686"/>
      <c r="C39" s="686"/>
      <c r="D39" s="686"/>
      <c r="E39" s="686"/>
      <c r="F39" s="686"/>
      <c r="G39" s="686"/>
      <c r="H39" s="686"/>
      <c r="I39" s="686"/>
      <c r="J39" s="686"/>
    </row>
    <row r="40" spans="1:12" ht="19.5" customHeight="1" x14ac:dyDescent="0.25">
      <c r="A40" s="680" t="s">
        <v>244</v>
      </c>
      <c r="B40" s="680"/>
      <c r="C40" s="680"/>
      <c r="D40" s="454">
        <f>Dados!G51</f>
        <v>7.5999999999999998E-2</v>
      </c>
      <c r="E40" s="452"/>
      <c r="F40" s="452">
        <f>ROUND(($F$46*D40),2)</f>
        <v>263.95</v>
      </c>
      <c r="G40" s="452">
        <f>ROUND((G46*$D$40),2)</f>
        <v>263.95</v>
      </c>
      <c r="H40" s="452">
        <f>ROUND((H46*$D$40),2)</f>
        <v>0</v>
      </c>
      <c r="I40" s="452">
        <f>ROUND((I46*$D$40),2)</f>
        <v>17.57</v>
      </c>
      <c r="J40" s="453">
        <f>ROUND((J46*$D$40),2)</f>
        <v>0</v>
      </c>
    </row>
    <row r="41" spans="1:12" ht="19.5" customHeight="1" x14ac:dyDescent="0.25">
      <c r="A41" s="680" t="s">
        <v>246</v>
      </c>
      <c r="B41" s="680"/>
      <c r="C41" s="680"/>
      <c r="D41" s="454">
        <f>Dados!G52</f>
        <v>1.6500000000000001E-2</v>
      </c>
      <c r="E41" s="452"/>
      <c r="F41" s="452">
        <f>ROUND((F46*$D$41),2)</f>
        <v>57.31</v>
      </c>
      <c r="G41" s="452">
        <f>ROUND((G46*$D$41),2)</f>
        <v>57.31</v>
      </c>
      <c r="H41" s="452">
        <f>ROUND((H46*$D$41),2)</f>
        <v>0</v>
      </c>
      <c r="I41" s="452">
        <f>ROUND((I46*$D$41),2)</f>
        <v>3.81</v>
      </c>
      <c r="J41" s="453">
        <f>ROUND((J46*$D$41),2)</f>
        <v>0</v>
      </c>
    </row>
    <row r="42" spans="1:12" ht="19.5" customHeight="1" x14ac:dyDescent="0.25">
      <c r="A42" s="680" t="s">
        <v>247</v>
      </c>
      <c r="B42" s="680"/>
      <c r="C42" s="680"/>
      <c r="D42" s="454">
        <f>Dados!G53</f>
        <v>0.05</v>
      </c>
      <c r="E42" s="452"/>
      <c r="F42" s="452">
        <f>ROUND((F46*$D$42),2)</f>
        <v>173.65</v>
      </c>
      <c r="G42" s="452">
        <f>ROUND((G46*$D$42),2)</f>
        <v>173.65</v>
      </c>
      <c r="H42" s="452">
        <f>ROUND((H46*$D$42),2)</f>
        <v>0</v>
      </c>
      <c r="I42" s="452">
        <f>ROUND((I46*$D$42),2)</f>
        <v>11.56</v>
      </c>
      <c r="J42" s="453">
        <f>ROUND((J46*$D$42),2)</f>
        <v>0</v>
      </c>
    </row>
    <row r="43" spans="1:12" ht="19.5" customHeight="1" x14ac:dyDescent="0.25">
      <c r="A43" s="680" t="s">
        <v>233</v>
      </c>
      <c r="B43" s="680"/>
      <c r="C43" s="680"/>
      <c r="D43" s="454">
        <f>Dados!G54</f>
        <v>0</v>
      </c>
      <c r="E43" s="452"/>
      <c r="F43" s="452">
        <f>ROUND((F46*$D$43),2)</f>
        <v>0</v>
      </c>
      <c r="G43" s="452">
        <f>ROUND((G46*$D$43),2)</f>
        <v>0</v>
      </c>
      <c r="H43" s="452">
        <f>ROUND((H46*$D$43),2)</f>
        <v>0</v>
      </c>
      <c r="I43" s="452">
        <f>ROUND((I46*$D$43),2)</f>
        <v>0</v>
      </c>
      <c r="J43" s="453">
        <f>ROUND((J46*$D$43),2)</f>
        <v>0</v>
      </c>
    </row>
    <row r="44" spans="1:12" ht="19.5" customHeight="1" x14ac:dyDescent="0.25">
      <c r="A44" s="681" t="s">
        <v>636</v>
      </c>
      <c r="B44" s="681"/>
      <c r="C44" s="681"/>
      <c r="D44" s="486">
        <f>SUM(D40:D43)</f>
        <v>0.14250000000000002</v>
      </c>
      <c r="E44" s="487"/>
      <c r="F44" s="488">
        <f>SUM(F40:F43)</f>
        <v>494.90999999999997</v>
      </c>
      <c r="G44" s="488">
        <f>SUM(G40:G43)</f>
        <v>494.90999999999997</v>
      </c>
      <c r="H44" s="488">
        <f>SUM(H40:H43)</f>
        <v>0</v>
      </c>
      <c r="I44" s="488">
        <f>SUM(I40:I43)</f>
        <v>32.94</v>
      </c>
      <c r="J44" s="489">
        <f>SUM(J40:J42)</f>
        <v>0</v>
      </c>
    </row>
    <row r="45" spans="1:12" ht="19.5" customHeight="1" x14ac:dyDescent="0.25">
      <c r="A45" s="682" t="str">
        <f>CONCATENATE("Custo Mensal - ",A7)</f>
        <v>Custo Mensal - Auxiliar Administrativo</v>
      </c>
      <c r="B45" s="682"/>
      <c r="C45" s="682"/>
      <c r="D45" s="682"/>
      <c r="E45" s="682"/>
      <c r="F45" s="490">
        <f>ROUND(F38/(1-D44),2)</f>
        <v>3473.05</v>
      </c>
      <c r="G45" s="490">
        <f>ROUND(G38/(1-D44),2)</f>
        <v>3473.05</v>
      </c>
      <c r="H45" s="490">
        <f>ROUND(H38/(1-D44),2)</f>
        <v>0</v>
      </c>
      <c r="I45" s="490">
        <f>ROUND(I38/(1-D44),2)</f>
        <v>231.17</v>
      </c>
      <c r="J45" s="491">
        <f>ROUND(J38/(1-D44),2)</f>
        <v>0</v>
      </c>
    </row>
    <row r="46" spans="1:12" ht="19.5" customHeight="1" x14ac:dyDescent="0.25">
      <c r="A46" s="683" t="str">
        <f>CONCATENATE("Valor do Custo Mensal - ",A7)</f>
        <v>Valor do Custo Mensal - Auxiliar Administrativo</v>
      </c>
      <c r="B46" s="683"/>
      <c r="C46" s="683"/>
      <c r="D46" s="683"/>
      <c r="E46" s="683"/>
      <c r="F46" s="490">
        <f>F45</f>
        <v>3473.05</v>
      </c>
      <c r="G46" s="490">
        <f>G45</f>
        <v>3473.05</v>
      </c>
      <c r="H46" s="490">
        <f>H45</f>
        <v>0</v>
      </c>
      <c r="I46" s="490">
        <f>I45</f>
        <v>231.17</v>
      </c>
      <c r="J46" s="491">
        <f>J45</f>
        <v>0</v>
      </c>
      <c r="K46" s="492"/>
      <c r="L46" s="492"/>
    </row>
    <row r="47" spans="1:12" ht="27.75" customHeight="1" x14ac:dyDescent="0.25">
      <c r="A47" s="678" t="s">
        <v>637</v>
      </c>
      <c r="B47" s="678"/>
      <c r="C47" s="678"/>
      <c r="D47" s="678"/>
      <c r="E47" s="678"/>
      <c r="F47" s="493">
        <f>(F46/F14)</f>
        <v>2.4872167635853222</v>
      </c>
      <c r="G47" s="493">
        <f>(G46/G14)</f>
        <v>2.4872167635853222</v>
      </c>
      <c r="H47" s="679" t="s">
        <v>638</v>
      </c>
      <c r="I47" s="679"/>
      <c r="J47" s="494">
        <v>0</v>
      </c>
    </row>
    <row r="48" spans="1:12" ht="19.5" customHeight="1" x14ac:dyDescent="0.25"/>
  </sheetData>
  <sheetProtection algorithmName="SHA-512" hashValue="J65a6KWNYCnRNXf3pbM76q4973MMy1SPfBoFS+1lcuxJag2s90hLyAMtBIwDLP8eMax5TDFfId3QdXrDybLn7w==" saltValue="0DIXgDUKOWbPY8qHNxmdWQ==" spinCount="100000" sheet="1" objects="1" scenarios="1"/>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7:B27"/>
    <mergeCell ref="A28:B28"/>
    <mergeCell ref="A29:B29"/>
    <mergeCell ref="A30:E30"/>
    <mergeCell ref="A31:E31"/>
    <mergeCell ref="A32:J32"/>
    <mergeCell ref="A33:C33"/>
    <mergeCell ref="E33:J33"/>
    <mergeCell ref="A35:C35"/>
    <mergeCell ref="A38:E38"/>
    <mergeCell ref="A39:J39"/>
    <mergeCell ref="A40:C40"/>
    <mergeCell ref="A41:C41"/>
    <mergeCell ref="A47:E47"/>
    <mergeCell ref="H47:I47"/>
    <mergeCell ref="A42:C42"/>
    <mergeCell ref="A43:C43"/>
    <mergeCell ref="A44:C44"/>
    <mergeCell ref="A45:E45"/>
    <mergeCell ref="A46:E46"/>
  </mergeCells>
  <printOptions horizontalCentered="1" verticalCentered="1"/>
  <pageMargins left="0.51180555555555596" right="0.51180555555555596" top="0.78749999999999998" bottom="0.78749999999999998" header="0.511811023622047" footer="0.511811023622047"/>
  <pageSetup paperSize="9" scale="60" fitToHeight="2"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J33"/>
  <sheetViews>
    <sheetView showGridLines="0" view="pageBreakPreview" zoomScale="130" zoomScaleNormal="130" zoomScaleSheetLayoutView="130" workbookViewId="0">
      <selection activeCell="K17" sqref="K17"/>
    </sheetView>
  </sheetViews>
  <sheetFormatPr defaultColWidth="8.7109375" defaultRowHeight="15" x14ac:dyDescent="0.25"/>
  <cols>
    <col min="1" max="1" width="7.28515625" style="68" customWidth="1"/>
    <col min="2" max="3" width="9.140625" style="68" customWidth="1"/>
    <col min="4" max="4" width="33" style="68" customWidth="1"/>
    <col min="5" max="5" width="9.42578125" style="68" customWidth="1"/>
    <col min="6" max="6" width="12.42578125" style="68" customWidth="1"/>
    <col min="7" max="7" width="13.42578125" style="68" customWidth="1"/>
    <col min="8" max="8" width="8.140625" style="68" customWidth="1"/>
    <col min="9" max="9" width="11.5703125" style="68" customWidth="1"/>
    <col min="10" max="1024" width="9.140625" style="68" customWidth="1"/>
  </cols>
  <sheetData>
    <row r="1" spans="1:13" x14ac:dyDescent="0.25">
      <c r="A1" s="97"/>
      <c r="B1" s="98" t="str">
        <f>INSTRUÇÕES!B1</f>
        <v>Tribunal Regional Federal da 6ª Região</v>
      </c>
      <c r="C1" s="98"/>
      <c r="D1" s="98"/>
      <c r="E1" s="98"/>
      <c r="F1" s="98"/>
      <c r="G1" s="98"/>
      <c r="H1" s="98"/>
      <c r="I1" s="165"/>
    </row>
    <row r="2" spans="1:13" x14ac:dyDescent="0.25">
      <c r="A2" s="99"/>
      <c r="B2" s="100" t="str">
        <f>INSTRUÇÕES!B2</f>
        <v>Seção Judiciária de Minas Gerais</v>
      </c>
      <c r="C2" s="100"/>
      <c r="D2" s="100"/>
      <c r="E2" s="100"/>
      <c r="F2" s="100"/>
      <c r="G2" s="100"/>
      <c r="H2" s="100"/>
      <c r="I2" s="167"/>
    </row>
    <row r="3" spans="1:13" x14ac:dyDescent="0.25">
      <c r="A3" s="99"/>
      <c r="B3" s="68" t="str">
        <f>INSTRUÇÕES!B3</f>
        <v>Subseção Judiciária de Poços de Caldas</v>
      </c>
      <c r="C3" s="446"/>
      <c r="D3" s="446"/>
      <c r="E3" s="446"/>
      <c r="F3" s="446"/>
      <c r="G3" s="446"/>
      <c r="H3" s="446"/>
      <c r="I3" s="497"/>
    </row>
    <row r="4" spans="1:13" s="252" customFormat="1" ht="31.5" customHeight="1" x14ac:dyDescent="0.25">
      <c r="A4" s="719" t="s">
        <v>641</v>
      </c>
      <c r="B4" s="719"/>
      <c r="C4" s="719"/>
      <c r="D4" s="719"/>
      <c r="E4" s="719"/>
      <c r="F4" s="719"/>
      <c r="G4" s="719"/>
      <c r="H4" s="719"/>
      <c r="I4" s="719"/>
      <c r="J4" s="498"/>
      <c r="K4" s="498"/>
      <c r="L4" s="498"/>
      <c r="M4" s="498"/>
    </row>
    <row r="5" spans="1:13" s="502" customFormat="1" ht="41.25" customHeight="1" x14ac:dyDescent="0.25">
      <c r="A5" s="720" t="s">
        <v>642</v>
      </c>
      <c r="B5" s="720"/>
      <c r="C5" s="720"/>
      <c r="D5" s="720"/>
      <c r="E5" s="721" t="s">
        <v>630</v>
      </c>
      <c r="F5" s="499" t="str">
        <f>Dados!C7</f>
        <v>Servente de Limpeza 40% Insalubridade</v>
      </c>
      <c r="G5" s="500" t="str">
        <f>Dados!C8</f>
        <v>Servente de Limpeza  com acúmulo Copeira</v>
      </c>
      <c r="H5" s="500" t="str">
        <f>Dados!C9</f>
        <v>Zelador</v>
      </c>
      <c r="I5" s="501" t="str">
        <f>Dados!C10</f>
        <v>Auxiliar Administrativo</v>
      </c>
    </row>
    <row r="6" spans="1:13" s="109" customFormat="1" ht="22.5" customHeight="1" x14ac:dyDescent="0.2">
      <c r="A6" s="503" t="s">
        <v>643</v>
      </c>
      <c r="B6" s="722" t="s">
        <v>329</v>
      </c>
      <c r="C6" s="722"/>
      <c r="D6" s="722"/>
      <c r="E6" s="721"/>
      <c r="F6" s="723" t="s">
        <v>644</v>
      </c>
      <c r="G6" s="723"/>
      <c r="H6" s="723"/>
      <c r="I6" s="723"/>
    </row>
    <row r="7" spans="1:13" ht="14.25" customHeight="1" x14ac:dyDescent="0.25">
      <c r="A7" s="504">
        <v>1</v>
      </c>
      <c r="B7" s="716" t="s">
        <v>645</v>
      </c>
      <c r="C7" s="716"/>
      <c r="D7" s="716"/>
      <c r="E7" s="716"/>
      <c r="F7" s="505">
        <f>Dados!M7</f>
        <v>2240.88</v>
      </c>
      <c r="G7" s="505">
        <f>Dados!M8</f>
        <v>1682.69</v>
      </c>
      <c r="H7" s="505">
        <f>Dados!M9</f>
        <v>2441.1</v>
      </c>
      <c r="I7" s="506">
        <f>Dados!M10</f>
        <v>1396.36</v>
      </c>
    </row>
    <row r="8" spans="1:13" x14ac:dyDescent="0.25">
      <c r="A8" s="507" t="s">
        <v>646</v>
      </c>
      <c r="B8" s="717" t="s">
        <v>330</v>
      </c>
      <c r="C8" s="717"/>
      <c r="D8" s="717"/>
      <c r="E8" s="462">
        <f>Encargos!C39</f>
        <v>9.0899999999999995E-2</v>
      </c>
      <c r="F8" s="508">
        <f>ROUND(F7*$E$8,2)</f>
        <v>203.7</v>
      </c>
      <c r="G8" s="508">
        <f>ROUND(G7*$E$8,2)</f>
        <v>152.96</v>
      </c>
      <c r="H8" s="508">
        <f>ROUND(H7*$E$8,2)</f>
        <v>221.9</v>
      </c>
      <c r="I8" s="509">
        <f>ROUND(I7*$E$8,2)</f>
        <v>126.93</v>
      </c>
    </row>
    <row r="9" spans="1:13" x14ac:dyDescent="0.25">
      <c r="A9" s="465" t="s">
        <v>647</v>
      </c>
      <c r="B9" s="714" t="s">
        <v>336</v>
      </c>
      <c r="C9" s="714"/>
      <c r="D9" s="714"/>
      <c r="E9" s="510">
        <f>E8*Encargos!C18</f>
        <v>3.6178200000000008E-2</v>
      </c>
      <c r="F9" s="511">
        <f>ROUND(F7*$E$9,2)</f>
        <v>81.069999999999993</v>
      </c>
      <c r="G9" s="511">
        <f>ROUND(G7*$E$9,2)</f>
        <v>60.88</v>
      </c>
      <c r="H9" s="511">
        <f>ROUND(H7*$E$9,2)</f>
        <v>88.31</v>
      </c>
      <c r="I9" s="512">
        <f>ROUND(I7*$E$9,2)</f>
        <v>50.52</v>
      </c>
    </row>
    <row r="10" spans="1:13" ht="12.75" customHeight="1" x14ac:dyDescent="0.25">
      <c r="A10" s="718" t="s">
        <v>648</v>
      </c>
      <c r="B10" s="718"/>
      <c r="C10" s="718"/>
      <c r="D10" s="718"/>
      <c r="E10" s="513">
        <f>SUM(E8:E9)</f>
        <v>0.1270782</v>
      </c>
      <c r="F10" s="514">
        <f>SUM(F8:F9)</f>
        <v>284.77</v>
      </c>
      <c r="G10" s="514">
        <f>SUM(G8:G9)</f>
        <v>213.84</v>
      </c>
      <c r="H10" s="514">
        <f>SUM(H8:H9)</f>
        <v>310.21000000000004</v>
      </c>
      <c r="I10" s="515">
        <f>SUM(I8:I9)</f>
        <v>177.45000000000002</v>
      </c>
    </row>
    <row r="11" spans="1:13" ht="12.75" customHeight="1" x14ac:dyDescent="0.25">
      <c r="A11" s="718" t="s">
        <v>649</v>
      </c>
      <c r="B11" s="718"/>
      <c r="C11" s="718"/>
      <c r="D11" s="718"/>
      <c r="E11" s="718"/>
      <c r="F11" s="514">
        <f>F10*12</f>
        <v>3417.24</v>
      </c>
      <c r="G11" s="514">
        <f>G10*12</f>
        <v>2566.08</v>
      </c>
      <c r="H11" s="514">
        <f>H10*12</f>
        <v>3722.5200000000004</v>
      </c>
      <c r="I11" s="515">
        <f>I10*12</f>
        <v>2129.4</v>
      </c>
    </row>
    <row r="12" spans="1:13" x14ac:dyDescent="0.25">
      <c r="A12" s="516">
        <v>2</v>
      </c>
      <c r="B12" s="517" t="s">
        <v>650</v>
      </c>
      <c r="C12" s="517"/>
      <c r="D12" s="517"/>
      <c r="E12" s="517"/>
      <c r="F12" s="713" t="s">
        <v>498</v>
      </c>
      <c r="G12" s="713"/>
      <c r="H12" s="713"/>
      <c r="I12" s="713"/>
    </row>
    <row r="13" spans="1:13" x14ac:dyDescent="0.25">
      <c r="A13" s="465" t="s">
        <v>646</v>
      </c>
      <c r="B13" s="714" t="s">
        <v>651</v>
      </c>
      <c r="C13" s="714"/>
      <c r="D13" s="714"/>
      <c r="E13" s="518"/>
      <c r="F13" s="519">
        <f>'Servente Insalubre'!$F$23</f>
        <v>510.4</v>
      </c>
      <c r="G13" s="519">
        <f>'Servente acúmulo de Copa'!$F$23</f>
        <v>510.4</v>
      </c>
      <c r="H13" s="519">
        <f>Zelador!$F$23</f>
        <v>510.4</v>
      </c>
      <c r="I13" s="520">
        <f>'Aux Adm'!$F$23</f>
        <v>0</v>
      </c>
    </row>
    <row r="14" spans="1:13" x14ac:dyDescent="0.25">
      <c r="A14" s="465" t="s">
        <v>652</v>
      </c>
      <c r="B14" s="714" t="s">
        <v>653</v>
      </c>
      <c r="C14" s="714"/>
      <c r="D14" s="714"/>
      <c r="E14" s="518"/>
      <c r="F14" s="519">
        <f>'Servente Insalubre'!$F$22</f>
        <v>165.98</v>
      </c>
      <c r="G14" s="519">
        <f>'Servente acúmulo de Copa'!$F$22</f>
        <v>165.98</v>
      </c>
      <c r="H14" s="519">
        <f>Zelador!$F$22</f>
        <v>117.53</v>
      </c>
      <c r="I14" s="520">
        <f>'Aux Adm'!$F$22</f>
        <v>180.22</v>
      </c>
    </row>
    <row r="15" spans="1:13" x14ac:dyDescent="0.25">
      <c r="A15" s="465" t="s">
        <v>654</v>
      </c>
      <c r="B15" s="518" t="s">
        <v>655</v>
      </c>
      <c r="C15" s="518"/>
      <c r="D15" s="518"/>
      <c r="E15" s="518"/>
      <c r="F15" s="519">
        <v>0</v>
      </c>
      <c r="G15" s="519">
        <v>0</v>
      </c>
      <c r="H15" s="519">
        <v>0</v>
      </c>
      <c r="I15" s="520">
        <v>0</v>
      </c>
    </row>
    <row r="16" spans="1:13" x14ac:dyDescent="0.25">
      <c r="A16" s="708" t="s">
        <v>656</v>
      </c>
      <c r="B16" s="708"/>
      <c r="C16" s="708"/>
      <c r="D16" s="708"/>
      <c r="E16" s="708"/>
      <c r="F16" s="521">
        <f>SUM(F13:F15)</f>
        <v>676.38</v>
      </c>
      <c r="G16" s="521">
        <f>SUM(G13:G15)</f>
        <v>676.38</v>
      </c>
      <c r="H16" s="521">
        <f>SUM(H13:H15)</f>
        <v>627.92999999999995</v>
      </c>
      <c r="I16" s="522">
        <f>SUM(I13:I15)</f>
        <v>180.22</v>
      </c>
    </row>
    <row r="17" spans="1:9" ht="12.75" customHeight="1" x14ac:dyDescent="0.25">
      <c r="A17" s="516">
        <v>5</v>
      </c>
      <c r="B17" s="715" t="s">
        <v>657</v>
      </c>
      <c r="C17" s="715"/>
      <c r="D17" s="715"/>
      <c r="E17" s="523" t="s">
        <v>630</v>
      </c>
      <c r="F17" s="713" t="s">
        <v>498</v>
      </c>
      <c r="G17" s="713"/>
      <c r="H17" s="713"/>
      <c r="I17" s="713"/>
    </row>
    <row r="18" spans="1:9" ht="12.75" customHeight="1" x14ac:dyDescent="0.25">
      <c r="A18" s="465" t="s">
        <v>646</v>
      </c>
      <c r="B18" s="700" t="s">
        <v>658</v>
      </c>
      <c r="C18" s="700"/>
      <c r="D18" s="700"/>
      <c r="E18" s="524">
        <f>Dados!$G$43</f>
        <v>0.03</v>
      </c>
      <c r="F18" s="525">
        <f>ROUND(($E$18*F31),2)</f>
        <v>122.81</v>
      </c>
      <c r="G18" s="525">
        <f>ROUND(($E$18*G31),2)</f>
        <v>97.27</v>
      </c>
      <c r="H18" s="525">
        <f>ROUND(($E$18*H31),2)</f>
        <v>130.51</v>
      </c>
      <c r="I18" s="526">
        <f>ROUND(($E$18*I31),2)</f>
        <v>69.290000000000006</v>
      </c>
    </row>
    <row r="19" spans="1:9" ht="12.75" customHeight="1" x14ac:dyDescent="0.25">
      <c r="A19" s="465" t="s">
        <v>652</v>
      </c>
      <c r="B19" s="700" t="s">
        <v>238</v>
      </c>
      <c r="C19" s="700"/>
      <c r="D19" s="700"/>
      <c r="E19" s="524">
        <f>Dados!$G$44</f>
        <v>6.7900000000000002E-2</v>
      </c>
      <c r="F19" s="525">
        <f>ROUND(($E$19*(F18+F31)),2)</f>
        <v>286.3</v>
      </c>
      <c r="G19" s="525">
        <f>ROUND(($E$19*(G18+G31)),2)</f>
        <v>226.77</v>
      </c>
      <c r="H19" s="525">
        <f>ROUND(($E$19*(H18+H31)),2)</f>
        <v>304.26</v>
      </c>
      <c r="I19" s="526">
        <f>ROUND(($E$19*(I18+I31)),2)</f>
        <v>161.53</v>
      </c>
    </row>
    <row r="20" spans="1:9" ht="12.75" customHeight="1" x14ac:dyDescent="0.25">
      <c r="A20" s="527" t="s">
        <v>654</v>
      </c>
      <c r="B20" s="712" t="s">
        <v>659</v>
      </c>
      <c r="C20" s="712"/>
      <c r="D20" s="712"/>
      <c r="E20" s="528">
        <f>SUM(E21:E24)</f>
        <v>0.14250000000000002</v>
      </c>
      <c r="F20" s="529">
        <f>ROUND((((F31+F18+F19)/(1-$E$20))-(F31+F18+F19)),2)</f>
        <v>748.27</v>
      </c>
      <c r="G20" s="529">
        <f>ROUND((((G31+G18+G19)/(1-$E$20))-(G31+G18+G19)),2)</f>
        <v>592.67999999999995</v>
      </c>
      <c r="H20" s="529">
        <f>ROUND((((H31+H18+H19)/(1-$E$20))-(H31+H18+H19)),2)</f>
        <v>795.21</v>
      </c>
      <c r="I20" s="530">
        <f>ROUND((((I31+I18+I19)/(1-$E$20))-(I31+I18+I19)),2)</f>
        <v>422.17</v>
      </c>
    </row>
    <row r="21" spans="1:9" ht="12.75" customHeight="1" x14ac:dyDescent="0.25">
      <c r="A21" s="531" t="s">
        <v>660</v>
      </c>
      <c r="B21" s="700" t="s">
        <v>661</v>
      </c>
      <c r="C21" s="700"/>
      <c r="D21" s="700"/>
      <c r="E21" s="524">
        <f>Dados!G51+Dados!G52</f>
        <v>9.2499999999999999E-2</v>
      </c>
      <c r="F21" s="525">
        <f>ROUND($E$21*F33,2)</f>
        <v>485.72</v>
      </c>
      <c r="G21" s="525">
        <f>ROUND($E$21*G33,2)</f>
        <v>384.72</v>
      </c>
      <c r="H21" s="525">
        <f>ROUND($E$21*H33,2)</f>
        <v>516.19000000000005</v>
      </c>
      <c r="I21" s="526">
        <f>ROUND($E$21*I33,2)</f>
        <v>274.04000000000002</v>
      </c>
    </row>
    <row r="22" spans="1:9" ht="12.75" customHeight="1" x14ac:dyDescent="0.25">
      <c r="A22" s="465" t="s">
        <v>662</v>
      </c>
      <c r="B22" s="700" t="s">
        <v>663</v>
      </c>
      <c r="C22" s="700"/>
      <c r="D22" s="700"/>
      <c r="E22" s="524">
        <v>0</v>
      </c>
      <c r="F22" s="525">
        <f>ROUND($E$22*F33,2)</f>
        <v>0</v>
      </c>
      <c r="G22" s="525">
        <f>ROUND($E$22*G33,2)</f>
        <v>0</v>
      </c>
      <c r="H22" s="525">
        <f>ROUND($E$22*H33,2)</f>
        <v>0</v>
      </c>
      <c r="I22" s="526">
        <f>ROUND($E$22*I33,2)</f>
        <v>0</v>
      </c>
    </row>
    <row r="23" spans="1:9" ht="12.75" customHeight="1" x14ac:dyDescent="0.25">
      <c r="A23" s="465" t="s">
        <v>664</v>
      </c>
      <c r="B23" s="700" t="s">
        <v>665</v>
      </c>
      <c r="C23" s="700"/>
      <c r="D23" s="700"/>
      <c r="E23" s="524">
        <f>Dados!G53</f>
        <v>0.05</v>
      </c>
      <c r="F23" s="525">
        <f>ROUND($E$23*F33,2)</f>
        <v>262.55</v>
      </c>
      <c r="G23" s="525">
        <f>ROUND($E$23*G33,2)</f>
        <v>207.96</v>
      </c>
      <c r="H23" s="525">
        <f>ROUND($E$23*H33,2)</f>
        <v>279.02</v>
      </c>
      <c r="I23" s="526">
        <f>ROUND($E$23*I33,2)</f>
        <v>148.13</v>
      </c>
    </row>
    <row r="24" spans="1:9" x14ac:dyDescent="0.25">
      <c r="A24" s="465" t="s">
        <v>666</v>
      </c>
      <c r="B24" s="700" t="str">
        <f>Dados!B54</f>
        <v>Outros (inserir somente com a justificativa legal)</v>
      </c>
      <c r="C24" s="700"/>
      <c r="D24" s="700"/>
      <c r="E24" s="524">
        <f>Dados!G54</f>
        <v>0</v>
      </c>
      <c r="F24" s="525">
        <f>ROUND($E$24*F33,2)</f>
        <v>0</v>
      </c>
      <c r="G24" s="525">
        <f>ROUND($E$24*G33,2)</f>
        <v>0</v>
      </c>
      <c r="H24" s="525">
        <f>ROUND($E$24*H33,2)</f>
        <v>0</v>
      </c>
      <c r="I24" s="526">
        <f>ROUND($E$24*I33,2)</f>
        <v>0</v>
      </c>
    </row>
    <row r="25" spans="1:9" x14ac:dyDescent="0.25">
      <c r="A25" s="532" t="s">
        <v>667</v>
      </c>
      <c r="B25" s="455"/>
      <c r="C25" s="455"/>
      <c r="D25" s="455"/>
      <c r="E25" s="455"/>
      <c r="F25" s="533">
        <f>SUM(F18:F20)</f>
        <v>1157.3800000000001</v>
      </c>
      <c r="G25" s="533">
        <f>SUM(G18:G20)</f>
        <v>916.72</v>
      </c>
      <c r="H25" s="533">
        <f>SUM(H18:H20)</f>
        <v>1229.98</v>
      </c>
      <c r="I25" s="534">
        <f>SUM(I18:I20)</f>
        <v>652.99</v>
      </c>
    </row>
    <row r="26" spans="1:9" ht="19.5" customHeight="1" x14ac:dyDescent="0.25">
      <c r="A26" s="709" t="s">
        <v>668</v>
      </c>
      <c r="B26" s="709"/>
      <c r="C26" s="709"/>
      <c r="D26" s="709"/>
      <c r="E26" s="709"/>
      <c r="F26" s="709"/>
      <c r="G26" s="709"/>
      <c r="H26" s="709"/>
      <c r="I26" s="709"/>
    </row>
    <row r="27" spans="1:9" ht="18" customHeight="1" x14ac:dyDescent="0.25">
      <c r="A27" s="710" t="s">
        <v>669</v>
      </c>
      <c r="B27" s="710"/>
      <c r="C27" s="710"/>
      <c r="D27" s="710"/>
      <c r="E27" s="710"/>
      <c r="F27" s="710"/>
      <c r="G27" s="710"/>
      <c r="H27" s="710"/>
      <c r="I27" s="710"/>
    </row>
    <row r="28" spans="1:9" ht="14.25" customHeight="1" x14ac:dyDescent="0.25">
      <c r="A28" s="535" t="s">
        <v>670</v>
      </c>
      <c r="B28" s="536"/>
      <c r="C28" s="536"/>
      <c r="D28" s="536"/>
      <c r="E28" s="536"/>
      <c r="F28" s="711" t="s">
        <v>498</v>
      </c>
      <c r="G28" s="711"/>
      <c r="H28" s="711"/>
      <c r="I28" s="711"/>
    </row>
    <row r="29" spans="1:9" x14ac:dyDescent="0.25">
      <c r="A29" s="465" t="s">
        <v>646</v>
      </c>
      <c r="B29" s="518" t="s">
        <v>671</v>
      </c>
      <c r="C29" s="518"/>
      <c r="D29" s="518"/>
      <c r="E29" s="518"/>
      <c r="F29" s="537">
        <f>F11</f>
        <v>3417.24</v>
      </c>
      <c r="G29" s="537">
        <f>G11</f>
        <v>2566.08</v>
      </c>
      <c r="H29" s="537">
        <f>H11</f>
        <v>3722.5200000000004</v>
      </c>
      <c r="I29" s="538">
        <f>I11</f>
        <v>2129.4</v>
      </c>
    </row>
    <row r="30" spans="1:9" x14ac:dyDescent="0.25">
      <c r="A30" s="465" t="s">
        <v>652</v>
      </c>
      <c r="B30" s="518" t="s">
        <v>650</v>
      </c>
      <c r="C30" s="518"/>
      <c r="D30" s="518"/>
      <c r="E30" s="518"/>
      <c r="F30" s="537">
        <f>F16</f>
        <v>676.38</v>
      </c>
      <c r="G30" s="537">
        <f>G16</f>
        <v>676.38</v>
      </c>
      <c r="H30" s="537">
        <f>H16</f>
        <v>627.92999999999995</v>
      </c>
      <c r="I30" s="538">
        <f>I16</f>
        <v>180.22</v>
      </c>
    </row>
    <row r="31" spans="1:9" x14ac:dyDescent="0.25">
      <c r="A31" s="708" t="s">
        <v>672</v>
      </c>
      <c r="B31" s="708"/>
      <c r="C31" s="708"/>
      <c r="D31" s="708"/>
      <c r="E31" s="539"/>
      <c r="F31" s="540">
        <f>SUM(F29:F30)</f>
        <v>4093.62</v>
      </c>
      <c r="G31" s="540">
        <f>SUM(G29:G30)</f>
        <v>3242.46</v>
      </c>
      <c r="H31" s="540">
        <f>SUM(H29:H30)</f>
        <v>4350.4500000000007</v>
      </c>
      <c r="I31" s="541">
        <f>SUM(I29:I30)</f>
        <v>2309.62</v>
      </c>
    </row>
    <row r="32" spans="1:9" x14ac:dyDescent="0.25">
      <c r="A32" s="450" t="s">
        <v>673</v>
      </c>
      <c r="B32" s="542" t="s">
        <v>674</v>
      </c>
      <c r="C32" s="542"/>
      <c r="D32" s="542"/>
      <c r="E32" s="542"/>
      <c r="F32" s="543">
        <f>F25</f>
        <v>1157.3800000000001</v>
      </c>
      <c r="G32" s="543">
        <f>G25</f>
        <v>916.72</v>
      </c>
      <c r="H32" s="543">
        <f>H25</f>
        <v>1229.98</v>
      </c>
      <c r="I32" s="544">
        <f>I25</f>
        <v>652.99</v>
      </c>
    </row>
    <row r="33" spans="1:9" ht="19.5" customHeight="1" x14ac:dyDescent="0.25">
      <c r="A33" s="545" t="s">
        <v>675</v>
      </c>
      <c r="B33" s="546"/>
      <c r="C33" s="546"/>
      <c r="D33" s="546"/>
      <c r="E33" s="546"/>
      <c r="F33" s="547">
        <f>SUM(F31:F32)</f>
        <v>5251</v>
      </c>
      <c r="G33" s="547">
        <f>SUM(G31:G32)</f>
        <v>4159.18</v>
      </c>
      <c r="H33" s="547">
        <f>SUM(H31:H32)</f>
        <v>5580.43</v>
      </c>
      <c r="I33" s="548">
        <f>SUM(I31:I32)</f>
        <v>2962.6099999999997</v>
      </c>
    </row>
  </sheetData>
  <mergeCells count="27">
    <mergeCell ref="A4:I4"/>
    <mergeCell ref="A5:D5"/>
    <mergeCell ref="E5:E6"/>
    <mergeCell ref="B6:D6"/>
    <mergeCell ref="F6:I6"/>
    <mergeCell ref="B7:E7"/>
    <mergeCell ref="B8:D8"/>
    <mergeCell ref="B9:D9"/>
    <mergeCell ref="A10:D10"/>
    <mergeCell ref="A11:E11"/>
    <mergeCell ref="F12:I12"/>
    <mergeCell ref="B13:D13"/>
    <mergeCell ref="B14:D14"/>
    <mergeCell ref="A16:E16"/>
    <mergeCell ref="B17:D17"/>
    <mergeCell ref="F17:I17"/>
    <mergeCell ref="B18:D18"/>
    <mergeCell ref="B19:D19"/>
    <mergeCell ref="B20:D20"/>
    <mergeCell ref="B21:D21"/>
    <mergeCell ref="B22:D22"/>
    <mergeCell ref="A31:D31"/>
    <mergeCell ref="B23:D23"/>
    <mergeCell ref="B24:D24"/>
    <mergeCell ref="A26:I26"/>
    <mergeCell ref="A27:I27"/>
    <mergeCell ref="F28:I28"/>
  </mergeCells>
  <printOptions horizontalCentered="1" verticalCentered="1"/>
  <pageMargins left="0.51180555555555596" right="0.51180555555555596" top="0.78749999999999998" bottom="0.78749999999999998" header="0.511811023622047" footer="0.511811023622047"/>
  <pageSetup paperSize="9" scale="81" fitToHeight="2"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I23"/>
  <sheetViews>
    <sheetView showGridLines="0" view="pageBreakPreview" zoomScale="140" zoomScaleNormal="100" zoomScalePageLayoutView="140" workbookViewId="0"/>
  </sheetViews>
  <sheetFormatPr defaultColWidth="8.7109375" defaultRowHeight="15" x14ac:dyDescent="0.25"/>
  <cols>
    <col min="1" max="1" width="7.85546875" customWidth="1"/>
    <col min="2" max="2" width="7.28515625" customWidth="1"/>
    <col min="3" max="3" width="4.42578125" customWidth="1"/>
    <col min="4" max="4" width="7.5703125" customWidth="1"/>
    <col min="5" max="5" width="5.42578125" customWidth="1"/>
    <col min="6" max="6" width="8.28515625" customWidth="1"/>
    <col min="7" max="7" width="7.42578125" customWidth="1"/>
    <col min="8" max="8" width="3.28515625" customWidth="1"/>
    <col min="9" max="9" width="7.28515625" customWidth="1"/>
    <col min="10" max="10" width="4.42578125" customWidth="1"/>
    <col min="11" max="11" width="7.5703125" customWidth="1"/>
    <col min="12" max="12" width="5.42578125" customWidth="1"/>
    <col min="13" max="13" width="8.28515625" customWidth="1"/>
    <col min="14" max="14" width="7.42578125" customWidth="1"/>
    <col min="15" max="15" width="3" customWidth="1"/>
    <col min="16" max="16" width="7.28515625" customWidth="1"/>
    <col min="17" max="17" width="4.42578125" customWidth="1"/>
    <col min="18" max="18" width="7.5703125" customWidth="1"/>
    <col min="19" max="19" width="5.42578125" customWidth="1"/>
    <col min="20" max="20" width="8.28515625" customWidth="1"/>
    <col min="21" max="21" width="7.42578125" customWidth="1"/>
    <col min="22" max="22" width="3" customWidth="1"/>
    <col min="23" max="23" width="7.28515625" customWidth="1"/>
    <col min="24" max="24" width="4.42578125" customWidth="1"/>
    <col min="25" max="25" width="7.5703125" customWidth="1"/>
    <col min="26" max="26" width="5.42578125" customWidth="1"/>
    <col min="27" max="27" width="8.28515625" customWidth="1"/>
    <col min="28" max="28" width="7.42578125" customWidth="1"/>
    <col min="29" max="29" width="3" customWidth="1"/>
    <col min="30" max="30" width="7.28515625" customWidth="1"/>
    <col min="31" max="31" width="4.42578125" customWidth="1"/>
    <col min="257" max="257" width="1.42578125" customWidth="1"/>
    <col min="258" max="258" width="7.28515625" customWidth="1"/>
    <col min="259" max="259" width="4.42578125" customWidth="1"/>
    <col min="260" max="260" width="7.5703125" customWidth="1"/>
    <col min="261" max="261" width="5.42578125" customWidth="1"/>
    <col min="262" max="262" width="8.28515625" customWidth="1"/>
    <col min="263" max="263" width="7.42578125" customWidth="1"/>
    <col min="264" max="264" width="3.28515625" customWidth="1"/>
    <col min="265" max="265" width="7.28515625" customWidth="1"/>
    <col min="266" max="266" width="4.42578125" customWidth="1"/>
    <col min="267" max="267" width="7.5703125" customWidth="1"/>
    <col min="268" max="268" width="5.42578125" customWidth="1"/>
    <col min="269" max="269" width="8.28515625" customWidth="1"/>
    <col min="270" max="270" width="7.42578125" customWidth="1"/>
    <col min="271" max="271" width="3" customWidth="1"/>
    <col min="272" max="272" width="7.28515625" customWidth="1"/>
    <col min="273" max="273" width="4.42578125" customWidth="1"/>
    <col min="274" max="274" width="7.5703125" customWidth="1"/>
    <col min="275" max="275" width="5.42578125" customWidth="1"/>
    <col min="276" max="276" width="8.28515625" customWidth="1"/>
    <col min="277" max="277" width="7.42578125" customWidth="1"/>
    <col min="278" max="278" width="3" customWidth="1"/>
    <col min="279" max="279" width="7.28515625" customWidth="1"/>
    <col min="280" max="280" width="4.42578125" customWidth="1"/>
    <col min="281" max="281" width="7.5703125" customWidth="1"/>
    <col min="282" max="282" width="5.42578125" customWidth="1"/>
    <col min="283" max="283" width="8.28515625" customWidth="1"/>
    <col min="284" max="284" width="7.42578125" customWidth="1"/>
    <col min="285" max="285" width="3" customWidth="1"/>
    <col min="286" max="286" width="7.28515625" customWidth="1"/>
    <col min="287" max="287" width="4.42578125" customWidth="1"/>
    <col min="513" max="513" width="1.42578125" customWidth="1"/>
    <col min="514" max="514" width="7.28515625" customWidth="1"/>
    <col min="515" max="515" width="4.42578125" customWidth="1"/>
    <col min="516" max="516" width="7.5703125" customWidth="1"/>
    <col min="517" max="517" width="5.42578125" customWidth="1"/>
    <col min="518" max="518" width="8.28515625" customWidth="1"/>
    <col min="519" max="519" width="7.42578125" customWidth="1"/>
    <col min="520" max="520" width="3.28515625" customWidth="1"/>
    <col min="521" max="521" width="7.28515625" customWidth="1"/>
    <col min="522" max="522" width="4.42578125" customWidth="1"/>
    <col min="523" max="523" width="7.5703125" customWidth="1"/>
    <col min="524" max="524" width="5.42578125" customWidth="1"/>
    <col min="525" max="525" width="8.28515625" customWidth="1"/>
    <col min="526" max="526" width="7.42578125" customWidth="1"/>
    <col min="527" max="527" width="3" customWidth="1"/>
    <col min="528" max="528" width="7.28515625" customWidth="1"/>
    <col min="529" max="529" width="4.42578125" customWidth="1"/>
    <col min="530" max="530" width="7.5703125" customWidth="1"/>
    <col min="531" max="531" width="5.42578125" customWidth="1"/>
    <col min="532" max="532" width="8.28515625" customWidth="1"/>
    <col min="533" max="533" width="7.42578125" customWidth="1"/>
    <col min="534" max="534" width="3" customWidth="1"/>
    <col min="535" max="535" width="7.28515625" customWidth="1"/>
    <col min="536" max="536" width="4.42578125" customWidth="1"/>
    <col min="537" max="537" width="7.5703125" customWidth="1"/>
    <col min="538" max="538" width="5.42578125" customWidth="1"/>
    <col min="539" max="539" width="8.28515625" customWidth="1"/>
    <col min="540" max="540" width="7.42578125" customWidth="1"/>
    <col min="541" max="541" width="3" customWidth="1"/>
    <col min="542" max="542" width="7.28515625" customWidth="1"/>
    <col min="543" max="543" width="4.42578125" customWidth="1"/>
    <col min="769" max="769" width="1.42578125" customWidth="1"/>
    <col min="770" max="770" width="7.28515625" customWidth="1"/>
    <col min="771" max="771" width="4.42578125" customWidth="1"/>
    <col min="772" max="772" width="7.5703125" customWidth="1"/>
    <col min="773" max="773" width="5.42578125" customWidth="1"/>
    <col min="774" max="774" width="8.28515625" customWidth="1"/>
    <col min="775" max="775" width="7.42578125" customWidth="1"/>
    <col min="776" max="776" width="3.28515625" customWidth="1"/>
    <col min="777" max="777" width="7.28515625" customWidth="1"/>
    <col min="778" max="778" width="4.42578125" customWidth="1"/>
    <col min="779" max="779" width="7.5703125" customWidth="1"/>
    <col min="780" max="780" width="5.42578125" customWidth="1"/>
    <col min="781" max="781" width="8.28515625" customWidth="1"/>
    <col min="782" max="782" width="7.42578125" customWidth="1"/>
    <col min="783" max="783" width="3" customWidth="1"/>
    <col min="784" max="784" width="7.28515625" customWidth="1"/>
    <col min="785" max="785" width="4.42578125" customWidth="1"/>
    <col min="786" max="786" width="7.5703125" customWidth="1"/>
    <col min="787" max="787" width="5.42578125" customWidth="1"/>
    <col min="788" max="788" width="8.28515625" customWidth="1"/>
    <col min="789" max="789" width="7.42578125" customWidth="1"/>
    <col min="790" max="790" width="3" customWidth="1"/>
    <col min="791" max="791" width="7.28515625" customWidth="1"/>
    <col min="792" max="792" width="4.42578125" customWidth="1"/>
    <col min="793" max="793" width="7.5703125" customWidth="1"/>
    <col min="794" max="794" width="5.42578125" customWidth="1"/>
    <col min="795" max="795" width="8.28515625" customWidth="1"/>
    <col min="796" max="796" width="7.42578125" customWidth="1"/>
    <col min="797" max="797" width="3" customWidth="1"/>
    <col min="798" max="798" width="7.28515625" customWidth="1"/>
    <col min="799" max="799" width="4.42578125" customWidth="1"/>
  </cols>
  <sheetData>
    <row r="1" spans="1:35" x14ac:dyDescent="0.25">
      <c r="A1" s="100"/>
      <c r="B1" s="100" t="s">
        <v>85</v>
      </c>
    </row>
    <row r="2" spans="1:35" x14ac:dyDescent="0.25">
      <c r="A2" s="100"/>
      <c r="B2" s="100" t="s">
        <v>86</v>
      </c>
    </row>
    <row r="3" spans="1:35" x14ac:dyDescent="0.25">
      <c r="A3" s="446"/>
      <c r="B3" s="68" t="s">
        <v>676</v>
      </c>
    </row>
    <row r="4" spans="1:35" ht="6" customHeight="1" x14ac:dyDescent="0.25"/>
    <row r="5" spans="1:35" ht="6" customHeight="1" x14ac:dyDescent="0.25"/>
    <row r="6" spans="1:35" ht="15.75" customHeight="1" x14ac:dyDescent="0.25">
      <c r="B6" s="726" t="s">
        <v>259</v>
      </c>
      <c r="C6" s="726"/>
      <c r="D6" s="726"/>
      <c r="E6" s="726"/>
      <c r="F6" s="726"/>
      <c r="G6" s="726"/>
      <c r="I6" s="726" t="s">
        <v>263</v>
      </c>
      <c r="J6" s="726"/>
      <c r="K6" s="726"/>
      <c r="L6" s="726"/>
      <c r="M6" s="726"/>
      <c r="N6" s="726"/>
      <c r="P6" s="726" t="s">
        <v>264</v>
      </c>
      <c r="Q6" s="726"/>
      <c r="R6" s="726"/>
      <c r="S6" s="726"/>
      <c r="T6" s="726"/>
      <c r="U6" s="726"/>
      <c r="W6" s="726" t="s">
        <v>265</v>
      </c>
      <c r="X6" s="726"/>
      <c r="Y6" s="726"/>
      <c r="Z6" s="726"/>
      <c r="AA6" s="726"/>
      <c r="AB6" s="726"/>
      <c r="AD6" s="726" t="s">
        <v>266</v>
      </c>
      <c r="AE6" s="726"/>
      <c r="AF6" s="726"/>
      <c r="AG6" s="726"/>
      <c r="AH6" s="726"/>
      <c r="AI6" s="726"/>
    </row>
    <row r="7" spans="1:35" x14ac:dyDescent="0.25">
      <c r="B7" s="549" t="s">
        <v>677</v>
      </c>
      <c r="C7" s="725"/>
      <c r="D7" s="725"/>
      <c r="E7" s="725"/>
      <c r="F7" s="725"/>
      <c r="G7" s="725"/>
      <c r="I7" s="549" t="s">
        <v>677</v>
      </c>
      <c r="J7" s="725"/>
      <c r="K7" s="725"/>
      <c r="L7" s="725"/>
      <c r="M7" s="725"/>
      <c r="N7" s="725"/>
      <c r="P7" s="549" t="s">
        <v>677</v>
      </c>
      <c r="Q7" s="725"/>
      <c r="R7" s="725"/>
      <c r="S7" s="725"/>
      <c r="T7" s="725"/>
      <c r="U7" s="725"/>
      <c r="W7" s="549" t="s">
        <v>677</v>
      </c>
      <c r="X7" s="725"/>
      <c r="Y7" s="725"/>
      <c r="Z7" s="725"/>
      <c r="AA7" s="725"/>
      <c r="AB7" s="725"/>
      <c r="AD7" s="549" t="s">
        <v>677</v>
      </c>
      <c r="AE7" s="725"/>
      <c r="AF7" s="725"/>
      <c r="AG7" s="725"/>
      <c r="AH7" s="725"/>
      <c r="AI7" s="725"/>
    </row>
    <row r="8" spans="1:35" ht="25.5" customHeight="1" x14ac:dyDescent="0.25">
      <c r="B8" s="630" t="s">
        <v>678</v>
      </c>
      <c r="C8" s="630"/>
      <c r="D8" s="215" t="s">
        <v>679</v>
      </c>
      <c r="E8" s="215" t="s">
        <v>680</v>
      </c>
      <c r="F8" s="215" t="s">
        <v>681</v>
      </c>
      <c r="G8" s="215" t="s">
        <v>682</v>
      </c>
      <c r="I8" s="630" t="s">
        <v>678</v>
      </c>
      <c r="J8" s="630"/>
      <c r="K8" s="215" t="s">
        <v>679</v>
      </c>
      <c r="L8" s="215" t="s">
        <v>680</v>
      </c>
      <c r="M8" s="215" t="s">
        <v>681</v>
      </c>
      <c r="N8" s="215" t="s">
        <v>682</v>
      </c>
      <c r="P8" s="630" t="s">
        <v>678</v>
      </c>
      <c r="Q8" s="630"/>
      <c r="R8" s="215" t="s">
        <v>679</v>
      </c>
      <c r="S8" s="215" t="s">
        <v>680</v>
      </c>
      <c r="T8" s="215" t="s">
        <v>681</v>
      </c>
      <c r="U8" s="215" t="s">
        <v>682</v>
      </c>
      <c r="W8" s="630" t="s">
        <v>678</v>
      </c>
      <c r="X8" s="630"/>
      <c r="Y8" s="215" t="s">
        <v>679</v>
      </c>
      <c r="Z8" s="215" t="s">
        <v>680</v>
      </c>
      <c r="AA8" s="215" t="s">
        <v>681</v>
      </c>
      <c r="AB8" s="215" t="s">
        <v>682</v>
      </c>
      <c r="AD8" s="630" t="s">
        <v>678</v>
      </c>
      <c r="AE8" s="630"/>
      <c r="AF8" s="215" t="s">
        <v>679</v>
      </c>
      <c r="AG8" s="215" t="s">
        <v>680</v>
      </c>
      <c r="AH8" s="215" t="s">
        <v>681</v>
      </c>
      <c r="AI8" s="215" t="s">
        <v>682</v>
      </c>
    </row>
    <row r="9" spans="1:35" x14ac:dyDescent="0.25">
      <c r="B9" s="550" t="s">
        <v>683</v>
      </c>
      <c r="C9" s="550" t="s">
        <v>684</v>
      </c>
      <c r="D9" s="550" t="s">
        <v>685</v>
      </c>
      <c r="E9" s="550"/>
      <c r="F9" s="550" t="s">
        <v>686</v>
      </c>
      <c r="G9" s="551">
        <v>100</v>
      </c>
      <c r="I9" s="550" t="s">
        <v>683</v>
      </c>
      <c r="J9" s="550" t="s">
        <v>684</v>
      </c>
      <c r="K9" s="550" t="s">
        <v>685</v>
      </c>
      <c r="L9" s="550"/>
      <c r="M9" s="550" t="s">
        <v>686</v>
      </c>
      <c r="N9" s="551">
        <v>100</v>
      </c>
      <c r="P9" s="550" t="s">
        <v>683</v>
      </c>
      <c r="Q9" s="550" t="s">
        <v>684</v>
      </c>
      <c r="R9" s="550" t="s">
        <v>685</v>
      </c>
      <c r="S9" s="550"/>
      <c r="T9" s="550" t="s">
        <v>686</v>
      </c>
      <c r="U9" s="551">
        <v>100</v>
      </c>
      <c r="W9" s="550" t="s">
        <v>683</v>
      </c>
      <c r="X9" s="550" t="s">
        <v>684</v>
      </c>
      <c r="Y9" s="550" t="s">
        <v>685</v>
      </c>
      <c r="Z9" s="550"/>
      <c r="AA9" s="550" t="s">
        <v>686</v>
      </c>
      <c r="AB9" s="551">
        <v>100</v>
      </c>
      <c r="AD9" s="550" t="s">
        <v>683</v>
      </c>
      <c r="AE9" s="550" t="s">
        <v>684</v>
      </c>
      <c r="AF9" s="550" t="s">
        <v>685</v>
      </c>
      <c r="AG9" s="550"/>
      <c r="AH9" s="550" t="s">
        <v>686</v>
      </c>
      <c r="AI9" s="551">
        <v>100</v>
      </c>
    </row>
    <row r="10" spans="1:35" x14ac:dyDescent="0.25">
      <c r="B10" s="550">
        <v>2023</v>
      </c>
      <c r="C10" s="552" t="s">
        <v>687</v>
      </c>
      <c r="D10" s="553"/>
      <c r="E10" s="554">
        <v>25</v>
      </c>
      <c r="F10" s="553">
        <f t="shared" ref="F10:F22" si="0">D10/30*E10</f>
        <v>0</v>
      </c>
      <c r="G10" s="555">
        <f t="shared" ref="G10:G22" si="1">(G9*F10)+G9</f>
        <v>100</v>
      </c>
      <c r="I10" s="550">
        <f t="shared" ref="I10:I22" si="2">B10+1</f>
        <v>2024</v>
      </c>
      <c r="J10" s="552" t="str">
        <f>$C$10</f>
        <v>AGO</v>
      </c>
      <c r="K10" s="553"/>
      <c r="L10" s="554">
        <f>$E$10</f>
        <v>25</v>
      </c>
      <c r="M10" s="553">
        <f t="shared" ref="M10:M22" si="3">K10/30*L10</f>
        <v>0</v>
      </c>
      <c r="N10" s="555">
        <f t="shared" ref="N10:N22" si="4">(N9*M10)+N9</f>
        <v>100</v>
      </c>
      <c r="P10" s="550">
        <f t="shared" ref="P10:P22" si="5">I10+1</f>
        <v>2025</v>
      </c>
      <c r="Q10" s="552" t="str">
        <f>$C$10</f>
        <v>AGO</v>
      </c>
      <c r="R10" s="553"/>
      <c r="S10" s="554">
        <f>$E$10</f>
        <v>25</v>
      </c>
      <c r="T10" s="553">
        <f t="shared" ref="T10:T22" si="6">R10/30*S10</f>
        <v>0</v>
      </c>
      <c r="U10" s="555">
        <f t="shared" ref="U10:U22" si="7">(U9*T10)+U9</f>
        <v>100</v>
      </c>
      <c r="W10" s="550">
        <f t="shared" ref="W10:W22" si="8">P10+1</f>
        <v>2026</v>
      </c>
      <c r="X10" s="552" t="str">
        <f>$C$10</f>
        <v>AGO</v>
      </c>
      <c r="Y10" s="553"/>
      <c r="Z10" s="554">
        <f>$E$10</f>
        <v>25</v>
      </c>
      <c r="AA10" s="553">
        <f t="shared" ref="AA10:AA22" si="9">Y10/30*Z10</f>
        <v>0</v>
      </c>
      <c r="AB10" s="555">
        <f t="shared" ref="AB10:AB22" si="10">(AB9*AA10)+AB9</f>
        <v>100</v>
      </c>
      <c r="AD10" s="550">
        <f t="shared" ref="AD10:AD22" si="11">W10+1</f>
        <v>2027</v>
      </c>
      <c r="AE10" s="552" t="str">
        <f>$C$10</f>
        <v>AGO</v>
      </c>
      <c r="AF10" s="553"/>
      <c r="AG10" s="554">
        <f>$E$10</f>
        <v>25</v>
      </c>
      <c r="AH10" s="553">
        <f t="shared" ref="AH10:AH22" si="12">AF10/30*AG10</f>
        <v>0</v>
      </c>
      <c r="AI10" s="555">
        <f t="shared" ref="AI10:AI22" si="13">(AI9*AH10)+AI9</f>
        <v>100</v>
      </c>
    </row>
    <row r="11" spans="1:35" x14ac:dyDescent="0.25">
      <c r="B11" s="550">
        <v>2023</v>
      </c>
      <c r="C11" s="552" t="s">
        <v>688</v>
      </c>
      <c r="D11" s="553"/>
      <c r="E11" s="554"/>
      <c r="F11" s="553">
        <f t="shared" si="0"/>
        <v>0</v>
      </c>
      <c r="G11" s="555">
        <f t="shared" si="1"/>
        <v>100</v>
      </c>
      <c r="I11" s="550">
        <f t="shared" si="2"/>
        <v>2024</v>
      </c>
      <c r="J11" s="552" t="str">
        <f>$C$11</f>
        <v>SET</v>
      </c>
      <c r="K11" s="553"/>
      <c r="L11" s="554"/>
      <c r="M11" s="553">
        <f t="shared" si="3"/>
        <v>0</v>
      </c>
      <c r="N11" s="555">
        <f t="shared" si="4"/>
        <v>100</v>
      </c>
      <c r="P11" s="550">
        <f t="shared" si="5"/>
        <v>2025</v>
      </c>
      <c r="Q11" s="552" t="str">
        <f>$C$11</f>
        <v>SET</v>
      </c>
      <c r="R11" s="553"/>
      <c r="S11" s="554"/>
      <c r="T11" s="553">
        <f t="shared" si="6"/>
        <v>0</v>
      </c>
      <c r="U11" s="555">
        <f t="shared" si="7"/>
        <v>100</v>
      </c>
      <c r="W11" s="550">
        <f t="shared" si="8"/>
        <v>2026</v>
      </c>
      <c r="X11" s="552" t="str">
        <f>$C$11</f>
        <v>SET</v>
      </c>
      <c r="Y11" s="553"/>
      <c r="Z11" s="554"/>
      <c r="AA11" s="553">
        <f t="shared" si="9"/>
        <v>0</v>
      </c>
      <c r="AB11" s="555">
        <f t="shared" si="10"/>
        <v>100</v>
      </c>
      <c r="AD11" s="550">
        <f t="shared" si="11"/>
        <v>2027</v>
      </c>
      <c r="AE11" s="552" t="str">
        <f>$C$11</f>
        <v>SET</v>
      </c>
      <c r="AF11" s="553"/>
      <c r="AG11" s="554"/>
      <c r="AH11" s="553">
        <f t="shared" si="12"/>
        <v>0</v>
      </c>
      <c r="AI11" s="555">
        <f t="shared" si="13"/>
        <v>100</v>
      </c>
    </row>
    <row r="12" spans="1:35" x14ac:dyDescent="0.25">
      <c r="B12" s="550">
        <v>2023</v>
      </c>
      <c r="C12" s="552" t="s">
        <v>689</v>
      </c>
      <c r="D12" s="553"/>
      <c r="E12" s="554"/>
      <c r="F12" s="553">
        <f t="shared" si="0"/>
        <v>0</v>
      </c>
      <c r="G12" s="555">
        <f t="shared" si="1"/>
        <v>100</v>
      </c>
      <c r="I12" s="550">
        <f t="shared" si="2"/>
        <v>2024</v>
      </c>
      <c r="J12" s="552" t="str">
        <f>$C$12</f>
        <v>OUT</v>
      </c>
      <c r="K12" s="553"/>
      <c r="L12" s="554"/>
      <c r="M12" s="553">
        <f t="shared" si="3"/>
        <v>0</v>
      </c>
      <c r="N12" s="555">
        <f t="shared" si="4"/>
        <v>100</v>
      </c>
      <c r="P12" s="550">
        <f t="shared" si="5"/>
        <v>2025</v>
      </c>
      <c r="Q12" s="552" t="str">
        <f>$C$12</f>
        <v>OUT</v>
      </c>
      <c r="R12" s="553"/>
      <c r="S12" s="554"/>
      <c r="T12" s="553">
        <f t="shared" si="6"/>
        <v>0</v>
      </c>
      <c r="U12" s="555">
        <f t="shared" si="7"/>
        <v>100</v>
      </c>
      <c r="W12" s="550">
        <f t="shared" si="8"/>
        <v>2026</v>
      </c>
      <c r="X12" s="552" t="str">
        <f>$C$12</f>
        <v>OUT</v>
      </c>
      <c r="Y12" s="553"/>
      <c r="Z12" s="554"/>
      <c r="AA12" s="553">
        <f t="shared" si="9"/>
        <v>0</v>
      </c>
      <c r="AB12" s="555">
        <f t="shared" si="10"/>
        <v>100</v>
      </c>
      <c r="AD12" s="550">
        <f t="shared" si="11"/>
        <v>2027</v>
      </c>
      <c r="AE12" s="552" t="str">
        <f>$C$12</f>
        <v>OUT</v>
      </c>
      <c r="AF12" s="553"/>
      <c r="AG12" s="554"/>
      <c r="AH12" s="553">
        <f t="shared" si="12"/>
        <v>0</v>
      </c>
      <c r="AI12" s="555">
        <f t="shared" si="13"/>
        <v>100</v>
      </c>
    </row>
    <row r="13" spans="1:35" x14ac:dyDescent="0.25">
      <c r="B13" s="550">
        <v>2023</v>
      </c>
      <c r="C13" s="552" t="s">
        <v>690</v>
      </c>
      <c r="D13" s="553"/>
      <c r="E13" s="554"/>
      <c r="F13" s="553">
        <f t="shared" si="0"/>
        <v>0</v>
      </c>
      <c r="G13" s="555">
        <f t="shared" si="1"/>
        <v>100</v>
      </c>
      <c r="I13" s="550">
        <f t="shared" si="2"/>
        <v>2024</v>
      </c>
      <c r="J13" s="552" t="str">
        <f>$C$13</f>
        <v>NOV</v>
      </c>
      <c r="K13" s="553"/>
      <c r="L13" s="554"/>
      <c r="M13" s="553">
        <f t="shared" si="3"/>
        <v>0</v>
      </c>
      <c r="N13" s="555">
        <f t="shared" si="4"/>
        <v>100</v>
      </c>
      <c r="P13" s="550">
        <f t="shared" si="5"/>
        <v>2025</v>
      </c>
      <c r="Q13" s="552" t="str">
        <f>$C$13</f>
        <v>NOV</v>
      </c>
      <c r="R13" s="553"/>
      <c r="S13" s="554"/>
      <c r="T13" s="553">
        <f t="shared" si="6"/>
        <v>0</v>
      </c>
      <c r="U13" s="555">
        <f t="shared" si="7"/>
        <v>100</v>
      </c>
      <c r="W13" s="550">
        <f t="shared" si="8"/>
        <v>2026</v>
      </c>
      <c r="X13" s="552" t="str">
        <f>$C$13</f>
        <v>NOV</v>
      </c>
      <c r="Y13" s="553"/>
      <c r="Z13" s="554"/>
      <c r="AA13" s="553">
        <f t="shared" si="9"/>
        <v>0</v>
      </c>
      <c r="AB13" s="555">
        <f t="shared" si="10"/>
        <v>100</v>
      </c>
      <c r="AD13" s="550">
        <f t="shared" si="11"/>
        <v>2027</v>
      </c>
      <c r="AE13" s="552" t="str">
        <f>$C$13</f>
        <v>NOV</v>
      </c>
      <c r="AF13" s="553"/>
      <c r="AG13" s="554"/>
      <c r="AH13" s="553">
        <f t="shared" si="12"/>
        <v>0</v>
      </c>
      <c r="AI13" s="555">
        <f t="shared" si="13"/>
        <v>100</v>
      </c>
    </row>
    <row r="14" spans="1:35" x14ac:dyDescent="0.25">
      <c r="B14" s="550">
        <v>2023</v>
      </c>
      <c r="C14" s="552" t="s">
        <v>691</v>
      </c>
      <c r="D14" s="553"/>
      <c r="E14" s="554"/>
      <c r="F14" s="553">
        <f t="shared" si="0"/>
        <v>0</v>
      </c>
      <c r="G14" s="555">
        <f t="shared" si="1"/>
        <v>100</v>
      </c>
      <c r="I14" s="550">
        <f t="shared" si="2"/>
        <v>2024</v>
      </c>
      <c r="J14" s="552" t="str">
        <f>$C$14</f>
        <v>DEZ</v>
      </c>
      <c r="K14" s="553"/>
      <c r="L14" s="554"/>
      <c r="M14" s="553">
        <f t="shared" si="3"/>
        <v>0</v>
      </c>
      <c r="N14" s="555">
        <f t="shared" si="4"/>
        <v>100</v>
      </c>
      <c r="P14" s="550">
        <f t="shared" si="5"/>
        <v>2025</v>
      </c>
      <c r="Q14" s="552" t="str">
        <f>$C$14</f>
        <v>DEZ</v>
      </c>
      <c r="R14" s="553"/>
      <c r="S14" s="554"/>
      <c r="T14" s="553">
        <f t="shared" si="6"/>
        <v>0</v>
      </c>
      <c r="U14" s="555">
        <f t="shared" si="7"/>
        <v>100</v>
      </c>
      <c r="W14" s="550">
        <f t="shared" si="8"/>
        <v>2026</v>
      </c>
      <c r="X14" s="552" t="str">
        <f>$C$14</f>
        <v>DEZ</v>
      </c>
      <c r="Y14" s="553"/>
      <c r="Z14" s="554"/>
      <c r="AA14" s="553">
        <f t="shared" si="9"/>
        <v>0</v>
      </c>
      <c r="AB14" s="555">
        <f t="shared" si="10"/>
        <v>100</v>
      </c>
      <c r="AD14" s="550">
        <f t="shared" si="11"/>
        <v>2027</v>
      </c>
      <c r="AE14" s="552" t="str">
        <f>$C$14</f>
        <v>DEZ</v>
      </c>
      <c r="AF14" s="553"/>
      <c r="AG14" s="554"/>
      <c r="AH14" s="553">
        <f t="shared" si="12"/>
        <v>0</v>
      </c>
      <c r="AI14" s="555">
        <f t="shared" si="13"/>
        <v>100</v>
      </c>
    </row>
    <row r="15" spans="1:35" x14ac:dyDescent="0.25">
      <c r="B15" s="550">
        <v>2023</v>
      </c>
      <c r="C15" s="552" t="s">
        <v>691</v>
      </c>
      <c r="D15" s="553"/>
      <c r="E15" s="554"/>
      <c r="F15" s="553">
        <f t="shared" si="0"/>
        <v>0</v>
      </c>
      <c r="G15" s="555">
        <f t="shared" si="1"/>
        <v>100</v>
      </c>
      <c r="I15" s="550">
        <f t="shared" si="2"/>
        <v>2024</v>
      </c>
      <c r="J15" s="552" t="str">
        <f>$C$15</f>
        <v>DEZ</v>
      </c>
      <c r="K15" s="553"/>
      <c r="L15" s="554"/>
      <c r="M15" s="553">
        <f t="shared" si="3"/>
        <v>0</v>
      </c>
      <c r="N15" s="555">
        <f t="shared" si="4"/>
        <v>100</v>
      </c>
      <c r="P15" s="550">
        <f t="shared" si="5"/>
        <v>2025</v>
      </c>
      <c r="Q15" s="552" t="str">
        <f>$C$15</f>
        <v>DEZ</v>
      </c>
      <c r="R15" s="553"/>
      <c r="S15" s="554"/>
      <c r="T15" s="553">
        <f t="shared" si="6"/>
        <v>0</v>
      </c>
      <c r="U15" s="555">
        <f t="shared" si="7"/>
        <v>100</v>
      </c>
      <c r="W15" s="550">
        <f t="shared" si="8"/>
        <v>2026</v>
      </c>
      <c r="X15" s="552" t="str">
        <f>$C$15</f>
        <v>DEZ</v>
      </c>
      <c r="Y15" s="553"/>
      <c r="Z15" s="554"/>
      <c r="AA15" s="553">
        <f t="shared" si="9"/>
        <v>0</v>
      </c>
      <c r="AB15" s="555">
        <f t="shared" si="10"/>
        <v>100</v>
      </c>
      <c r="AD15" s="550">
        <f t="shared" si="11"/>
        <v>2027</v>
      </c>
      <c r="AE15" s="552" t="str">
        <f>$C$15</f>
        <v>DEZ</v>
      </c>
      <c r="AF15" s="553"/>
      <c r="AG15" s="554"/>
      <c r="AH15" s="553">
        <f t="shared" si="12"/>
        <v>0</v>
      </c>
      <c r="AI15" s="555">
        <f t="shared" si="13"/>
        <v>100</v>
      </c>
    </row>
    <row r="16" spans="1:35" x14ac:dyDescent="0.25">
      <c r="B16" s="550">
        <v>2024</v>
      </c>
      <c r="C16" s="556" t="s">
        <v>692</v>
      </c>
      <c r="D16" s="557"/>
      <c r="E16" s="558"/>
      <c r="F16" s="553">
        <f t="shared" si="0"/>
        <v>0</v>
      </c>
      <c r="G16" s="555">
        <f t="shared" si="1"/>
        <v>100</v>
      </c>
      <c r="I16" s="550">
        <f t="shared" si="2"/>
        <v>2025</v>
      </c>
      <c r="J16" s="552" t="str">
        <f>$C$16</f>
        <v>JAN</v>
      </c>
      <c r="K16" s="557"/>
      <c r="L16" s="554"/>
      <c r="M16" s="553">
        <f t="shared" si="3"/>
        <v>0</v>
      </c>
      <c r="N16" s="555">
        <f t="shared" si="4"/>
        <v>100</v>
      </c>
      <c r="P16" s="550">
        <f t="shared" si="5"/>
        <v>2026</v>
      </c>
      <c r="Q16" s="552" t="str">
        <f>$C$16</f>
        <v>JAN</v>
      </c>
      <c r="R16" s="557"/>
      <c r="S16" s="554"/>
      <c r="T16" s="553">
        <f t="shared" si="6"/>
        <v>0</v>
      </c>
      <c r="U16" s="555">
        <f t="shared" si="7"/>
        <v>100</v>
      </c>
      <c r="W16" s="550">
        <f t="shared" si="8"/>
        <v>2027</v>
      </c>
      <c r="X16" s="552" t="str">
        <f>$C$16</f>
        <v>JAN</v>
      </c>
      <c r="Y16" s="557"/>
      <c r="Z16" s="554"/>
      <c r="AA16" s="553">
        <f t="shared" si="9"/>
        <v>0</v>
      </c>
      <c r="AB16" s="555">
        <f t="shared" si="10"/>
        <v>100</v>
      </c>
      <c r="AD16" s="550">
        <f t="shared" si="11"/>
        <v>2028</v>
      </c>
      <c r="AE16" s="552" t="str">
        <f>$C$16</f>
        <v>JAN</v>
      </c>
      <c r="AF16" s="557"/>
      <c r="AG16" s="554"/>
      <c r="AH16" s="553">
        <f t="shared" si="12"/>
        <v>0</v>
      </c>
      <c r="AI16" s="555">
        <f t="shared" si="13"/>
        <v>100</v>
      </c>
    </row>
    <row r="17" spans="2:35" x14ac:dyDescent="0.25">
      <c r="B17" s="550">
        <v>2024</v>
      </c>
      <c r="C17" s="552" t="s">
        <v>693</v>
      </c>
      <c r="D17" s="553"/>
      <c r="E17" s="554"/>
      <c r="F17" s="553">
        <f t="shared" si="0"/>
        <v>0</v>
      </c>
      <c r="G17" s="555">
        <f t="shared" si="1"/>
        <v>100</v>
      </c>
      <c r="I17" s="550">
        <f t="shared" si="2"/>
        <v>2025</v>
      </c>
      <c r="J17" s="552" t="str">
        <f>$C$17</f>
        <v>FEV</v>
      </c>
      <c r="K17" s="553"/>
      <c r="L17" s="554"/>
      <c r="M17" s="553">
        <f t="shared" si="3"/>
        <v>0</v>
      </c>
      <c r="N17" s="555">
        <f t="shared" si="4"/>
        <v>100</v>
      </c>
      <c r="P17" s="550">
        <f t="shared" si="5"/>
        <v>2026</v>
      </c>
      <c r="Q17" s="552" t="str">
        <f>$C$17</f>
        <v>FEV</v>
      </c>
      <c r="R17" s="553"/>
      <c r="S17" s="554"/>
      <c r="T17" s="553">
        <f t="shared" si="6"/>
        <v>0</v>
      </c>
      <c r="U17" s="555">
        <f t="shared" si="7"/>
        <v>100</v>
      </c>
      <c r="W17" s="550">
        <f t="shared" si="8"/>
        <v>2027</v>
      </c>
      <c r="X17" s="552" t="str">
        <f>$C$17</f>
        <v>FEV</v>
      </c>
      <c r="Y17" s="553"/>
      <c r="Z17" s="554"/>
      <c r="AA17" s="553">
        <f t="shared" si="9"/>
        <v>0</v>
      </c>
      <c r="AB17" s="555">
        <f t="shared" si="10"/>
        <v>100</v>
      </c>
      <c r="AD17" s="550">
        <f t="shared" si="11"/>
        <v>2028</v>
      </c>
      <c r="AE17" s="552" t="str">
        <f>$C$17</f>
        <v>FEV</v>
      </c>
      <c r="AF17" s="553"/>
      <c r="AG17" s="554"/>
      <c r="AH17" s="553">
        <f t="shared" si="12"/>
        <v>0</v>
      </c>
      <c r="AI17" s="555">
        <f t="shared" si="13"/>
        <v>100</v>
      </c>
    </row>
    <row r="18" spans="2:35" x14ac:dyDescent="0.25">
      <c r="B18" s="550">
        <v>2024</v>
      </c>
      <c r="C18" s="556" t="s">
        <v>694</v>
      </c>
      <c r="D18" s="553"/>
      <c r="E18" s="554"/>
      <c r="F18" s="553">
        <f t="shared" si="0"/>
        <v>0</v>
      </c>
      <c r="G18" s="555">
        <f t="shared" si="1"/>
        <v>100</v>
      </c>
      <c r="I18" s="550">
        <f t="shared" si="2"/>
        <v>2025</v>
      </c>
      <c r="J18" s="552" t="str">
        <f>$C$18</f>
        <v>MAR</v>
      </c>
      <c r="K18" s="553"/>
      <c r="L18" s="554"/>
      <c r="M18" s="553">
        <f t="shared" si="3"/>
        <v>0</v>
      </c>
      <c r="N18" s="555">
        <f t="shared" si="4"/>
        <v>100</v>
      </c>
      <c r="P18" s="550">
        <f t="shared" si="5"/>
        <v>2026</v>
      </c>
      <c r="Q18" s="552" t="str">
        <f>$C$18</f>
        <v>MAR</v>
      </c>
      <c r="R18" s="553"/>
      <c r="S18" s="554"/>
      <c r="T18" s="553">
        <f t="shared" si="6"/>
        <v>0</v>
      </c>
      <c r="U18" s="555">
        <f t="shared" si="7"/>
        <v>100</v>
      </c>
      <c r="W18" s="550">
        <f t="shared" si="8"/>
        <v>2027</v>
      </c>
      <c r="X18" s="552" t="str">
        <f>$C$18</f>
        <v>MAR</v>
      </c>
      <c r="Y18" s="553"/>
      <c r="Z18" s="554"/>
      <c r="AA18" s="553">
        <f t="shared" si="9"/>
        <v>0</v>
      </c>
      <c r="AB18" s="555">
        <f t="shared" si="10"/>
        <v>100</v>
      </c>
      <c r="AD18" s="550">
        <f t="shared" si="11"/>
        <v>2028</v>
      </c>
      <c r="AE18" s="552" t="str">
        <f>$C$18</f>
        <v>MAR</v>
      </c>
      <c r="AF18" s="553"/>
      <c r="AG18" s="554"/>
      <c r="AH18" s="553">
        <f t="shared" si="12"/>
        <v>0</v>
      </c>
      <c r="AI18" s="555">
        <f t="shared" si="13"/>
        <v>100</v>
      </c>
    </row>
    <row r="19" spans="2:35" x14ac:dyDescent="0.25">
      <c r="B19" s="550">
        <v>2024</v>
      </c>
      <c r="C19" s="552" t="s">
        <v>695</v>
      </c>
      <c r="D19" s="553"/>
      <c r="E19" s="554"/>
      <c r="F19" s="553">
        <f t="shared" si="0"/>
        <v>0</v>
      </c>
      <c r="G19" s="555">
        <f t="shared" si="1"/>
        <v>100</v>
      </c>
      <c r="I19" s="550">
        <f t="shared" si="2"/>
        <v>2025</v>
      </c>
      <c r="J19" s="552" t="str">
        <f>$C$19</f>
        <v>ABR</v>
      </c>
      <c r="K19" s="553"/>
      <c r="L19" s="554"/>
      <c r="M19" s="553">
        <f t="shared" si="3"/>
        <v>0</v>
      </c>
      <c r="N19" s="555">
        <f t="shared" si="4"/>
        <v>100</v>
      </c>
      <c r="P19" s="550">
        <f t="shared" si="5"/>
        <v>2026</v>
      </c>
      <c r="Q19" s="552" t="str">
        <f>$C$19</f>
        <v>ABR</v>
      </c>
      <c r="R19" s="553"/>
      <c r="S19" s="554"/>
      <c r="T19" s="553">
        <f t="shared" si="6"/>
        <v>0</v>
      </c>
      <c r="U19" s="555">
        <f t="shared" si="7"/>
        <v>100</v>
      </c>
      <c r="W19" s="550">
        <f t="shared" si="8"/>
        <v>2027</v>
      </c>
      <c r="X19" s="552" t="str">
        <f>$C$19</f>
        <v>ABR</v>
      </c>
      <c r="Y19" s="553"/>
      <c r="Z19" s="554"/>
      <c r="AA19" s="553">
        <f t="shared" si="9"/>
        <v>0</v>
      </c>
      <c r="AB19" s="555">
        <f t="shared" si="10"/>
        <v>100</v>
      </c>
      <c r="AD19" s="550">
        <f t="shared" si="11"/>
        <v>2028</v>
      </c>
      <c r="AE19" s="552" t="str">
        <f>$C$19</f>
        <v>ABR</v>
      </c>
      <c r="AF19" s="553"/>
      <c r="AG19" s="554"/>
      <c r="AH19" s="553">
        <f t="shared" si="12"/>
        <v>0</v>
      </c>
      <c r="AI19" s="555">
        <f t="shared" si="13"/>
        <v>100</v>
      </c>
    </row>
    <row r="20" spans="2:35" x14ac:dyDescent="0.25">
      <c r="B20" s="550">
        <v>2024</v>
      </c>
      <c r="C20" s="556" t="s">
        <v>696</v>
      </c>
      <c r="D20" s="553"/>
      <c r="E20" s="554"/>
      <c r="F20" s="553">
        <f t="shared" si="0"/>
        <v>0</v>
      </c>
      <c r="G20" s="555">
        <f t="shared" si="1"/>
        <v>100</v>
      </c>
      <c r="I20" s="550">
        <f t="shared" si="2"/>
        <v>2025</v>
      </c>
      <c r="J20" s="552" t="str">
        <f>$C$20</f>
        <v>MAI</v>
      </c>
      <c r="K20" s="553"/>
      <c r="L20" s="554"/>
      <c r="M20" s="553">
        <f t="shared" si="3"/>
        <v>0</v>
      </c>
      <c r="N20" s="555">
        <f t="shared" si="4"/>
        <v>100</v>
      </c>
      <c r="P20" s="550">
        <f t="shared" si="5"/>
        <v>2026</v>
      </c>
      <c r="Q20" s="552" t="str">
        <f>$C$20</f>
        <v>MAI</v>
      </c>
      <c r="R20" s="553"/>
      <c r="S20" s="554"/>
      <c r="T20" s="553">
        <f t="shared" si="6"/>
        <v>0</v>
      </c>
      <c r="U20" s="555">
        <f t="shared" si="7"/>
        <v>100</v>
      </c>
      <c r="W20" s="550">
        <f t="shared" si="8"/>
        <v>2027</v>
      </c>
      <c r="X20" s="552" t="str">
        <f>$C$20</f>
        <v>MAI</v>
      </c>
      <c r="Y20" s="553"/>
      <c r="Z20" s="554"/>
      <c r="AA20" s="553">
        <f t="shared" si="9"/>
        <v>0</v>
      </c>
      <c r="AB20" s="555">
        <f t="shared" si="10"/>
        <v>100</v>
      </c>
      <c r="AD20" s="550">
        <f t="shared" si="11"/>
        <v>2028</v>
      </c>
      <c r="AE20" s="552" t="str">
        <f>$C$20</f>
        <v>MAI</v>
      </c>
      <c r="AF20" s="553"/>
      <c r="AG20" s="554"/>
      <c r="AH20" s="553">
        <f t="shared" si="12"/>
        <v>0</v>
      </c>
      <c r="AI20" s="555">
        <f t="shared" si="13"/>
        <v>100</v>
      </c>
    </row>
    <row r="21" spans="2:35" x14ac:dyDescent="0.25">
      <c r="B21" s="550">
        <v>2024</v>
      </c>
      <c r="C21" s="552" t="s">
        <v>697</v>
      </c>
      <c r="D21" s="553"/>
      <c r="E21" s="554"/>
      <c r="F21" s="553">
        <f t="shared" si="0"/>
        <v>0</v>
      </c>
      <c r="G21" s="555">
        <f t="shared" si="1"/>
        <v>100</v>
      </c>
      <c r="I21" s="550">
        <f t="shared" si="2"/>
        <v>2025</v>
      </c>
      <c r="J21" s="552" t="str">
        <f>$C$21</f>
        <v>JUN</v>
      </c>
      <c r="K21" s="553"/>
      <c r="L21" s="554"/>
      <c r="M21" s="553">
        <f t="shared" si="3"/>
        <v>0</v>
      </c>
      <c r="N21" s="555">
        <f t="shared" si="4"/>
        <v>100</v>
      </c>
      <c r="P21" s="550">
        <f t="shared" si="5"/>
        <v>2026</v>
      </c>
      <c r="Q21" s="552" t="str">
        <f>$C$21</f>
        <v>JUN</v>
      </c>
      <c r="R21" s="553"/>
      <c r="S21" s="554"/>
      <c r="T21" s="553">
        <f t="shared" si="6"/>
        <v>0</v>
      </c>
      <c r="U21" s="555">
        <f t="shared" si="7"/>
        <v>100</v>
      </c>
      <c r="W21" s="550">
        <f t="shared" si="8"/>
        <v>2027</v>
      </c>
      <c r="X21" s="552" t="str">
        <f>$C$21</f>
        <v>JUN</v>
      </c>
      <c r="Y21" s="553"/>
      <c r="Z21" s="554"/>
      <c r="AA21" s="553">
        <f t="shared" si="9"/>
        <v>0</v>
      </c>
      <c r="AB21" s="555">
        <f t="shared" si="10"/>
        <v>100</v>
      </c>
      <c r="AD21" s="550">
        <f t="shared" si="11"/>
        <v>2028</v>
      </c>
      <c r="AE21" s="552" t="str">
        <f>$C$21</f>
        <v>JUN</v>
      </c>
      <c r="AF21" s="553"/>
      <c r="AG21" s="554"/>
      <c r="AH21" s="553">
        <f t="shared" si="12"/>
        <v>0</v>
      </c>
      <c r="AI21" s="555">
        <f t="shared" si="13"/>
        <v>100</v>
      </c>
    </row>
    <row r="22" spans="2:35" x14ac:dyDescent="0.25">
      <c r="B22" s="550">
        <v>2024</v>
      </c>
      <c r="C22" s="556" t="s">
        <v>698</v>
      </c>
      <c r="D22" s="553"/>
      <c r="E22" s="554">
        <v>5</v>
      </c>
      <c r="F22" s="553">
        <f t="shared" si="0"/>
        <v>0</v>
      </c>
      <c r="G22" s="555">
        <f t="shared" si="1"/>
        <v>100</v>
      </c>
      <c r="I22" s="550">
        <f t="shared" si="2"/>
        <v>2025</v>
      </c>
      <c r="J22" s="552" t="str">
        <f>$C$22</f>
        <v>JUL</v>
      </c>
      <c r="K22" s="553"/>
      <c r="L22" s="554">
        <f>$E$22</f>
        <v>5</v>
      </c>
      <c r="M22" s="553">
        <f t="shared" si="3"/>
        <v>0</v>
      </c>
      <c r="N22" s="555">
        <f t="shared" si="4"/>
        <v>100</v>
      </c>
      <c r="P22" s="550">
        <f t="shared" si="5"/>
        <v>2026</v>
      </c>
      <c r="Q22" s="552" t="str">
        <f>$C$22</f>
        <v>JUL</v>
      </c>
      <c r="R22" s="553"/>
      <c r="S22" s="554">
        <f>$E$22</f>
        <v>5</v>
      </c>
      <c r="T22" s="553">
        <f t="shared" si="6"/>
        <v>0</v>
      </c>
      <c r="U22" s="555">
        <f t="shared" si="7"/>
        <v>100</v>
      </c>
      <c r="W22" s="550">
        <f t="shared" si="8"/>
        <v>2027</v>
      </c>
      <c r="X22" s="552" t="str">
        <f>$C$22</f>
        <v>JUL</v>
      </c>
      <c r="Y22" s="553"/>
      <c r="Z22" s="554">
        <f>$E$22</f>
        <v>5</v>
      </c>
      <c r="AA22" s="553">
        <f t="shared" si="9"/>
        <v>0</v>
      </c>
      <c r="AB22" s="555">
        <f t="shared" si="10"/>
        <v>100</v>
      </c>
      <c r="AD22" s="550">
        <f t="shared" si="11"/>
        <v>2028</v>
      </c>
      <c r="AE22" s="552" t="str">
        <f>$C$22</f>
        <v>JUL</v>
      </c>
      <c r="AF22" s="553"/>
      <c r="AG22" s="554">
        <f>$E$22</f>
        <v>5</v>
      </c>
      <c r="AH22" s="553">
        <f t="shared" si="12"/>
        <v>0</v>
      </c>
      <c r="AI22" s="555">
        <f t="shared" si="13"/>
        <v>100</v>
      </c>
    </row>
    <row r="23" spans="2:35" x14ac:dyDescent="0.25">
      <c r="B23" s="724" t="s">
        <v>699</v>
      </c>
      <c r="C23" s="724"/>
      <c r="D23" s="724"/>
      <c r="E23" s="724"/>
      <c r="F23" s="724"/>
      <c r="G23" s="559">
        <f>ROUND(((G22-G9)/G9),4)</f>
        <v>0</v>
      </c>
      <c r="I23" s="724" t="s">
        <v>699</v>
      </c>
      <c r="J23" s="724"/>
      <c r="K23" s="724"/>
      <c r="L23" s="724"/>
      <c r="M23" s="724"/>
      <c r="N23" s="559">
        <f>ROUND(((N22-N9)/N9),4)</f>
        <v>0</v>
      </c>
      <c r="P23" s="724" t="s">
        <v>699</v>
      </c>
      <c r="Q23" s="724"/>
      <c r="R23" s="724"/>
      <c r="S23" s="724"/>
      <c r="T23" s="724"/>
      <c r="U23" s="559">
        <f>ROUND(((U22-U9)/U9),4)</f>
        <v>0</v>
      </c>
      <c r="W23" s="724" t="s">
        <v>699</v>
      </c>
      <c r="X23" s="724"/>
      <c r="Y23" s="724"/>
      <c r="Z23" s="724"/>
      <c r="AA23" s="724"/>
      <c r="AB23" s="559">
        <f>ROUND(((AB22-AB9)/AB9),4)</f>
        <v>0</v>
      </c>
      <c r="AD23" s="724" t="s">
        <v>699</v>
      </c>
      <c r="AE23" s="724"/>
      <c r="AF23" s="724"/>
      <c r="AG23" s="724"/>
      <c r="AH23" s="724"/>
      <c r="AI23" s="559">
        <f>ROUND(((AI22-AI9)/AI9),4)</f>
        <v>0</v>
      </c>
    </row>
  </sheetData>
  <sheetProtection sheet="1" objects="1" scenarios="1"/>
  <mergeCells count="20">
    <mergeCell ref="B6:G6"/>
    <mergeCell ref="I6:N6"/>
    <mergeCell ref="P6:U6"/>
    <mergeCell ref="W6:AB6"/>
    <mergeCell ref="AD6:AI6"/>
    <mergeCell ref="C7:G7"/>
    <mergeCell ref="J7:N7"/>
    <mergeCell ref="Q7:U7"/>
    <mergeCell ref="X7:AB7"/>
    <mergeCell ref="AE7:AI7"/>
    <mergeCell ref="B8:C8"/>
    <mergeCell ref="I8:J8"/>
    <mergeCell ref="P8:Q8"/>
    <mergeCell ref="W8:X8"/>
    <mergeCell ref="AD8:AE8"/>
    <mergeCell ref="B23:F23"/>
    <mergeCell ref="I23:M23"/>
    <mergeCell ref="P23:T23"/>
    <mergeCell ref="W23:AA23"/>
    <mergeCell ref="AD23:AH23"/>
  </mergeCells>
  <pageMargins left="0.51180555555555596" right="0.51180555555555596" top="0.78749999999999998" bottom="0.78749999999999998" header="0.511811023622047" footer="0.511811023622047"/>
  <pageSetup paperSize="9" scale="5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83"/>
  <sheetViews>
    <sheetView showGridLines="0" view="pageBreakPreview" zoomScaleNormal="130" workbookViewId="0"/>
  </sheetViews>
  <sheetFormatPr defaultColWidth="8.7109375" defaultRowHeight="15" x14ac:dyDescent="0.25"/>
  <cols>
    <col min="1" max="1" width="6.28515625" style="63" customWidth="1"/>
    <col min="2" max="2" width="8.7109375" style="96"/>
    <col min="3" max="3" width="4" style="68" customWidth="1"/>
    <col min="4" max="23" width="9.140625" style="68" customWidth="1"/>
    <col min="24" max="24" width="10.7109375" style="68" customWidth="1"/>
    <col min="25" max="256" width="9.140625" style="68" customWidth="1"/>
    <col min="257" max="257" width="4.5703125" style="68" customWidth="1"/>
    <col min="258" max="258" width="11.140625" style="68" customWidth="1"/>
    <col min="259" max="259" width="4" style="68" customWidth="1"/>
    <col min="260" max="512" width="9.140625" style="68" customWidth="1"/>
    <col min="513" max="513" width="4.5703125" style="68" customWidth="1"/>
    <col min="514" max="514" width="11.140625" style="68" customWidth="1"/>
    <col min="515" max="515" width="4" style="68" customWidth="1"/>
    <col min="516" max="768" width="9.140625" style="68" customWidth="1"/>
    <col min="769" max="769" width="4.5703125" style="68" customWidth="1"/>
    <col min="770" max="770" width="11.140625" style="68" customWidth="1"/>
    <col min="771" max="771" width="4" style="68" customWidth="1"/>
    <col min="772" max="1025" width="9.140625" style="68" customWidth="1"/>
  </cols>
  <sheetData>
    <row r="1" spans="1:24" x14ac:dyDescent="0.25">
      <c r="A1" s="97"/>
      <c r="B1" s="98" t="s">
        <v>85</v>
      </c>
    </row>
    <row r="2" spans="1:24" x14ac:dyDescent="0.25">
      <c r="A2" s="99"/>
      <c r="B2" s="100" t="s">
        <v>86</v>
      </c>
    </row>
    <row r="3" spans="1:24" x14ac:dyDescent="0.25">
      <c r="A3" s="99"/>
      <c r="B3" s="68" t="s">
        <v>87</v>
      </c>
    </row>
    <row r="4" spans="1:24" s="19" customFormat="1" ht="15.75" x14ac:dyDescent="0.25">
      <c r="A4" s="591" t="s">
        <v>88</v>
      </c>
      <c r="B4" s="591"/>
      <c r="C4" s="591"/>
      <c r="D4" s="591"/>
      <c r="E4" s="591"/>
      <c r="F4" s="591"/>
      <c r="G4" s="591"/>
      <c r="H4" s="591"/>
      <c r="I4" s="591"/>
      <c r="J4" s="591"/>
      <c r="K4" s="591"/>
      <c r="L4" s="591"/>
      <c r="M4" s="591"/>
      <c r="N4" s="591"/>
      <c r="O4" s="591"/>
      <c r="P4" s="591"/>
      <c r="Q4" s="591"/>
      <c r="R4" s="591"/>
      <c r="S4" s="591"/>
      <c r="T4" s="591"/>
      <c r="U4" s="591"/>
      <c r="V4" s="591"/>
      <c r="W4" s="591"/>
      <c r="X4" s="591"/>
    </row>
    <row r="5" spans="1:24" ht="12" customHeight="1" x14ac:dyDescent="0.25"/>
    <row r="6" spans="1:24" x14ac:dyDescent="0.25">
      <c r="A6" s="102" t="s">
        <v>89</v>
      </c>
      <c r="B6" s="103" t="s">
        <v>90</v>
      </c>
    </row>
    <row r="7" spans="1:24" ht="17.25" customHeight="1" x14ac:dyDescent="0.25"/>
    <row r="8" spans="1:24" x14ac:dyDescent="0.25">
      <c r="B8" s="104"/>
      <c r="C8" s="96" t="s">
        <v>91</v>
      </c>
    </row>
    <row r="10" spans="1:24" x14ac:dyDescent="0.25">
      <c r="A10" s="102" t="s">
        <v>92</v>
      </c>
      <c r="B10" s="96" t="s">
        <v>93</v>
      </c>
    </row>
    <row r="12" spans="1:24" x14ac:dyDescent="0.25">
      <c r="A12" s="102" t="s">
        <v>94</v>
      </c>
      <c r="B12" s="96" t="s">
        <v>95</v>
      </c>
    </row>
    <row r="13" spans="1:24" x14ac:dyDescent="0.25">
      <c r="A13" s="102"/>
      <c r="B13" s="96" t="s">
        <v>96</v>
      </c>
    </row>
    <row r="14" spans="1:24" s="106" customFormat="1" ht="17.25" customHeight="1" x14ac:dyDescent="0.25">
      <c r="A14" s="102"/>
      <c r="B14" s="105" t="s">
        <v>97</v>
      </c>
    </row>
    <row r="15" spans="1:24" ht="7.5" customHeight="1" x14ac:dyDescent="0.25"/>
    <row r="16" spans="1:24" x14ac:dyDescent="0.25">
      <c r="B16" s="107" t="s">
        <v>98</v>
      </c>
      <c r="C16" s="108" t="s">
        <v>99</v>
      </c>
      <c r="D16" s="108"/>
      <c r="E16" s="108"/>
      <c r="F16" s="108"/>
      <c r="G16" s="108"/>
    </row>
    <row r="18" spans="3:4" x14ac:dyDescent="0.25">
      <c r="C18" s="109" t="s">
        <v>100</v>
      </c>
      <c r="D18" s="109" t="s">
        <v>101</v>
      </c>
    </row>
    <row r="19" spans="3:4" x14ac:dyDescent="0.25">
      <c r="D19" s="68" t="s">
        <v>102</v>
      </c>
    </row>
    <row r="20" spans="3:4" x14ac:dyDescent="0.25">
      <c r="D20" s="68" t="s">
        <v>103</v>
      </c>
    </row>
    <row r="21" spans="3:4" x14ac:dyDescent="0.25">
      <c r="C21" s="109"/>
      <c r="D21" s="68" t="s">
        <v>104</v>
      </c>
    </row>
    <row r="22" spans="3:4" x14ac:dyDescent="0.25">
      <c r="D22" s="68" t="s">
        <v>105</v>
      </c>
    </row>
    <row r="23" spans="3:4" x14ac:dyDescent="0.25">
      <c r="D23" s="68" t="s">
        <v>106</v>
      </c>
    </row>
    <row r="24" spans="3:4" x14ac:dyDescent="0.25">
      <c r="D24" s="68" t="s">
        <v>107</v>
      </c>
    </row>
    <row r="25" spans="3:4" x14ac:dyDescent="0.25">
      <c r="D25" s="68" t="s">
        <v>108</v>
      </c>
    </row>
    <row r="26" spans="3:4" x14ac:dyDescent="0.25">
      <c r="D26" s="68" t="s">
        <v>109</v>
      </c>
    </row>
    <row r="27" spans="3:4" x14ac:dyDescent="0.25">
      <c r="D27" s="68" t="s">
        <v>110</v>
      </c>
    </row>
    <row r="28" spans="3:4" x14ac:dyDescent="0.25">
      <c r="D28" s="68" t="s">
        <v>111</v>
      </c>
    </row>
    <row r="29" spans="3:4" x14ac:dyDescent="0.25">
      <c r="D29" s="68" t="s">
        <v>112</v>
      </c>
    </row>
    <row r="30" spans="3:4" x14ac:dyDescent="0.25">
      <c r="D30" s="68" t="s">
        <v>113</v>
      </c>
    </row>
    <row r="31" spans="3:4" x14ac:dyDescent="0.25">
      <c r="D31" s="68" t="s">
        <v>114</v>
      </c>
    </row>
    <row r="32" spans="3:4" x14ac:dyDescent="0.25">
      <c r="D32" s="68" t="s">
        <v>115</v>
      </c>
    </row>
    <row r="33" spans="3:8" x14ac:dyDescent="0.25">
      <c r="D33" s="68" t="s">
        <v>116</v>
      </c>
    </row>
    <row r="34" spans="3:8" x14ac:dyDescent="0.25">
      <c r="D34" s="68" t="s">
        <v>116</v>
      </c>
    </row>
    <row r="35" spans="3:8" x14ac:dyDescent="0.25">
      <c r="D35" s="68" t="s">
        <v>117</v>
      </c>
    </row>
    <row r="36" spans="3:8" x14ac:dyDescent="0.25">
      <c r="D36" s="68" t="s">
        <v>118</v>
      </c>
    </row>
    <row r="37" spans="3:8" x14ac:dyDescent="0.25">
      <c r="D37" s="68" t="s">
        <v>119</v>
      </c>
    </row>
    <row r="38" spans="3:8" x14ac:dyDescent="0.25">
      <c r="D38" s="68" t="s">
        <v>120</v>
      </c>
    </row>
    <row r="39" spans="3:8" x14ac:dyDescent="0.25">
      <c r="D39" s="68" t="s">
        <v>121</v>
      </c>
    </row>
    <row r="40" spans="3:8" x14ac:dyDescent="0.25">
      <c r="D40" s="68" t="s">
        <v>122</v>
      </c>
    </row>
    <row r="41" spans="3:8" x14ac:dyDescent="0.25">
      <c r="D41" s="68" t="s">
        <v>123</v>
      </c>
    </row>
    <row r="42" spans="3:8" x14ac:dyDescent="0.25">
      <c r="D42" s="108" t="s">
        <v>124</v>
      </c>
      <c r="E42" s="108"/>
      <c r="F42" s="108"/>
      <c r="G42" s="108"/>
      <c r="H42" s="108"/>
    </row>
    <row r="44" spans="3:8" x14ac:dyDescent="0.25">
      <c r="C44" s="109" t="s">
        <v>125</v>
      </c>
      <c r="D44" s="109" t="s">
        <v>126</v>
      </c>
    </row>
    <row r="45" spans="3:8" x14ac:dyDescent="0.25">
      <c r="D45" s="68" t="s">
        <v>127</v>
      </c>
    </row>
    <row r="46" spans="3:8" x14ac:dyDescent="0.25">
      <c r="D46" s="68" t="s">
        <v>128</v>
      </c>
    </row>
    <row r="47" spans="3:8" x14ac:dyDescent="0.25">
      <c r="D47" s="108" t="s">
        <v>124</v>
      </c>
      <c r="E47" s="108"/>
      <c r="F47" s="108"/>
      <c r="G47" s="108"/>
      <c r="H47" s="108"/>
    </row>
    <row r="49" spans="3:8" x14ac:dyDescent="0.25">
      <c r="C49" s="109" t="s">
        <v>129</v>
      </c>
      <c r="D49" s="109" t="s">
        <v>130</v>
      </c>
    </row>
    <row r="50" spans="3:8" x14ac:dyDescent="0.25">
      <c r="D50" s="68" t="s">
        <v>131</v>
      </c>
    </row>
    <row r="51" spans="3:8" x14ac:dyDescent="0.25">
      <c r="D51" s="68" t="s">
        <v>132</v>
      </c>
    </row>
    <row r="52" spans="3:8" x14ac:dyDescent="0.25">
      <c r="E52" s="68" t="s">
        <v>133</v>
      </c>
    </row>
    <row r="53" spans="3:8" x14ac:dyDescent="0.25">
      <c r="E53" s="68" t="s">
        <v>134</v>
      </c>
    </row>
    <row r="54" spans="3:8" x14ac:dyDescent="0.25">
      <c r="D54" s="68" t="s">
        <v>135</v>
      </c>
    </row>
    <row r="55" spans="3:8" x14ac:dyDescent="0.25">
      <c r="D55" s="108" t="s">
        <v>124</v>
      </c>
      <c r="E55" s="108"/>
      <c r="F55" s="108"/>
      <c r="G55" s="108"/>
      <c r="H55" s="108"/>
    </row>
    <row r="57" spans="3:8" x14ac:dyDescent="0.25">
      <c r="C57" s="109" t="s">
        <v>136</v>
      </c>
      <c r="D57" s="109" t="s">
        <v>137</v>
      </c>
    </row>
    <row r="58" spans="3:8" x14ac:dyDescent="0.25">
      <c r="D58" s="68" t="s">
        <v>138</v>
      </c>
    </row>
    <row r="59" spans="3:8" x14ac:dyDescent="0.25">
      <c r="D59" s="108" t="s">
        <v>124</v>
      </c>
      <c r="E59" s="108"/>
      <c r="F59" s="108"/>
      <c r="G59" s="108"/>
      <c r="H59" s="108"/>
    </row>
    <row r="61" spans="3:8" x14ac:dyDescent="0.25">
      <c r="C61" s="109" t="s">
        <v>139</v>
      </c>
      <c r="D61" s="109" t="s">
        <v>140</v>
      </c>
    </row>
    <row r="62" spans="3:8" x14ac:dyDescent="0.25">
      <c r="D62" s="68" t="s">
        <v>138</v>
      </c>
    </row>
    <row r="63" spans="3:8" x14ac:dyDescent="0.25">
      <c r="D63" s="108" t="s">
        <v>124</v>
      </c>
      <c r="E63" s="108"/>
      <c r="F63" s="108"/>
      <c r="G63" s="108"/>
      <c r="H63" s="108"/>
    </row>
    <row r="65" spans="1:8" x14ac:dyDescent="0.25">
      <c r="C65" s="109" t="s">
        <v>141</v>
      </c>
      <c r="D65" s="109" t="s">
        <v>142</v>
      </c>
    </row>
    <row r="66" spans="1:8" x14ac:dyDescent="0.25">
      <c r="D66" s="68" t="s">
        <v>143</v>
      </c>
    </row>
    <row r="67" spans="1:8" x14ac:dyDescent="0.25">
      <c r="D67" s="68" t="s">
        <v>144</v>
      </c>
    </row>
    <row r="68" spans="1:8" x14ac:dyDescent="0.25">
      <c r="D68" s="108" t="s">
        <v>124</v>
      </c>
      <c r="E68" s="108"/>
      <c r="F68" s="108"/>
      <c r="G68" s="108"/>
      <c r="H68" s="108"/>
    </row>
    <row r="69" spans="1:8" ht="19.5" customHeight="1" x14ac:dyDescent="0.25"/>
    <row r="70" spans="1:8" ht="24.75" customHeight="1" x14ac:dyDescent="0.25"/>
    <row r="71" spans="1:8" x14ac:dyDescent="0.25">
      <c r="A71" s="102" t="s">
        <v>145</v>
      </c>
      <c r="B71" s="96" t="s">
        <v>146</v>
      </c>
    </row>
    <row r="72" spans="1:8" x14ac:dyDescent="0.25">
      <c r="A72" s="102"/>
      <c r="B72" s="96" t="s">
        <v>96</v>
      </c>
    </row>
    <row r="73" spans="1:8" s="106" customFormat="1" ht="18" customHeight="1" x14ac:dyDescent="0.25">
      <c r="A73" s="63"/>
      <c r="B73" s="102" t="s">
        <v>147</v>
      </c>
      <c r="C73" s="106" t="s">
        <v>148</v>
      </c>
    </row>
    <row r="74" spans="1:8" x14ac:dyDescent="0.25">
      <c r="B74" s="107" t="s">
        <v>149</v>
      </c>
      <c r="C74" s="110" t="s">
        <v>150</v>
      </c>
      <c r="D74" s="110"/>
      <c r="E74" s="110"/>
      <c r="F74" s="110"/>
      <c r="G74" s="110"/>
    </row>
    <row r="75" spans="1:8" ht="24.75" customHeight="1" x14ac:dyDescent="0.25"/>
    <row r="76" spans="1:8" s="106" customFormat="1" ht="15" customHeight="1" x14ac:dyDescent="0.25">
      <c r="A76" s="102" t="s">
        <v>151</v>
      </c>
      <c r="B76" s="60" t="s">
        <v>152</v>
      </c>
    </row>
    <row r="77" spans="1:8" s="106" customFormat="1" ht="15.75" customHeight="1" x14ac:dyDescent="0.25">
      <c r="A77" s="63"/>
      <c r="B77" s="102" t="s">
        <v>153</v>
      </c>
      <c r="C77" s="56" t="s">
        <v>154</v>
      </c>
    </row>
    <row r="78" spans="1:8" x14ac:dyDescent="0.25">
      <c r="B78" s="107" t="s">
        <v>155</v>
      </c>
      <c r="C78" s="111" t="s">
        <v>156</v>
      </c>
      <c r="D78" s="111"/>
      <c r="E78" s="111"/>
      <c r="F78" s="111"/>
    </row>
    <row r="79" spans="1:8" ht="24.75" customHeight="1" x14ac:dyDescent="0.25"/>
    <row r="80" spans="1:8" x14ac:dyDescent="0.25">
      <c r="A80" s="102" t="s">
        <v>157</v>
      </c>
      <c r="B80" s="96" t="s">
        <v>158</v>
      </c>
    </row>
    <row r="81" spans="1:7" s="106" customFormat="1" ht="16.5" customHeight="1" x14ac:dyDescent="0.25">
      <c r="A81" s="63"/>
      <c r="B81" s="102" t="s">
        <v>159</v>
      </c>
      <c r="C81" s="56" t="s">
        <v>160</v>
      </c>
    </row>
    <row r="82" spans="1:7" s="106" customFormat="1" ht="14.25" customHeight="1" x14ac:dyDescent="0.25">
      <c r="A82" s="63"/>
      <c r="B82" s="102" t="s">
        <v>161</v>
      </c>
      <c r="C82" s="112" t="s">
        <v>150</v>
      </c>
      <c r="D82" s="112"/>
      <c r="E82" s="112"/>
      <c r="F82" s="112"/>
      <c r="G82" s="112"/>
    </row>
    <row r="83" spans="1:7" s="106" customFormat="1" ht="23.25" customHeight="1" x14ac:dyDescent="0.25">
      <c r="A83" s="63"/>
      <c r="B83" s="102"/>
      <c r="C83" s="113"/>
      <c r="D83" s="113"/>
      <c r="E83" s="113"/>
      <c r="F83" s="113"/>
      <c r="G83" s="113"/>
    </row>
  </sheetData>
  <sheetProtection algorithmName="SHA-512" hashValue="gpFoe106wKYGW4yC+w0kOSISL1EGbSGgGCc22j+7DmCNAoKq3dPq8E4WK1HrAm3zYfxoIJyo4nzKZBPhDDM6eg==" saltValue="XMlfg6CU0u5lrdY2o/8BnQ==" spinCount="100000" sheet="1" objects="1" scenarios="1"/>
  <mergeCells count="1">
    <mergeCell ref="A4:X4"/>
  </mergeCells>
  <printOptions horizontalCentered="1" verticalCentered="1"/>
  <pageMargins left="0.51180555555555596" right="0.51180555555555596" top="0.78749999999999998" bottom="0.78749999999999998" header="0.511811023622047" footer="0.511811023622047"/>
  <pageSetup paperSize="9" scale="38" fitToHeight="2"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206"/>
  <sheetViews>
    <sheetView showGridLines="0" view="pageBreakPreview" zoomScaleNormal="100" workbookViewId="0"/>
  </sheetViews>
  <sheetFormatPr defaultColWidth="8.7109375" defaultRowHeight="15" x14ac:dyDescent="0.25"/>
  <cols>
    <col min="1" max="1" width="9.85546875" style="3" customWidth="1"/>
    <col min="2" max="2" width="10.42578125" style="3" customWidth="1"/>
    <col min="3" max="3" width="39.28515625" style="3" customWidth="1"/>
    <col min="4" max="4" width="12" style="3" customWidth="1"/>
    <col min="5" max="5" width="15.7109375" style="3" customWidth="1"/>
    <col min="6" max="6" width="14.85546875" style="3" customWidth="1"/>
    <col min="7" max="7" width="14" style="3" customWidth="1"/>
    <col min="8" max="8" width="13.5703125" style="3" customWidth="1"/>
    <col min="9" max="9" width="13.42578125" style="3" customWidth="1"/>
    <col min="10" max="10" width="13.5703125" style="4" customWidth="1"/>
    <col min="11" max="11" width="18.28515625" style="4" customWidth="1"/>
    <col min="12" max="12" width="13.28515625" style="3" customWidth="1"/>
    <col min="13" max="13" width="15.140625" style="3" customWidth="1"/>
    <col min="14" max="14" width="9.7109375" style="3" customWidth="1"/>
    <col min="15" max="15" width="12.7109375" style="3" customWidth="1"/>
    <col min="16" max="18" width="13.5703125" style="3" customWidth="1"/>
    <col min="19" max="19" width="15" style="3" customWidth="1"/>
    <col min="20" max="20" width="9.140625" style="3" customWidth="1"/>
    <col min="21" max="21" width="10.42578125" style="3" customWidth="1"/>
    <col min="22" max="255" width="9.140625" style="3" customWidth="1"/>
    <col min="256" max="256" width="9.85546875" style="3" customWidth="1"/>
    <col min="257" max="257" width="10.42578125" style="3" customWidth="1"/>
    <col min="258" max="258" width="39.28515625" style="3" customWidth="1"/>
    <col min="259" max="259" width="15" style="3" customWidth="1"/>
    <col min="260" max="260" width="11" style="3" customWidth="1"/>
    <col min="261" max="261" width="11.140625" style="3" customWidth="1"/>
    <col min="262" max="262" width="12.85546875" style="3" customWidth="1"/>
    <col min="263" max="263" width="13.140625" style="3" customWidth="1"/>
    <col min="264" max="267" width="14.140625" style="3" customWidth="1"/>
    <col min="268" max="268" width="14.42578125" style="3" customWidth="1"/>
    <col min="269" max="269" width="9.7109375" style="3" customWidth="1"/>
    <col min="270" max="270" width="12.7109375" style="3" customWidth="1"/>
    <col min="271" max="273" width="13.5703125" style="3" customWidth="1"/>
    <col min="274" max="274" width="12.140625" style="3" customWidth="1"/>
    <col min="275" max="275" width="15" style="3" customWidth="1"/>
    <col min="276" max="511" width="9.140625" style="3" customWidth="1"/>
    <col min="512" max="512" width="9.85546875" style="3" customWidth="1"/>
    <col min="513" max="513" width="10.42578125" style="3" customWidth="1"/>
    <col min="514" max="514" width="39.28515625" style="3" customWidth="1"/>
    <col min="515" max="515" width="15" style="3" customWidth="1"/>
    <col min="516" max="516" width="11" style="3" customWidth="1"/>
    <col min="517" max="517" width="11.140625" style="3" customWidth="1"/>
    <col min="518" max="518" width="12.85546875" style="3" customWidth="1"/>
    <col min="519" max="519" width="13.140625" style="3" customWidth="1"/>
    <col min="520" max="523" width="14.140625" style="3" customWidth="1"/>
    <col min="524" max="524" width="14.42578125" style="3" customWidth="1"/>
    <col min="525" max="525" width="9.7109375" style="3" customWidth="1"/>
    <col min="526" max="526" width="12.7109375" style="3" customWidth="1"/>
    <col min="527" max="529" width="13.5703125" style="3" customWidth="1"/>
    <col min="530" max="530" width="12.140625" style="3" customWidth="1"/>
    <col min="531" max="531" width="15" style="3" customWidth="1"/>
    <col min="532" max="767" width="9.140625" style="3" customWidth="1"/>
    <col min="768" max="768" width="9.85546875" style="3" customWidth="1"/>
    <col min="769" max="769" width="10.42578125" style="3" customWidth="1"/>
    <col min="770" max="770" width="39.28515625" style="3" customWidth="1"/>
    <col min="771" max="771" width="15" style="3" customWidth="1"/>
    <col min="772" max="772" width="11" style="3" customWidth="1"/>
    <col min="773" max="773" width="11.140625" style="3" customWidth="1"/>
    <col min="774" max="774" width="12.85546875" style="3" customWidth="1"/>
    <col min="775" max="775" width="13.140625" style="3" customWidth="1"/>
    <col min="776" max="779" width="14.140625" style="3" customWidth="1"/>
    <col min="780" max="780" width="14.42578125" style="3" customWidth="1"/>
    <col min="781" max="781" width="9.7109375" style="3" customWidth="1"/>
    <col min="782" max="782" width="12.7109375" style="3" customWidth="1"/>
    <col min="783" max="785" width="13.5703125" style="3" customWidth="1"/>
    <col min="786" max="786" width="12.140625" style="3" customWidth="1"/>
    <col min="787" max="787" width="15" style="3" customWidth="1"/>
    <col min="788" max="1023" width="9.140625" style="3" customWidth="1"/>
    <col min="1024" max="1025" width="9.85546875" style="3" customWidth="1"/>
  </cols>
  <sheetData>
    <row r="1" spans="1:22" x14ac:dyDescent="0.25">
      <c r="A1" s="114"/>
      <c r="B1" s="100" t="str">
        <f>INSTRUÇÕES!B1</f>
        <v>Tribunal Regional Federal da 6ª Região</v>
      </c>
      <c r="D1" s="68"/>
      <c r="E1" s="68"/>
      <c r="F1" s="68"/>
      <c r="G1" s="68"/>
      <c r="H1" s="68"/>
      <c r="I1" s="68"/>
      <c r="J1" s="88"/>
      <c r="K1" s="88"/>
      <c r="L1" s="68"/>
      <c r="M1" s="68"/>
      <c r="N1" s="68"/>
    </row>
    <row r="2" spans="1:22" x14ac:dyDescent="0.25">
      <c r="A2" s="114"/>
      <c r="B2" s="100" t="str">
        <f>INSTRUÇÕES!B2</f>
        <v>Seção Judiciária de Minas Gerais</v>
      </c>
      <c r="D2" s="68"/>
      <c r="E2" s="68"/>
      <c r="F2" s="68"/>
      <c r="G2" s="68"/>
      <c r="H2" s="68"/>
      <c r="I2" s="68"/>
      <c r="J2" s="88"/>
      <c r="K2" s="88"/>
      <c r="L2" s="68"/>
      <c r="M2" s="68"/>
      <c r="N2" s="68"/>
    </row>
    <row r="3" spans="1:22" ht="18.75" x14ac:dyDescent="0.25">
      <c r="A3" s="114"/>
      <c r="B3" s="100" t="str">
        <f>INSTRUÇÕES!B3</f>
        <v>Subseção Judiciária de Poços de Caldas</v>
      </c>
      <c r="D3" s="68"/>
      <c r="E3" s="115" t="s">
        <v>162</v>
      </c>
      <c r="F3" s="68"/>
      <c r="G3" s="68"/>
      <c r="H3" s="68"/>
      <c r="I3" s="68"/>
      <c r="J3" s="88"/>
      <c r="K3" s="88"/>
      <c r="L3" s="68"/>
      <c r="M3" s="68"/>
      <c r="N3" s="68"/>
      <c r="R3" s="68"/>
    </row>
    <row r="4" spans="1:22" s="19" customFormat="1" ht="24.75" customHeight="1" x14ac:dyDescent="0.25">
      <c r="A4" s="116" t="str">
        <f>CONCATENATE("Sindicato utilizado - ",E14,". Vigência: ",E16,". Sendo a data base da categoria ",E17,". Com número de registro no MTE ",E15,".")</f>
        <v>Sindicato utilizado - SINSERTH x SINTAPPI. Vigência: 01/04/2025 à 31/03/2026. Sendo a data base da categoria 1 de abril. Com número de registro no MTE MG001973/2025.</v>
      </c>
      <c r="B4" s="116"/>
      <c r="C4" s="117"/>
      <c r="D4" s="3"/>
      <c r="E4" s="116"/>
      <c r="F4" s="118"/>
      <c r="G4" s="118"/>
      <c r="H4" s="118"/>
      <c r="I4" s="118"/>
      <c r="J4" s="118"/>
      <c r="K4" s="118"/>
      <c r="L4" s="118"/>
      <c r="M4" s="118"/>
      <c r="N4" s="118"/>
      <c r="O4" s="118"/>
      <c r="P4" s="118"/>
      <c r="Q4" s="118"/>
      <c r="R4" s="118"/>
      <c r="S4" s="118"/>
    </row>
    <row r="5" spans="1:22" s="19" customFormat="1" ht="66.75" customHeight="1" x14ac:dyDescent="0.25">
      <c r="A5" s="607" t="s">
        <v>163</v>
      </c>
      <c r="B5" s="607" t="s">
        <v>164</v>
      </c>
      <c r="C5" s="607" t="s">
        <v>22</v>
      </c>
      <c r="D5" s="607" t="s">
        <v>165</v>
      </c>
      <c r="E5" s="607" t="s">
        <v>166</v>
      </c>
      <c r="F5" s="607" t="s">
        <v>167</v>
      </c>
      <c r="G5" s="607" t="s">
        <v>168</v>
      </c>
      <c r="H5" s="607" t="s">
        <v>169</v>
      </c>
      <c r="I5" s="607" t="s">
        <v>170</v>
      </c>
      <c r="J5" s="607" t="s">
        <v>171</v>
      </c>
      <c r="K5" s="607" t="s">
        <v>172</v>
      </c>
      <c r="L5" s="607" t="s">
        <v>173</v>
      </c>
      <c r="M5" s="597" t="s">
        <v>174</v>
      </c>
      <c r="N5" s="119" t="s">
        <v>175</v>
      </c>
      <c r="O5" s="119" t="s">
        <v>176</v>
      </c>
      <c r="P5" s="119" t="s">
        <v>177</v>
      </c>
      <c r="Q5" s="119" t="s">
        <v>178</v>
      </c>
      <c r="R5" s="119" t="s">
        <v>179</v>
      </c>
      <c r="S5" s="607" t="s">
        <v>180</v>
      </c>
      <c r="U5" s="121"/>
    </row>
    <row r="6" spans="1:22" s="19" customFormat="1" ht="15.75" x14ac:dyDescent="0.25">
      <c r="A6" s="607"/>
      <c r="B6" s="607"/>
      <c r="C6" s="607"/>
      <c r="D6" s="607"/>
      <c r="E6" s="607"/>
      <c r="F6" s="607"/>
      <c r="G6" s="607"/>
      <c r="H6" s="607"/>
      <c r="I6" s="607"/>
      <c r="J6" s="607"/>
      <c r="K6" s="607"/>
      <c r="L6" s="607"/>
      <c r="M6" s="597"/>
      <c r="N6" s="122"/>
      <c r="O6" s="123"/>
      <c r="P6" s="123"/>
      <c r="Q6" s="123"/>
      <c r="R6" s="123"/>
      <c r="S6" s="607"/>
      <c r="U6" s="121" t="s">
        <v>181</v>
      </c>
      <c r="V6" s="19" t="s">
        <v>182</v>
      </c>
    </row>
    <row r="7" spans="1:22" s="19" customFormat="1" ht="24.75" customHeight="1" x14ac:dyDescent="0.25">
      <c r="A7" s="608">
        <v>333903702</v>
      </c>
      <c r="B7" s="123">
        <v>1</v>
      </c>
      <c r="C7" s="124" t="s">
        <v>183</v>
      </c>
      <c r="D7" s="123">
        <v>220</v>
      </c>
      <c r="E7" s="125">
        <v>1633.68</v>
      </c>
      <c r="F7" s="126">
        <f>ROUND(((E7/220)*D7),2)</f>
        <v>1633.68</v>
      </c>
      <c r="G7" s="127">
        <v>0.4</v>
      </c>
      <c r="H7" s="126">
        <f>G7*G27</f>
        <v>607.20000000000005</v>
      </c>
      <c r="I7" s="37">
        <v>0</v>
      </c>
      <c r="J7" s="37">
        <v>0</v>
      </c>
      <c r="K7" s="37"/>
      <c r="L7" s="37">
        <v>0</v>
      </c>
      <c r="M7" s="128">
        <f>F7+H7+L7</f>
        <v>2240.88</v>
      </c>
      <c r="N7" s="126">
        <f>Unif!H14</f>
        <v>54.59</v>
      </c>
      <c r="O7" s="126">
        <f>Insumos!K53</f>
        <v>922.28166666666675</v>
      </c>
      <c r="P7" s="126"/>
      <c r="Q7" s="126">
        <f>EPI!F17</f>
        <v>9.8833333333333329</v>
      </c>
      <c r="R7" s="126"/>
      <c r="S7" s="129">
        <v>2</v>
      </c>
      <c r="T7" s="19">
        <v>1526.8</v>
      </c>
      <c r="U7" s="121">
        <f>1.07*T7</f>
        <v>1633.6760000000002</v>
      </c>
      <c r="V7" s="19">
        <v>1596.27</v>
      </c>
    </row>
    <row r="8" spans="1:22" s="19" customFormat="1" ht="21" customHeight="1" x14ac:dyDescent="0.25">
      <c r="A8" s="608"/>
      <c r="B8" s="123">
        <v>1</v>
      </c>
      <c r="C8" s="124" t="s">
        <v>184</v>
      </c>
      <c r="D8" s="123">
        <v>220</v>
      </c>
      <c r="E8" s="125">
        <v>1633.68</v>
      </c>
      <c r="F8" s="126">
        <f>ROUND(((E8/220)*D8),2)</f>
        <v>1633.68</v>
      </c>
      <c r="G8" s="130">
        <v>0</v>
      </c>
      <c r="H8" s="37">
        <v>0</v>
      </c>
      <c r="I8" s="131">
        <v>0.12</v>
      </c>
      <c r="J8" s="132">
        <v>0.25</v>
      </c>
      <c r="K8" s="125">
        <f>F8</f>
        <v>1633.68</v>
      </c>
      <c r="L8" s="133">
        <f>ROUND((K8*I8*J8),2)</f>
        <v>49.01</v>
      </c>
      <c r="M8" s="128">
        <f>F8+H8+L8</f>
        <v>1682.69</v>
      </c>
      <c r="N8" s="126">
        <f>Unif!H14+Unif!H20</f>
        <v>59.96</v>
      </c>
      <c r="O8" s="126">
        <f>Insumos!K53</f>
        <v>922.28166666666675</v>
      </c>
      <c r="P8" s="126">
        <f>Insumos!K82</f>
        <v>347.63916666666665</v>
      </c>
      <c r="Q8" s="126">
        <f>EPI!F17</f>
        <v>9.8833333333333329</v>
      </c>
      <c r="R8" s="126"/>
      <c r="S8" s="129">
        <v>2</v>
      </c>
      <c r="T8" s="19">
        <v>1526.8</v>
      </c>
      <c r="U8" s="121">
        <f>1.07*T8</f>
        <v>1633.6760000000002</v>
      </c>
      <c r="V8" s="19">
        <v>1596.27</v>
      </c>
    </row>
    <row r="9" spans="1:22" ht="21" customHeight="1" x14ac:dyDescent="0.25">
      <c r="A9" s="608"/>
      <c r="B9" s="123">
        <v>1</v>
      </c>
      <c r="C9" s="124" t="s">
        <v>185</v>
      </c>
      <c r="D9" s="123">
        <v>220</v>
      </c>
      <c r="E9" s="125">
        <v>2441.1</v>
      </c>
      <c r="F9" s="126">
        <f>ROUND(((E9/220)*D9),2)</f>
        <v>2441.1</v>
      </c>
      <c r="G9" s="130">
        <v>0</v>
      </c>
      <c r="H9" s="37">
        <v>0</v>
      </c>
      <c r="I9" s="134"/>
      <c r="J9" s="134"/>
      <c r="K9" s="135"/>
      <c r="L9" s="136"/>
      <c r="M9" s="128">
        <f>F9+H9+L9</f>
        <v>2441.1</v>
      </c>
      <c r="N9" s="126">
        <f>Unif!H28</f>
        <v>58.92</v>
      </c>
      <c r="O9" s="137"/>
      <c r="P9" s="126"/>
      <c r="Q9" s="126">
        <f>EPI!F13+EPI!F17</f>
        <v>45.363333333333337</v>
      </c>
      <c r="R9" s="126">
        <f>Equip!G18</f>
        <v>25.64</v>
      </c>
      <c r="S9" s="129">
        <v>2</v>
      </c>
      <c r="T9" s="3">
        <v>2281.4</v>
      </c>
      <c r="U9" s="121">
        <f>1.07*T9</f>
        <v>2441.0980000000004</v>
      </c>
      <c r="V9" s="3">
        <v>2265.6799999999998</v>
      </c>
    </row>
    <row r="10" spans="1:22" ht="24.75" customHeight="1" x14ac:dyDescent="0.25">
      <c r="A10" s="138">
        <v>333903701</v>
      </c>
      <c r="B10" s="123">
        <v>2</v>
      </c>
      <c r="C10" s="124" t="s">
        <v>186</v>
      </c>
      <c r="D10" s="123">
        <v>150</v>
      </c>
      <c r="E10" s="125">
        <v>2048</v>
      </c>
      <c r="F10" s="126">
        <f>ROUND(((E10/220)*D10),2)</f>
        <v>1396.36</v>
      </c>
      <c r="G10" s="130">
        <v>0</v>
      </c>
      <c r="H10" s="37">
        <v>0</v>
      </c>
      <c r="I10" s="37">
        <v>0</v>
      </c>
      <c r="J10" s="37">
        <v>0</v>
      </c>
      <c r="K10" s="37"/>
      <c r="L10" s="37">
        <v>0</v>
      </c>
      <c r="M10" s="128">
        <f>F10+H10+L10</f>
        <v>1396.36</v>
      </c>
      <c r="N10" s="126">
        <f>Unif!H36</f>
        <v>58.88</v>
      </c>
      <c r="O10" s="126"/>
      <c r="P10" s="126"/>
      <c r="Q10" s="126"/>
      <c r="R10" s="126"/>
      <c r="S10" s="129">
        <v>1</v>
      </c>
      <c r="T10" s="3">
        <v>1914</v>
      </c>
      <c r="U10" s="121">
        <f>1.07*T10</f>
        <v>2047.98</v>
      </c>
      <c r="V10" s="3">
        <v>2231.7399999999998</v>
      </c>
    </row>
    <row r="11" spans="1:22" ht="34.5" customHeight="1" x14ac:dyDescent="0.25">
      <c r="A11" s="139" t="s">
        <v>187</v>
      </c>
      <c r="B11" s="4"/>
      <c r="C11" s="4"/>
      <c r="D11" s="139"/>
      <c r="F11" s="139"/>
      <c r="G11" s="139" t="s">
        <v>188</v>
      </c>
      <c r="H11" s="139"/>
      <c r="I11" s="139"/>
      <c r="J11" s="139"/>
      <c r="K11" s="116"/>
      <c r="L11" s="140" t="s">
        <v>189</v>
      </c>
      <c r="M11" s="141">
        <f>SUM(M7:M10)</f>
        <v>7761.03</v>
      </c>
      <c r="N11" s="116"/>
      <c r="O11" s="116"/>
      <c r="P11" s="116"/>
      <c r="Q11" s="116"/>
      <c r="R11" s="116"/>
      <c r="S11" s="116"/>
    </row>
    <row r="12" spans="1:22" ht="24.75" customHeight="1" x14ac:dyDescent="0.25">
      <c r="A12" s="603" t="s">
        <v>190</v>
      </c>
      <c r="B12" s="603"/>
      <c r="C12" s="603"/>
      <c r="D12" s="603"/>
      <c r="E12" s="603"/>
      <c r="F12" s="603"/>
      <c r="G12" s="603"/>
      <c r="N12" s="116"/>
      <c r="O12" s="116"/>
      <c r="P12" s="116"/>
      <c r="Q12" s="116"/>
      <c r="R12" s="116"/>
      <c r="S12" s="116"/>
    </row>
    <row r="13" spans="1:22" ht="24" customHeight="1" x14ac:dyDescent="0.25">
      <c r="A13" s="143">
        <v>1</v>
      </c>
      <c r="B13" s="600" t="s">
        <v>191</v>
      </c>
      <c r="C13" s="600"/>
      <c r="D13" s="600"/>
      <c r="E13" s="604" t="s">
        <v>192</v>
      </c>
      <c r="F13" s="604"/>
      <c r="G13" s="604"/>
      <c r="H13" s="16" t="s">
        <v>193</v>
      </c>
      <c r="N13" s="116"/>
      <c r="O13" s="116"/>
      <c r="P13" s="116"/>
      <c r="Q13" s="116"/>
      <c r="R13" s="116"/>
      <c r="S13" s="56"/>
    </row>
    <row r="14" spans="1:22" ht="24" customHeight="1" x14ac:dyDescent="0.25">
      <c r="A14" s="143">
        <v>2</v>
      </c>
      <c r="B14" s="600" t="s">
        <v>194</v>
      </c>
      <c r="C14" s="600"/>
      <c r="D14" s="600"/>
      <c r="E14" s="604" t="s">
        <v>195</v>
      </c>
      <c r="F14" s="604"/>
      <c r="G14" s="604"/>
      <c r="H14" s="16" t="s">
        <v>196</v>
      </c>
      <c r="N14" s="116"/>
      <c r="O14" s="116"/>
      <c r="P14" s="116"/>
      <c r="Q14" s="116"/>
      <c r="R14" s="116"/>
      <c r="S14" s="56"/>
    </row>
    <row r="15" spans="1:22" ht="24" customHeight="1" x14ac:dyDescent="0.25">
      <c r="A15" s="143">
        <v>3</v>
      </c>
      <c r="B15" s="600" t="s">
        <v>197</v>
      </c>
      <c r="C15" s="600"/>
      <c r="D15" s="600"/>
      <c r="E15" s="604" t="s">
        <v>198</v>
      </c>
      <c r="F15" s="604"/>
      <c r="G15" s="604"/>
      <c r="H15" s="16" t="s">
        <v>199</v>
      </c>
      <c r="N15" s="116"/>
      <c r="O15" s="116"/>
      <c r="P15" s="116"/>
      <c r="Q15" s="116"/>
      <c r="R15" s="116"/>
      <c r="S15" s="56"/>
    </row>
    <row r="16" spans="1:22" ht="24" customHeight="1" x14ac:dyDescent="0.25">
      <c r="A16" s="143">
        <v>4</v>
      </c>
      <c r="B16" s="600" t="s">
        <v>200</v>
      </c>
      <c r="C16" s="600"/>
      <c r="D16" s="600"/>
      <c r="E16" s="604" t="s">
        <v>201</v>
      </c>
      <c r="F16" s="604"/>
      <c r="G16" s="604"/>
      <c r="H16" s="16" t="s">
        <v>202</v>
      </c>
      <c r="N16" s="116"/>
      <c r="O16" s="116"/>
      <c r="P16" s="116"/>
      <c r="Q16" s="116"/>
      <c r="R16" s="116"/>
      <c r="S16" s="56"/>
    </row>
    <row r="17" spans="1:19" ht="24" customHeight="1" x14ac:dyDescent="0.25">
      <c r="A17" s="143">
        <v>5</v>
      </c>
      <c r="B17" s="600" t="s">
        <v>203</v>
      </c>
      <c r="C17" s="600"/>
      <c r="D17" s="600"/>
      <c r="E17" s="604" t="s">
        <v>204</v>
      </c>
      <c r="F17" s="604"/>
      <c r="G17" s="604"/>
      <c r="H17" s="16" t="s">
        <v>205</v>
      </c>
      <c r="N17" s="116"/>
      <c r="O17" s="116"/>
      <c r="P17" s="116"/>
      <c r="Q17" s="116"/>
      <c r="R17" s="116"/>
      <c r="S17" s="56"/>
    </row>
    <row r="18" spans="1:19" s="3" customFormat="1" ht="12.75" customHeight="1" x14ac:dyDescent="0.25">
      <c r="A18" s="144"/>
      <c r="H18" s="16"/>
    </row>
    <row r="19" spans="1:19" s="56" customFormat="1" ht="24.75" customHeight="1" x14ac:dyDescent="0.25">
      <c r="A19" s="603" t="s">
        <v>206</v>
      </c>
      <c r="B19" s="603"/>
      <c r="C19" s="603"/>
      <c r="D19" s="603"/>
      <c r="E19" s="603"/>
      <c r="F19" s="603"/>
      <c r="G19" s="603"/>
      <c r="H19" s="16"/>
      <c r="I19" s="116"/>
      <c r="J19" s="116"/>
      <c r="K19" s="116"/>
      <c r="L19" s="116"/>
      <c r="M19" s="116"/>
      <c r="N19" s="116"/>
      <c r="O19" s="116"/>
      <c r="P19" s="116"/>
      <c r="Q19" s="116"/>
      <c r="R19" s="116"/>
    </row>
    <row r="20" spans="1:19" s="3" customFormat="1" ht="24" customHeight="1" x14ac:dyDescent="0.25">
      <c r="A20" s="143" t="s">
        <v>207</v>
      </c>
      <c r="B20" s="600" t="s">
        <v>208</v>
      </c>
      <c r="C20" s="600"/>
      <c r="D20" s="600"/>
      <c r="E20" s="600"/>
      <c r="F20" s="600"/>
      <c r="G20" s="127">
        <f>Encargos!C57</f>
        <v>0.76400000000000001</v>
      </c>
      <c r="H20" s="16"/>
    </row>
    <row r="21" spans="1:19" s="3" customFormat="1" ht="12.75" customHeight="1" x14ac:dyDescent="0.25">
      <c r="A21" s="144"/>
      <c r="G21" s="4"/>
      <c r="H21" s="16"/>
    </row>
    <row r="22" spans="1:19" s="3" customFormat="1" ht="24.75" customHeight="1" x14ac:dyDescent="0.25">
      <c r="A22" s="94">
        <v>1</v>
      </c>
      <c r="B22" s="600" t="s">
        <v>209</v>
      </c>
      <c r="C22" s="600"/>
      <c r="D22" s="600"/>
      <c r="E22" s="600"/>
      <c r="F22" s="600"/>
      <c r="G22" s="145">
        <f>G23*G24</f>
        <v>0.06</v>
      </c>
      <c r="H22" s="16"/>
    </row>
    <row r="23" spans="1:19" s="3" customFormat="1" ht="24.75" customHeight="1" x14ac:dyDescent="0.25">
      <c r="A23" s="94">
        <v>2</v>
      </c>
      <c r="B23" s="600" t="s">
        <v>210</v>
      </c>
      <c r="C23" s="600"/>
      <c r="D23" s="600"/>
      <c r="E23" s="600"/>
      <c r="F23" s="600"/>
      <c r="G23" s="131">
        <v>0.03</v>
      </c>
      <c r="H23" s="16" t="s">
        <v>211</v>
      </c>
    </row>
    <row r="24" spans="1:19" s="3" customFormat="1" ht="24.75" customHeight="1" x14ac:dyDescent="0.25">
      <c r="A24" s="94">
        <v>3</v>
      </c>
      <c r="B24" s="600" t="s">
        <v>212</v>
      </c>
      <c r="C24" s="600"/>
      <c r="D24" s="600"/>
      <c r="E24" s="600"/>
      <c r="F24" s="600"/>
      <c r="G24" s="146">
        <v>2</v>
      </c>
      <c r="H24" s="16" t="s">
        <v>213</v>
      </c>
    </row>
    <row r="25" spans="1:19" s="3" customFormat="1" ht="12.75" customHeight="1" x14ac:dyDescent="0.25">
      <c r="A25" s="144"/>
      <c r="B25" s="116"/>
      <c r="C25" s="116"/>
      <c r="D25" s="116"/>
      <c r="E25" s="116"/>
      <c r="F25" s="116"/>
      <c r="H25" s="16"/>
    </row>
    <row r="26" spans="1:19" s="3" customFormat="1" ht="24.75" customHeight="1" x14ac:dyDescent="0.25">
      <c r="A26" s="603" t="s">
        <v>214</v>
      </c>
      <c r="B26" s="603"/>
      <c r="C26" s="603"/>
      <c r="D26" s="603"/>
      <c r="E26" s="603"/>
      <c r="F26" s="603"/>
      <c r="G26" s="603"/>
      <c r="H26" s="16"/>
    </row>
    <row r="27" spans="1:19" s="3" customFormat="1" ht="24.75" customHeight="1" x14ac:dyDescent="0.25">
      <c r="A27" s="94">
        <v>1</v>
      </c>
      <c r="B27" s="600" t="s">
        <v>215</v>
      </c>
      <c r="C27" s="600"/>
      <c r="D27" s="600"/>
      <c r="E27" s="600"/>
      <c r="F27" s="600"/>
      <c r="G27" s="125">
        <v>1518</v>
      </c>
      <c r="H27" s="16" t="s">
        <v>216</v>
      </c>
    </row>
    <row r="28" spans="1:19" s="3" customFormat="1" ht="12.75" customHeight="1" x14ac:dyDescent="0.25">
      <c r="A28" s="147"/>
      <c r="B28" s="148"/>
      <c r="C28" s="148"/>
      <c r="D28" s="148"/>
      <c r="E28" s="148"/>
      <c r="F28" s="148"/>
      <c r="G28" s="149"/>
      <c r="H28" s="16"/>
    </row>
    <row r="29" spans="1:19" s="56" customFormat="1" ht="24.75" customHeight="1" x14ac:dyDescent="0.25">
      <c r="A29" s="603" t="s">
        <v>217</v>
      </c>
      <c r="B29" s="603"/>
      <c r="C29" s="603"/>
      <c r="D29" s="603"/>
      <c r="E29" s="603"/>
      <c r="F29" s="603"/>
      <c r="G29" s="603"/>
      <c r="H29" s="16"/>
      <c r="I29" s="3"/>
      <c r="J29" s="3"/>
      <c r="K29" s="116"/>
      <c r="L29" s="116"/>
      <c r="M29" s="116"/>
      <c r="N29" s="116"/>
      <c r="O29" s="116"/>
      <c r="P29" s="116"/>
      <c r="Q29" s="116"/>
      <c r="R29" s="116"/>
    </row>
    <row r="30" spans="1:19" s="3" customFormat="1" ht="26.25" customHeight="1" x14ac:dyDescent="0.25">
      <c r="A30" s="143">
        <v>1</v>
      </c>
      <c r="B30" s="600" t="s">
        <v>218</v>
      </c>
      <c r="C30" s="600"/>
      <c r="D30" s="600"/>
      <c r="E30" s="600"/>
      <c r="F30" s="600"/>
      <c r="G30" s="150">
        <v>5.27</v>
      </c>
      <c r="H30" s="16" t="s">
        <v>219</v>
      </c>
    </row>
    <row r="31" spans="1:19" s="3" customFormat="1" ht="26.25" customHeight="1" x14ac:dyDescent="0.25">
      <c r="A31" s="151">
        <v>2</v>
      </c>
      <c r="B31" s="600" t="s">
        <v>220</v>
      </c>
      <c r="C31" s="600"/>
      <c r="D31" s="600"/>
      <c r="E31" s="600"/>
      <c r="F31" s="600"/>
      <c r="G31" s="146">
        <v>0</v>
      </c>
      <c r="H31" s="16" t="s">
        <v>219</v>
      </c>
    </row>
    <row r="32" spans="1:19" s="3" customFormat="1" ht="26.25" customHeight="1" x14ac:dyDescent="0.25">
      <c r="A32" s="599">
        <v>3</v>
      </c>
      <c r="B32" s="605" t="s">
        <v>221</v>
      </c>
      <c r="C32" s="605"/>
      <c r="D32" s="600" t="s">
        <v>222</v>
      </c>
      <c r="E32" s="600"/>
      <c r="F32" s="600"/>
      <c r="G32" s="152">
        <v>6</v>
      </c>
      <c r="H32" s="16" t="s">
        <v>223</v>
      </c>
      <c r="I32" s="116"/>
      <c r="O32" s="58"/>
    </row>
    <row r="33" spans="1:18" s="3" customFormat="1" ht="26.25" customHeight="1" x14ac:dyDescent="0.25">
      <c r="A33" s="599"/>
      <c r="B33" s="605"/>
      <c r="C33" s="605"/>
      <c r="D33" s="600" t="s">
        <v>224</v>
      </c>
      <c r="E33" s="600"/>
      <c r="F33" s="600"/>
      <c r="G33" s="152">
        <v>2</v>
      </c>
      <c r="H33" s="16" t="s">
        <v>225</v>
      </c>
      <c r="I33" s="116"/>
      <c r="O33" s="58"/>
    </row>
    <row r="34" spans="1:18" s="3" customFormat="1" ht="26.25" customHeight="1" x14ac:dyDescent="0.25">
      <c r="A34" s="599"/>
      <c r="B34" s="605"/>
      <c r="C34" s="605"/>
      <c r="D34" s="600" t="s">
        <v>226</v>
      </c>
      <c r="E34" s="600"/>
      <c r="F34" s="600"/>
      <c r="G34" s="153">
        <v>22</v>
      </c>
      <c r="H34" s="16" t="s">
        <v>227</v>
      </c>
      <c r="I34" s="116"/>
      <c r="O34" s="58"/>
    </row>
    <row r="35" spans="1:18" ht="26.25" customHeight="1" x14ac:dyDescent="0.25">
      <c r="A35" s="599"/>
      <c r="B35" s="605"/>
      <c r="C35" s="605"/>
      <c r="D35" s="606" t="s">
        <v>228</v>
      </c>
      <c r="E35" s="606"/>
      <c r="F35" s="606"/>
      <c r="G35" s="154">
        <v>0.06</v>
      </c>
      <c r="H35" s="16" t="s">
        <v>229</v>
      </c>
      <c r="O35" s="58"/>
    </row>
    <row r="36" spans="1:18" s="3" customFormat="1" ht="26.25" customHeight="1" x14ac:dyDescent="0.25">
      <c r="A36" s="599">
        <v>4</v>
      </c>
      <c r="B36" s="605" t="s">
        <v>230</v>
      </c>
      <c r="C36" s="605"/>
      <c r="D36" s="600" t="s">
        <v>231</v>
      </c>
      <c r="E36" s="600"/>
      <c r="F36" s="600"/>
      <c r="G36" s="146">
        <v>29</v>
      </c>
      <c r="H36" s="16" t="s">
        <v>232</v>
      </c>
      <c r="I36" s="116"/>
    </row>
    <row r="37" spans="1:18" ht="26.25" customHeight="1" x14ac:dyDescent="0.25">
      <c r="A37" s="599"/>
      <c r="B37" s="605"/>
      <c r="C37" s="605"/>
      <c r="D37" s="600" t="s">
        <v>226</v>
      </c>
      <c r="E37" s="600"/>
      <c r="F37" s="600"/>
      <c r="G37" s="153">
        <f>G34</f>
        <v>22</v>
      </c>
      <c r="H37" s="16" t="s">
        <v>227</v>
      </c>
      <c r="I37" s="59"/>
      <c r="J37" s="59"/>
      <c r="K37" s="116"/>
      <c r="O37" s="58"/>
    </row>
    <row r="38" spans="1:18" s="3" customFormat="1" ht="26.25" customHeight="1" x14ac:dyDescent="0.25">
      <c r="A38" s="599"/>
      <c r="B38" s="605"/>
      <c r="C38" s="605"/>
      <c r="D38" s="606" t="s">
        <v>228</v>
      </c>
      <c r="E38" s="606"/>
      <c r="F38" s="606"/>
      <c r="G38" s="131">
        <v>0.2</v>
      </c>
      <c r="H38" s="16" t="s">
        <v>229</v>
      </c>
      <c r="O38" s="58"/>
    </row>
    <row r="39" spans="1:18" s="3" customFormat="1" ht="26.25" customHeight="1" x14ac:dyDescent="0.25">
      <c r="A39" s="143">
        <v>5</v>
      </c>
      <c r="B39" s="602" t="s">
        <v>233</v>
      </c>
      <c r="C39" s="602"/>
      <c r="D39" s="602"/>
      <c r="E39" s="602"/>
      <c r="F39" s="602"/>
      <c r="G39" s="146">
        <v>0</v>
      </c>
      <c r="H39" s="16" t="s">
        <v>234</v>
      </c>
      <c r="O39" s="58"/>
    </row>
    <row r="40" spans="1:18" s="3" customFormat="1" ht="26.25" customHeight="1" x14ac:dyDescent="0.25">
      <c r="A40" s="143">
        <v>6</v>
      </c>
      <c r="B40" s="602" t="s">
        <v>233</v>
      </c>
      <c r="C40" s="602"/>
      <c r="D40" s="602"/>
      <c r="E40" s="602"/>
      <c r="F40" s="602"/>
      <c r="G40" s="146">
        <v>0</v>
      </c>
      <c r="H40" s="16" t="s">
        <v>234</v>
      </c>
    </row>
    <row r="41" spans="1:18" s="3" customFormat="1" ht="12.75" customHeight="1" x14ac:dyDescent="0.25">
      <c r="H41" s="16"/>
    </row>
    <row r="42" spans="1:18" s="56" customFormat="1" ht="24.75" customHeight="1" x14ac:dyDescent="0.25">
      <c r="A42" s="603" t="s">
        <v>235</v>
      </c>
      <c r="B42" s="603"/>
      <c r="C42" s="603"/>
      <c r="D42" s="603"/>
      <c r="E42" s="603"/>
      <c r="F42" s="603"/>
      <c r="G42" s="603"/>
      <c r="H42" s="16"/>
      <c r="I42" s="116"/>
      <c r="J42" s="116"/>
      <c r="K42" s="116"/>
      <c r="L42" s="116"/>
      <c r="M42" s="116"/>
      <c r="N42" s="116"/>
      <c r="O42" s="116"/>
      <c r="P42" s="116"/>
      <c r="Q42" s="116"/>
      <c r="R42" s="116"/>
    </row>
    <row r="43" spans="1:18" s="3" customFormat="1" ht="24.75" customHeight="1" x14ac:dyDescent="0.25">
      <c r="A43" s="143">
        <v>1</v>
      </c>
      <c r="B43" s="600" t="s">
        <v>236</v>
      </c>
      <c r="C43" s="600"/>
      <c r="D43" s="600"/>
      <c r="E43" s="600"/>
      <c r="F43" s="600"/>
      <c r="G43" s="131">
        <v>0.03</v>
      </c>
      <c r="H43" s="16" t="s">
        <v>237</v>
      </c>
    </row>
    <row r="44" spans="1:18" s="3" customFormat="1" ht="24.75" customHeight="1" x14ac:dyDescent="0.25">
      <c r="A44" s="143">
        <v>2</v>
      </c>
      <c r="B44" s="600" t="s">
        <v>238</v>
      </c>
      <c r="C44" s="600"/>
      <c r="D44" s="600"/>
      <c r="E44" s="600"/>
      <c r="F44" s="600"/>
      <c r="G44" s="131">
        <v>6.7900000000000002E-2</v>
      </c>
      <c r="H44" s="16" t="s">
        <v>237</v>
      </c>
    </row>
    <row r="45" spans="1:18" s="3" customFormat="1" ht="12.75" customHeight="1" x14ac:dyDescent="0.25">
      <c r="H45" s="16"/>
    </row>
    <row r="46" spans="1:18" s="56" customFormat="1" ht="24.75" customHeight="1" x14ac:dyDescent="0.25">
      <c r="A46" s="603" t="s">
        <v>239</v>
      </c>
      <c r="B46" s="603"/>
      <c r="C46" s="603"/>
      <c r="D46" s="603"/>
      <c r="E46" s="603"/>
      <c r="F46" s="603"/>
      <c r="G46" s="603"/>
      <c r="H46" s="16"/>
      <c r="I46" s="116"/>
      <c r="J46" s="116"/>
      <c r="K46" s="116"/>
      <c r="L46" s="116"/>
      <c r="M46" s="116"/>
      <c r="N46" s="116"/>
      <c r="O46" s="116"/>
      <c r="P46" s="116"/>
      <c r="Q46" s="116"/>
      <c r="R46" s="116"/>
    </row>
    <row r="47" spans="1:18" s="56" customFormat="1" ht="24.75" customHeight="1" x14ac:dyDescent="0.25">
      <c r="A47" s="597" t="s">
        <v>240</v>
      </c>
      <c r="B47" s="597" t="str">
        <f>IF(F50="LUCRO REAL","INFORMAR ALÍQUOTAS MÉDIAS DE RECOLHIMENTO DOS ÚLTIMOS 12 (DOZE) MESES.",IF(F50="LUCRO PRESUMIDO","ALÍQUOTAS FIXAS - PIS: 0,65%; COFINS: 3,00%.",IF(F50="SIMPLES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47" s="597"/>
      <c r="D47" s="597"/>
      <c r="E47" s="597"/>
      <c r="F47" s="597"/>
      <c r="G47" s="597"/>
      <c r="H47" s="16"/>
      <c r="I47" s="116"/>
      <c r="J47" s="116"/>
      <c r="K47" s="116"/>
      <c r="L47" s="116"/>
      <c r="M47" s="116"/>
      <c r="N47" s="116"/>
      <c r="O47" s="116"/>
      <c r="P47" s="116"/>
      <c r="Q47" s="116"/>
      <c r="R47" s="116"/>
    </row>
    <row r="48" spans="1:18" s="56" customFormat="1" ht="24.75" customHeight="1" x14ac:dyDescent="0.25">
      <c r="A48" s="597"/>
      <c r="B48" s="597"/>
      <c r="C48" s="597"/>
      <c r="D48" s="597"/>
      <c r="E48" s="597"/>
      <c r="F48" s="597"/>
      <c r="G48" s="597"/>
      <c r="H48" s="16"/>
      <c r="I48" s="116"/>
      <c r="J48" s="116"/>
      <c r="K48" s="116"/>
      <c r="L48" s="116"/>
      <c r="M48" s="116"/>
      <c r="N48" s="116"/>
      <c r="O48" s="116"/>
      <c r="P48" s="116"/>
      <c r="Q48" s="116"/>
      <c r="R48" s="116"/>
    </row>
    <row r="49" spans="1:18" s="56" customFormat="1" ht="24.75" customHeight="1" x14ac:dyDescent="0.25">
      <c r="A49" s="597"/>
      <c r="B49" s="597"/>
      <c r="C49" s="597"/>
      <c r="D49" s="597"/>
      <c r="E49" s="597"/>
      <c r="F49" s="597"/>
      <c r="G49" s="597"/>
      <c r="H49" s="16"/>
      <c r="I49" s="116"/>
      <c r="J49" s="116"/>
      <c r="K49" s="116"/>
      <c r="L49" s="116"/>
      <c r="M49" s="116"/>
      <c r="N49" s="116"/>
      <c r="O49" s="116"/>
      <c r="P49" s="116"/>
      <c r="Q49" s="116"/>
      <c r="R49" s="116"/>
    </row>
    <row r="50" spans="1:18" s="3" customFormat="1" ht="24" customHeight="1" x14ac:dyDescent="0.25">
      <c r="A50" s="143">
        <v>1</v>
      </c>
      <c r="B50" s="600" t="s">
        <v>241</v>
      </c>
      <c r="C50" s="600"/>
      <c r="D50" s="600"/>
      <c r="E50" s="600"/>
      <c r="F50" s="604" t="s">
        <v>242</v>
      </c>
      <c r="G50" s="604"/>
      <c r="H50" s="16" t="s">
        <v>243</v>
      </c>
      <c r="R50" s="155"/>
    </row>
    <row r="51" spans="1:18" s="3" customFormat="1" ht="24" customHeight="1" x14ac:dyDescent="0.25">
      <c r="A51" s="143">
        <v>2</v>
      </c>
      <c r="B51" s="600" t="s">
        <v>244</v>
      </c>
      <c r="C51" s="600"/>
      <c r="D51" s="600"/>
      <c r="E51" s="600"/>
      <c r="F51" s="600"/>
      <c r="G51" s="131">
        <v>7.5999999999999998E-2</v>
      </c>
      <c r="H51" s="16" t="s">
        <v>245</v>
      </c>
    </row>
    <row r="52" spans="1:18" s="3" customFormat="1" ht="24" customHeight="1" x14ac:dyDescent="0.25">
      <c r="A52" s="143">
        <v>3</v>
      </c>
      <c r="B52" s="600" t="s">
        <v>246</v>
      </c>
      <c r="C52" s="600"/>
      <c r="D52" s="600"/>
      <c r="E52" s="600"/>
      <c r="F52" s="600"/>
      <c r="G52" s="131">
        <v>1.6500000000000001E-2</v>
      </c>
      <c r="H52" s="16" t="s">
        <v>245</v>
      </c>
    </row>
    <row r="53" spans="1:18" s="3" customFormat="1" ht="24" customHeight="1" x14ac:dyDescent="0.25">
      <c r="A53" s="143">
        <v>4</v>
      </c>
      <c r="B53" s="600" t="s">
        <v>247</v>
      </c>
      <c r="C53" s="600"/>
      <c r="D53" s="600"/>
      <c r="E53" s="600"/>
      <c r="F53" s="600"/>
      <c r="G53" s="131">
        <v>0.05</v>
      </c>
      <c r="H53" s="16" t="s">
        <v>248</v>
      </c>
    </row>
    <row r="54" spans="1:18" s="3" customFormat="1" ht="24" customHeight="1" x14ac:dyDescent="0.25">
      <c r="A54" s="143">
        <v>5</v>
      </c>
      <c r="B54" s="602" t="s">
        <v>233</v>
      </c>
      <c r="C54" s="602"/>
      <c r="D54" s="602"/>
      <c r="E54" s="602"/>
      <c r="F54" s="602"/>
      <c r="G54" s="131">
        <v>0</v>
      </c>
      <c r="H54" s="16" t="s">
        <v>249</v>
      </c>
    </row>
    <row r="55" spans="1:18" s="3" customFormat="1" ht="21.75" customHeight="1" x14ac:dyDescent="0.25">
      <c r="A55" s="143">
        <v>6</v>
      </c>
      <c r="B55" s="600" t="s">
        <v>250</v>
      </c>
      <c r="C55" s="600"/>
      <c r="D55" s="600"/>
      <c r="E55" s="600"/>
      <c r="F55" s="600"/>
      <c r="G55" s="127">
        <f>SUM(G51:G54)</f>
        <v>0.14250000000000002</v>
      </c>
      <c r="H55" s="16"/>
    </row>
    <row r="56" spans="1:18" ht="12.75" customHeight="1" x14ac:dyDescent="0.25"/>
    <row r="57" spans="1:18" s="3" customFormat="1" x14ac:dyDescent="0.25"/>
    <row r="59" spans="1:18" ht="66.75" hidden="1" customHeight="1" x14ac:dyDescent="0.25">
      <c r="A59" s="597" t="s">
        <v>251</v>
      </c>
      <c r="B59" s="597"/>
      <c r="C59" s="597"/>
      <c r="D59" s="597"/>
      <c r="E59" s="597"/>
      <c r="F59" s="597"/>
      <c r="G59" s="597"/>
      <c r="H59" s="597"/>
      <c r="I59" s="142" t="s">
        <v>252</v>
      </c>
      <c r="J59" s="120" t="s">
        <v>253</v>
      </c>
      <c r="K59" s="142" t="s">
        <v>254</v>
      </c>
      <c r="L59" s="142" t="s">
        <v>252</v>
      </c>
      <c r="M59" s="142" t="s">
        <v>255</v>
      </c>
      <c r="N59" s="597" t="s">
        <v>256</v>
      </c>
      <c r="O59" s="597"/>
      <c r="P59" s="120" t="s">
        <v>257</v>
      </c>
      <c r="Q59" s="120"/>
      <c r="R59" s="120" t="s">
        <v>258</v>
      </c>
    </row>
    <row r="60" spans="1:18" ht="15" hidden="1" customHeight="1" x14ac:dyDescent="0.25">
      <c r="A60" s="599" t="s">
        <v>259</v>
      </c>
      <c r="B60" s="599"/>
      <c r="C60" s="143" t="s">
        <v>260</v>
      </c>
      <c r="D60" s="156">
        <f>IPCA!G23</f>
        <v>0</v>
      </c>
      <c r="E60" s="600" t="s">
        <v>261</v>
      </c>
      <c r="F60" s="600"/>
      <c r="G60" s="600"/>
      <c r="H60" s="600"/>
      <c r="I60" s="157" t="s">
        <v>262</v>
      </c>
      <c r="J60" s="157" t="s">
        <v>262</v>
      </c>
      <c r="K60" s="157" t="s">
        <v>262</v>
      </c>
      <c r="L60" s="157" t="s">
        <v>262</v>
      </c>
      <c r="M60" s="157" t="s">
        <v>262</v>
      </c>
      <c r="N60" s="601">
        <f>ROUND((100%+D60),2)</f>
        <v>1</v>
      </c>
      <c r="O60" s="601"/>
      <c r="P60" s="158"/>
      <c r="Q60" s="158"/>
      <c r="R60" s="159"/>
    </row>
    <row r="61" spans="1:18" ht="15" hidden="1" customHeight="1" x14ac:dyDescent="0.25">
      <c r="A61" s="599" t="s">
        <v>263</v>
      </c>
      <c r="B61" s="599"/>
      <c r="C61" s="143" t="s">
        <v>260</v>
      </c>
      <c r="D61" s="156">
        <f>IPCA!N23</f>
        <v>0</v>
      </c>
      <c r="E61" s="600" t="s">
        <v>261</v>
      </c>
      <c r="F61" s="600"/>
      <c r="G61" s="600"/>
      <c r="H61" s="600"/>
      <c r="I61" s="157" t="s">
        <v>262</v>
      </c>
      <c r="J61" s="157" t="s">
        <v>262</v>
      </c>
      <c r="K61" s="157" t="s">
        <v>262</v>
      </c>
      <c r="L61" s="157" t="s">
        <v>262</v>
      </c>
      <c r="M61" s="157" t="s">
        <v>262</v>
      </c>
      <c r="N61" s="601">
        <f>ROUND((100%+D61),2)</f>
        <v>1</v>
      </c>
      <c r="O61" s="601"/>
      <c r="P61" s="158"/>
      <c r="Q61" s="158"/>
      <c r="R61" s="159"/>
    </row>
    <row r="62" spans="1:18" ht="15" hidden="1" customHeight="1" x14ac:dyDescent="0.25">
      <c r="A62" s="599" t="s">
        <v>264</v>
      </c>
      <c r="B62" s="599"/>
      <c r="C62" s="143" t="s">
        <v>260</v>
      </c>
      <c r="D62" s="156">
        <f>IPCA!U23</f>
        <v>0</v>
      </c>
      <c r="E62" s="600" t="s">
        <v>261</v>
      </c>
      <c r="F62" s="600"/>
      <c r="G62" s="600"/>
      <c r="H62" s="600"/>
      <c r="I62" s="157" t="s">
        <v>262</v>
      </c>
      <c r="J62" s="157" t="s">
        <v>262</v>
      </c>
      <c r="K62" s="157" t="s">
        <v>262</v>
      </c>
      <c r="L62" s="157" t="s">
        <v>262</v>
      </c>
      <c r="M62" s="157" t="s">
        <v>262</v>
      </c>
      <c r="N62" s="601">
        <f>ROUND((100%+D62),2)</f>
        <v>1</v>
      </c>
      <c r="O62" s="601"/>
      <c r="P62" s="158"/>
      <c r="Q62" s="158"/>
      <c r="R62" s="159"/>
    </row>
    <row r="63" spans="1:18" ht="15" hidden="1" customHeight="1" x14ac:dyDescent="0.25">
      <c r="A63" s="599" t="s">
        <v>265</v>
      </c>
      <c r="B63" s="599"/>
      <c r="C63" s="143" t="s">
        <v>260</v>
      </c>
      <c r="D63" s="156">
        <f>IPCA!AB23</f>
        <v>0</v>
      </c>
      <c r="E63" s="600" t="s">
        <v>261</v>
      </c>
      <c r="F63" s="600"/>
      <c r="G63" s="600"/>
      <c r="H63" s="600"/>
      <c r="I63" s="157" t="s">
        <v>262</v>
      </c>
      <c r="J63" s="157" t="s">
        <v>262</v>
      </c>
      <c r="K63" s="157" t="s">
        <v>262</v>
      </c>
      <c r="L63" s="157" t="s">
        <v>262</v>
      </c>
      <c r="M63" s="157" t="s">
        <v>262</v>
      </c>
      <c r="N63" s="601">
        <f>ROUND((100%+D63),2)</f>
        <v>1</v>
      </c>
      <c r="O63" s="601"/>
      <c r="P63" s="158"/>
      <c r="Q63" s="158"/>
      <c r="R63" s="159"/>
    </row>
    <row r="64" spans="1:18" ht="15" hidden="1" customHeight="1" x14ac:dyDescent="0.25">
      <c r="A64" s="599" t="s">
        <v>266</v>
      </c>
      <c r="B64" s="599"/>
      <c r="C64" s="143" t="s">
        <v>260</v>
      </c>
      <c r="D64" s="156">
        <f>IPCA!AI23</f>
        <v>0</v>
      </c>
      <c r="E64" s="600" t="s">
        <v>261</v>
      </c>
      <c r="F64" s="600"/>
      <c r="G64" s="600"/>
      <c r="H64" s="600"/>
      <c r="I64" s="157" t="s">
        <v>262</v>
      </c>
      <c r="J64" s="157" t="s">
        <v>262</v>
      </c>
      <c r="K64" s="157" t="s">
        <v>262</v>
      </c>
      <c r="L64" s="157" t="s">
        <v>262</v>
      </c>
      <c r="M64" s="157" t="s">
        <v>262</v>
      </c>
      <c r="N64" s="601">
        <f>ROUND((100%+D64),2)</f>
        <v>1</v>
      </c>
      <c r="O64" s="601"/>
      <c r="P64" s="158"/>
      <c r="Q64" s="158"/>
      <c r="R64" s="159"/>
    </row>
    <row r="65" spans="1:11" hidden="1" x14ac:dyDescent="0.25">
      <c r="B65" s="160"/>
      <c r="C65" s="160"/>
      <c r="D65" s="160"/>
      <c r="E65" s="160"/>
    </row>
    <row r="66" spans="1:11" ht="30" hidden="1" customHeight="1" x14ac:dyDescent="0.25">
      <c r="A66" s="597" t="s">
        <v>267</v>
      </c>
      <c r="B66" s="597"/>
      <c r="C66" s="597"/>
      <c r="D66" s="120" t="s">
        <v>268</v>
      </c>
      <c r="E66" s="160"/>
    </row>
    <row r="67" spans="1:11" ht="15.75" hidden="1" customHeight="1" x14ac:dyDescent="0.25">
      <c r="A67" s="597"/>
      <c r="B67" s="597"/>
      <c r="C67" s="597"/>
      <c r="D67" s="157" t="s">
        <v>269</v>
      </c>
      <c r="E67" s="160"/>
    </row>
    <row r="68" spans="1:11" ht="30" hidden="1" customHeight="1" x14ac:dyDescent="0.25">
      <c r="A68" s="597" t="s">
        <v>270</v>
      </c>
      <c r="B68" s="597"/>
      <c r="C68" s="597"/>
      <c r="D68" s="120" t="s">
        <v>268</v>
      </c>
      <c r="E68" s="160"/>
    </row>
    <row r="69" spans="1:11" ht="15.75" hidden="1" customHeight="1" x14ac:dyDescent="0.25">
      <c r="A69" s="597"/>
      <c r="B69" s="597"/>
      <c r="C69" s="597"/>
      <c r="D69" s="157" t="s">
        <v>269</v>
      </c>
      <c r="E69" s="160"/>
    </row>
    <row r="70" spans="1:11" ht="30" hidden="1" customHeight="1" x14ac:dyDescent="0.25">
      <c r="A70" s="597" t="s">
        <v>271</v>
      </c>
      <c r="B70" s="597"/>
      <c r="C70" s="597"/>
      <c r="D70" s="120" t="s">
        <v>268</v>
      </c>
      <c r="E70" s="160"/>
    </row>
    <row r="71" spans="1:11" ht="15.75" hidden="1" customHeight="1" x14ac:dyDescent="0.25">
      <c r="A71" s="597"/>
      <c r="B71" s="597"/>
      <c r="C71" s="597"/>
      <c r="D71" s="157" t="s">
        <v>269</v>
      </c>
      <c r="E71" s="160"/>
    </row>
    <row r="72" spans="1:11" ht="42.75" hidden="1" customHeight="1" x14ac:dyDescent="0.25">
      <c r="A72" s="597" t="s">
        <v>272</v>
      </c>
      <c r="B72" s="597"/>
      <c r="C72" s="597"/>
      <c r="D72" s="120" t="s">
        <v>268</v>
      </c>
      <c r="E72" s="161" t="s">
        <v>273</v>
      </c>
      <c r="F72" s="120" t="s">
        <v>274</v>
      </c>
      <c r="G72" s="120" t="s">
        <v>275</v>
      </c>
      <c r="H72" s="120" t="s">
        <v>276</v>
      </c>
      <c r="I72" s="120" t="s">
        <v>277</v>
      </c>
      <c r="J72" s="120" t="s">
        <v>278</v>
      </c>
      <c r="K72" s="160"/>
    </row>
    <row r="73" spans="1:11" ht="15.75" hidden="1" customHeight="1" x14ac:dyDescent="0.25">
      <c r="A73" s="597"/>
      <c r="B73" s="597"/>
      <c r="C73" s="597"/>
      <c r="D73" s="157" t="s">
        <v>269</v>
      </c>
      <c r="E73" s="157">
        <v>1.55</v>
      </c>
      <c r="F73" s="143">
        <f>ROUND(IF(Dados!$M$60="SIM",E73*Dados!$N$60,E73),2)</f>
        <v>1.55</v>
      </c>
      <c r="G73" s="143">
        <f>ROUND(IF(Dados!$M$61="SIM",F73*Dados!$N$61,F73),2)</f>
        <v>1.55</v>
      </c>
      <c r="H73" s="143">
        <f>ROUND(IF(Dados!$M$62="SIM",G73*Dados!$N$62,G73),2)</f>
        <v>1.55</v>
      </c>
      <c r="I73" s="143">
        <f>ROUND(IF(Dados!$M$63="SIM",H73*Dados!$N$63,H73),2)</f>
        <v>1.55</v>
      </c>
      <c r="J73" s="143">
        <f>ROUND(IF(Dados!$M$64="SIM",I73*Dados!$N$64,I73),2)</f>
        <v>1.55</v>
      </c>
    </row>
    <row r="74" spans="1:11" hidden="1" x14ac:dyDescent="0.25">
      <c r="E74" s="160"/>
    </row>
    <row r="75" spans="1:11" ht="15.75" hidden="1" customHeight="1" x14ac:dyDescent="0.25">
      <c r="A75" s="598" t="s">
        <v>279</v>
      </c>
      <c r="B75" s="598"/>
      <c r="C75" s="598"/>
      <c r="D75" s="598"/>
      <c r="E75" s="598"/>
      <c r="F75" s="598"/>
      <c r="G75" s="598"/>
      <c r="H75" s="598"/>
    </row>
    <row r="76" spans="1:11" hidden="1" x14ac:dyDescent="0.25">
      <c r="A76" s="594" t="s">
        <v>280</v>
      </c>
      <c r="B76" s="594"/>
      <c r="C76" s="594"/>
      <c r="D76" s="594"/>
      <c r="E76" s="594"/>
      <c r="F76" s="595" t="s">
        <v>281</v>
      </c>
      <c r="G76" s="595"/>
      <c r="H76" s="162"/>
    </row>
    <row r="77" spans="1:11" ht="43.5" hidden="1" customHeight="1" x14ac:dyDescent="0.25">
      <c r="A77" s="592" t="s">
        <v>282</v>
      </c>
      <c r="B77" s="592"/>
      <c r="C77" s="592"/>
      <c r="D77" s="592"/>
      <c r="E77" s="592"/>
      <c r="F77" s="592"/>
      <c r="G77" s="592"/>
      <c r="H77" s="592"/>
    </row>
    <row r="78" spans="1:11" hidden="1" x14ac:dyDescent="0.25">
      <c r="A78" s="594" t="s">
        <v>283</v>
      </c>
      <c r="B78" s="594"/>
      <c r="C78" s="594"/>
      <c r="D78" s="594"/>
      <c r="E78" s="594"/>
      <c r="F78" s="595" t="s">
        <v>281</v>
      </c>
      <c r="G78" s="595"/>
      <c r="H78" s="162"/>
    </row>
    <row r="79" spans="1:11" ht="43.5" hidden="1" customHeight="1" x14ac:dyDescent="0.25">
      <c r="A79" s="593" t="s">
        <v>284</v>
      </c>
      <c r="B79" s="593"/>
      <c r="C79" s="593"/>
      <c r="D79" s="593"/>
      <c r="E79" s="593"/>
      <c r="F79" s="593"/>
      <c r="G79" s="593"/>
      <c r="H79" s="593"/>
    </row>
    <row r="80" spans="1:11" hidden="1" x14ac:dyDescent="0.25">
      <c r="A80" s="594" t="s">
        <v>285</v>
      </c>
      <c r="B80" s="594"/>
      <c r="C80" s="594"/>
      <c r="D80" s="594"/>
      <c r="E80" s="594"/>
      <c r="F80" s="595" t="s">
        <v>281</v>
      </c>
      <c r="G80" s="595"/>
      <c r="H80" s="162"/>
    </row>
    <row r="81" spans="1:8" ht="43.5" hidden="1" customHeight="1" x14ac:dyDescent="0.25">
      <c r="A81" s="592" t="s">
        <v>286</v>
      </c>
      <c r="B81" s="592"/>
      <c r="C81" s="592"/>
      <c r="D81" s="592"/>
      <c r="E81" s="592"/>
      <c r="F81" s="592"/>
      <c r="G81" s="592"/>
      <c r="H81" s="592"/>
    </row>
    <row r="82" spans="1:8" hidden="1" x14ac:dyDescent="0.25">
      <c r="A82" s="596" t="s">
        <v>287</v>
      </c>
      <c r="B82" s="596"/>
      <c r="C82" s="596"/>
      <c r="D82" s="596"/>
      <c r="E82" s="596"/>
      <c r="F82" s="595" t="s">
        <v>281</v>
      </c>
      <c r="G82" s="595"/>
      <c r="H82" s="163"/>
    </row>
    <row r="83" spans="1:8" ht="43.5" hidden="1" customHeight="1" x14ac:dyDescent="0.25">
      <c r="A83" s="592" t="s">
        <v>288</v>
      </c>
      <c r="B83" s="592"/>
      <c r="C83" s="592"/>
      <c r="D83" s="592"/>
      <c r="E83" s="592"/>
      <c r="F83" s="592"/>
      <c r="G83" s="592"/>
      <c r="H83" s="592"/>
    </row>
    <row r="84" spans="1:8" hidden="1" x14ac:dyDescent="0.25"/>
    <row r="85" spans="1:8" hidden="1" x14ac:dyDescent="0.25"/>
    <row r="86" spans="1:8" hidden="1" x14ac:dyDescent="0.25"/>
    <row r="87" spans="1:8" hidden="1" x14ac:dyDescent="0.25"/>
    <row r="88" spans="1:8" hidden="1" x14ac:dyDescent="0.25"/>
    <row r="89" spans="1:8" hidden="1" x14ac:dyDescent="0.25"/>
    <row r="90" spans="1:8" hidden="1" x14ac:dyDescent="0.25"/>
    <row r="91" spans="1:8" hidden="1" x14ac:dyDescent="0.25"/>
    <row r="92" spans="1:8" hidden="1" x14ac:dyDescent="0.25"/>
    <row r="93" spans="1:8" hidden="1" x14ac:dyDescent="0.25"/>
    <row r="94" spans="1:8" hidden="1" x14ac:dyDescent="0.25"/>
    <row r="95" spans="1:8" hidden="1" x14ac:dyDescent="0.25"/>
    <row r="96" spans="1:8"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sheetData>
  <sheetProtection algorithmName="SHA-512" hashValue="Glb00SbjI/P7rc9vcYWDCS21eSprWCglorlFBso4SjnWTF1uGGR4/1hLsMGcpQ9x9XgDz5KHHKpti6YFpsWBbw==" saltValue="AE7mvgJkA1XX6mcIHKKpuA==" spinCount="100000" sheet="1" objects="1" scenarios="1"/>
  <mergeCells count="96">
    <mergeCell ref="K5:K6"/>
    <mergeCell ref="L5:L6"/>
    <mergeCell ref="M5:M6"/>
    <mergeCell ref="S5:S6"/>
    <mergeCell ref="A7:A9"/>
    <mergeCell ref="F5:F6"/>
    <mergeCell ref="G5:G6"/>
    <mergeCell ref="H5:H6"/>
    <mergeCell ref="I5:I6"/>
    <mergeCell ref="J5:J6"/>
    <mergeCell ref="A5:A6"/>
    <mergeCell ref="B5:B6"/>
    <mergeCell ref="C5:C6"/>
    <mergeCell ref="D5:D6"/>
    <mergeCell ref="E5:E6"/>
    <mergeCell ref="A12:G12"/>
    <mergeCell ref="B13:D13"/>
    <mergeCell ref="E13:G13"/>
    <mergeCell ref="B14:D14"/>
    <mergeCell ref="E14:G14"/>
    <mergeCell ref="B15:D15"/>
    <mergeCell ref="E15:G15"/>
    <mergeCell ref="B16:D16"/>
    <mergeCell ref="E16:G16"/>
    <mergeCell ref="B17:D17"/>
    <mergeCell ref="E17:G17"/>
    <mergeCell ref="A19:G19"/>
    <mergeCell ref="B20:F20"/>
    <mergeCell ref="B22:F22"/>
    <mergeCell ref="B23:F23"/>
    <mergeCell ref="B24:F24"/>
    <mergeCell ref="A26:G26"/>
    <mergeCell ref="B27:F27"/>
    <mergeCell ref="A29:G29"/>
    <mergeCell ref="B30:F30"/>
    <mergeCell ref="B31:F31"/>
    <mergeCell ref="A32:A35"/>
    <mergeCell ref="B32:C35"/>
    <mergeCell ref="D32:F32"/>
    <mergeCell ref="D33:F33"/>
    <mergeCell ref="D34:F34"/>
    <mergeCell ref="D35:F35"/>
    <mergeCell ref="A36:A38"/>
    <mergeCell ref="B36:C38"/>
    <mergeCell ref="D36:F36"/>
    <mergeCell ref="D37:F37"/>
    <mergeCell ref="D38:F38"/>
    <mergeCell ref="B39:F39"/>
    <mergeCell ref="B40:F40"/>
    <mergeCell ref="A42:G42"/>
    <mergeCell ref="B43:F43"/>
    <mergeCell ref="B44:F44"/>
    <mergeCell ref="A46:G46"/>
    <mergeCell ref="A47:A49"/>
    <mergeCell ref="B47:G49"/>
    <mergeCell ref="B50:E50"/>
    <mergeCell ref="F50:G50"/>
    <mergeCell ref="B51:F51"/>
    <mergeCell ref="B52:F52"/>
    <mergeCell ref="B53:F53"/>
    <mergeCell ref="B54:F54"/>
    <mergeCell ref="B55:F55"/>
    <mergeCell ref="A59:H59"/>
    <mergeCell ref="N59:O59"/>
    <mergeCell ref="A60:B60"/>
    <mergeCell ref="E60:H60"/>
    <mergeCell ref="N60:O60"/>
    <mergeCell ref="A61:B61"/>
    <mergeCell ref="E61:H61"/>
    <mergeCell ref="N61:O61"/>
    <mergeCell ref="A62:B62"/>
    <mergeCell ref="E62:H62"/>
    <mergeCell ref="N62:O62"/>
    <mergeCell ref="A63:B63"/>
    <mergeCell ref="E63:H63"/>
    <mergeCell ref="N63:O63"/>
    <mergeCell ref="A64:B64"/>
    <mergeCell ref="E64:H64"/>
    <mergeCell ref="N64:O64"/>
    <mergeCell ref="A66:C67"/>
    <mergeCell ref="A68:C69"/>
    <mergeCell ref="A70:C71"/>
    <mergeCell ref="A72:C73"/>
    <mergeCell ref="A75:H75"/>
    <mergeCell ref="A76:E76"/>
    <mergeCell ref="F76:G76"/>
    <mergeCell ref="A77:H77"/>
    <mergeCell ref="A78:E78"/>
    <mergeCell ref="F78:G78"/>
    <mergeCell ref="A83:H83"/>
    <mergeCell ref="A79:H79"/>
    <mergeCell ref="A80:E80"/>
    <mergeCell ref="F80:G80"/>
    <mergeCell ref="A81:H81"/>
    <mergeCell ref="A82:E82"/>
    <mergeCell ref="F82:G82"/>
  </mergeCells>
  <dataValidations count="3">
    <dataValidation type="list" allowBlank="1" showInputMessage="1" showErrorMessage="1" sqref="F50" xr:uid="{00000000-0002-0000-0200-000000000000}">
      <formula1>"LUCRO REAL,LUCRO PRESUMIDO,SIMPLES NACIONAL,OUTRO"</formula1>
      <formula2>0</formula2>
    </dataValidation>
    <dataValidation type="list" allowBlank="1" showInputMessage="1" showErrorMessage="1" sqref="I60:M64" xr:uid="{00000000-0002-0000-0200-000001000000}">
      <formula1>"NÃO,SIM"</formula1>
      <formula2>0</formula2>
    </dataValidation>
    <dataValidation type="list" allowBlank="1" showInputMessage="1" showErrorMessage="1" sqref="D67 D69 D71 D73" xr:uid="{00000000-0002-0000-0200-000002000000}">
      <formula1>"INICIAL,1º IPCA,2º IPCA,3º IPCA,4º IPCA,5º IPCA"</formula1>
      <formula2>0</formula2>
    </dataValidation>
  </dataValidations>
  <printOptions horizontalCentered="1" verticalCentered="1"/>
  <pageMargins left="0.51180555555555596" right="0.51180555555555596" top="0.78749999999999998" bottom="0.78749999999999998" header="0.511811023622047" footer="0.511811023622047"/>
  <pageSetup paperSize="9" scale="32" fitToHeight="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1"/>
  <sheetViews>
    <sheetView showGridLines="0" view="pageBreakPreview" zoomScaleNormal="100" workbookViewId="0"/>
  </sheetViews>
  <sheetFormatPr defaultColWidth="8.7109375" defaultRowHeight="15" x14ac:dyDescent="0.25"/>
  <cols>
    <col min="1" max="1" width="9" customWidth="1"/>
    <col min="2" max="2" width="55.5703125" customWidth="1"/>
    <col min="3" max="3" width="13.140625" customWidth="1"/>
    <col min="4" max="4" width="4.85546875" customWidth="1"/>
    <col min="5" max="5" width="41.7109375" customWidth="1"/>
    <col min="6" max="8" width="11" customWidth="1"/>
    <col min="9" max="257" width="9" customWidth="1"/>
    <col min="258" max="258" width="55.5703125" customWidth="1"/>
    <col min="259" max="259" width="13.140625" customWidth="1"/>
    <col min="260" max="260" width="9" customWidth="1"/>
    <col min="261" max="261" width="35.140625" customWidth="1"/>
    <col min="262" max="264" width="11" customWidth="1"/>
    <col min="265" max="513" width="9" customWidth="1"/>
    <col min="514" max="514" width="55.5703125" customWidth="1"/>
    <col min="515" max="515" width="13.140625" customWidth="1"/>
    <col min="516" max="516" width="9" customWidth="1"/>
    <col min="517" max="517" width="35.140625" customWidth="1"/>
    <col min="518" max="520" width="11" customWidth="1"/>
    <col min="521" max="769" width="9" customWidth="1"/>
    <col min="770" max="770" width="55.5703125" customWidth="1"/>
    <col min="771" max="771" width="13.140625" customWidth="1"/>
    <col min="772" max="772" width="9" customWidth="1"/>
    <col min="773" max="773" width="35.140625" customWidth="1"/>
    <col min="774" max="776" width="11" customWidth="1"/>
    <col min="777" max="1025" width="9" customWidth="1"/>
  </cols>
  <sheetData>
    <row r="1" spans="1:4" x14ac:dyDescent="0.25">
      <c r="A1" s="164"/>
      <c r="B1" s="98" t="str">
        <f>INSTRUÇÕES!B1</f>
        <v>Tribunal Regional Federal da 6ª Região</v>
      </c>
      <c r="C1" s="165"/>
    </row>
    <row r="2" spans="1:4" x14ac:dyDescent="0.25">
      <c r="A2" s="166"/>
      <c r="B2" s="100" t="str">
        <f>INSTRUÇÕES!B2</f>
        <v>Seção Judiciária de Minas Gerais</v>
      </c>
      <c r="C2" s="167"/>
    </row>
    <row r="3" spans="1:4" x14ac:dyDescent="0.25">
      <c r="A3" s="168"/>
      <c r="B3" s="100" t="str">
        <f>INSTRUÇÕES!B3</f>
        <v>Subseção Judiciária de Poços de Caldas</v>
      </c>
      <c r="C3" s="167"/>
    </row>
    <row r="4" spans="1:4" ht="21.75" customHeight="1" x14ac:dyDescent="0.25">
      <c r="A4" s="622" t="s">
        <v>289</v>
      </c>
      <c r="B4" s="622"/>
      <c r="C4" s="622"/>
    </row>
    <row r="5" spans="1:4" ht="21.75" customHeight="1" x14ac:dyDescent="0.25">
      <c r="A5" s="622" t="s">
        <v>290</v>
      </c>
      <c r="B5" s="622"/>
      <c r="C5" s="622"/>
    </row>
    <row r="6" spans="1:4" ht="26.25" customHeight="1" x14ac:dyDescent="0.25">
      <c r="A6" s="623" t="s">
        <v>291</v>
      </c>
      <c r="B6" s="623"/>
      <c r="C6" s="623"/>
    </row>
    <row r="7" spans="1:4" x14ac:dyDescent="0.25">
      <c r="A7" s="624" t="s">
        <v>292</v>
      </c>
      <c r="B7" s="624"/>
      <c r="C7" s="624"/>
    </row>
    <row r="8" spans="1:4" ht="15.75" customHeight="1" x14ac:dyDescent="0.25">
      <c r="A8" s="169" t="s">
        <v>54</v>
      </c>
      <c r="B8" s="170" t="s">
        <v>293</v>
      </c>
      <c r="C8" s="171" t="s">
        <v>294</v>
      </c>
    </row>
    <row r="9" spans="1:4" ht="15.75" customHeight="1" x14ac:dyDescent="0.25">
      <c r="A9" s="172" t="s">
        <v>295</v>
      </c>
      <c r="B9" s="617" t="s">
        <v>296</v>
      </c>
      <c r="C9" s="617"/>
    </row>
    <row r="10" spans="1:4" ht="15.75" customHeight="1" x14ac:dyDescent="0.25">
      <c r="A10" s="173">
        <v>1</v>
      </c>
      <c r="B10" s="174" t="s">
        <v>297</v>
      </c>
      <c r="C10" s="175">
        <v>0.2</v>
      </c>
    </row>
    <row r="11" spans="1:4" ht="15.75" customHeight="1" x14ac:dyDescent="0.25">
      <c r="A11" s="173">
        <v>2</v>
      </c>
      <c r="B11" s="174" t="s">
        <v>298</v>
      </c>
      <c r="C11" s="175">
        <v>1.4999999999999999E-2</v>
      </c>
    </row>
    <row r="12" spans="1:4" ht="15.75" customHeight="1" x14ac:dyDescent="0.25">
      <c r="A12" s="173">
        <v>3</v>
      </c>
      <c r="B12" s="174" t="s">
        <v>299</v>
      </c>
      <c r="C12" s="175">
        <v>0.01</v>
      </c>
    </row>
    <row r="13" spans="1:4" ht="15.75" customHeight="1" x14ac:dyDescent="0.25">
      <c r="A13" s="173">
        <v>4</v>
      </c>
      <c r="B13" s="174" t="s">
        <v>300</v>
      </c>
      <c r="C13" s="175">
        <v>2E-3</v>
      </c>
    </row>
    <row r="14" spans="1:4" ht="15.75" customHeight="1" x14ac:dyDescent="0.25">
      <c r="A14" s="173">
        <v>5</v>
      </c>
      <c r="B14" s="174" t="s">
        <v>301</v>
      </c>
      <c r="C14" s="175">
        <v>2.5000000000000001E-2</v>
      </c>
    </row>
    <row r="15" spans="1:4" ht="15.75" customHeight="1" x14ac:dyDescent="0.25">
      <c r="A15" s="173">
        <v>6</v>
      </c>
      <c r="B15" s="174" t="s">
        <v>302</v>
      </c>
      <c r="C15" s="175">
        <v>0.08</v>
      </c>
    </row>
    <row r="16" spans="1:4" ht="15.75" customHeight="1" x14ac:dyDescent="0.25">
      <c r="A16" s="173">
        <v>7</v>
      </c>
      <c r="B16" s="174" t="s">
        <v>303</v>
      </c>
      <c r="C16" s="176">
        <f>Dados!G22</f>
        <v>0.06</v>
      </c>
      <c r="D16" s="177" t="s">
        <v>304</v>
      </c>
    </row>
    <row r="17" spans="1:3" ht="15.75" customHeight="1" x14ac:dyDescent="0.25">
      <c r="A17" s="173">
        <v>8</v>
      </c>
      <c r="B17" s="174" t="s">
        <v>305</v>
      </c>
      <c r="C17" s="175">
        <v>6.0000000000000001E-3</v>
      </c>
    </row>
    <row r="18" spans="1:3" ht="15.75" customHeight="1" x14ac:dyDescent="0.25">
      <c r="A18" s="620" t="s">
        <v>306</v>
      </c>
      <c r="B18" s="620"/>
      <c r="C18" s="178">
        <f>SUM(C10:C17)</f>
        <v>0.39800000000000008</v>
      </c>
    </row>
    <row r="19" spans="1:3" ht="15.75" customHeight="1" x14ac:dyDescent="0.25">
      <c r="A19" s="621" t="s">
        <v>307</v>
      </c>
      <c r="B19" s="621"/>
      <c r="C19" s="621"/>
    </row>
    <row r="20" spans="1:3" ht="15.75" customHeight="1" x14ac:dyDescent="0.25">
      <c r="A20" s="621" t="s">
        <v>308</v>
      </c>
      <c r="B20" s="621"/>
      <c r="C20" s="621"/>
    </row>
    <row r="21" spans="1:3" ht="15.75" customHeight="1" x14ac:dyDescent="0.25">
      <c r="A21" s="173">
        <v>9</v>
      </c>
      <c r="B21" s="179" t="s">
        <v>309</v>
      </c>
      <c r="C21" s="180">
        <f>ROUND((100%/11),4)</f>
        <v>9.0899999999999995E-2</v>
      </c>
    </row>
    <row r="22" spans="1:3" ht="15.75" customHeight="1" x14ac:dyDescent="0.25">
      <c r="A22" s="173">
        <v>10</v>
      </c>
      <c r="B22" s="179" t="s">
        <v>310</v>
      </c>
      <c r="C22" s="180">
        <f>ROUND((C21/3),4)</f>
        <v>3.0300000000000001E-2</v>
      </c>
    </row>
    <row r="23" spans="1:3" ht="15.75" customHeight="1" x14ac:dyDescent="0.25">
      <c r="A23" s="618" t="s">
        <v>311</v>
      </c>
      <c r="B23" s="618"/>
      <c r="C23" s="181">
        <f>SUM(C21:C22)</f>
        <v>0.1212</v>
      </c>
    </row>
    <row r="24" spans="1:3" ht="15.75" customHeight="1" x14ac:dyDescent="0.25">
      <c r="A24" s="619" t="s">
        <v>312</v>
      </c>
      <c r="B24" s="619"/>
      <c r="C24" s="176">
        <f>(C18*C23)</f>
        <v>4.8237600000000012E-2</v>
      </c>
    </row>
    <row r="25" spans="1:3" ht="15.75" customHeight="1" x14ac:dyDescent="0.25">
      <c r="A25" s="618" t="s">
        <v>313</v>
      </c>
      <c r="B25" s="618"/>
      <c r="C25" s="181">
        <f>SUM(C23:C24)</f>
        <v>0.16943760000000002</v>
      </c>
    </row>
    <row r="26" spans="1:3" ht="15.75" customHeight="1" x14ac:dyDescent="0.25">
      <c r="A26" s="172" t="s">
        <v>314</v>
      </c>
      <c r="B26" s="617" t="s">
        <v>315</v>
      </c>
      <c r="C26" s="617"/>
    </row>
    <row r="27" spans="1:3" ht="15.75" customHeight="1" x14ac:dyDescent="0.25">
      <c r="A27" s="173">
        <v>11</v>
      </c>
      <c r="B27" s="174" t="s">
        <v>316</v>
      </c>
      <c r="C27" s="175">
        <f>ROUND((0.0144*0.1*0.4509*6/12),4)</f>
        <v>2.9999999999999997E-4</v>
      </c>
    </row>
    <row r="28" spans="1:3" ht="15.75" customHeight="1" x14ac:dyDescent="0.25">
      <c r="A28" s="619" t="s">
        <v>317</v>
      </c>
      <c r="B28" s="619"/>
      <c r="C28" s="182">
        <f>C18*C27</f>
        <v>1.1940000000000002E-4</v>
      </c>
    </row>
    <row r="29" spans="1:3" ht="15.75" customHeight="1" x14ac:dyDescent="0.25">
      <c r="A29" s="618" t="s">
        <v>318</v>
      </c>
      <c r="B29" s="618"/>
      <c r="C29" s="183">
        <f>SUM(C27:C28)</f>
        <v>4.194E-4</v>
      </c>
    </row>
    <row r="30" spans="1:3" ht="15.75" customHeight="1" x14ac:dyDescent="0.25">
      <c r="A30" s="172" t="s">
        <v>319</v>
      </c>
      <c r="B30" s="617" t="s">
        <v>320</v>
      </c>
      <c r="C30" s="617"/>
    </row>
    <row r="31" spans="1:3" ht="15.75" customHeight="1" x14ac:dyDescent="0.25">
      <c r="A31" s="173">
        <v>12</v>
      </c>
      <c r="B31" s="174" t="s">
        <v>321</v>
      </c>
      <c r="C31" s="175">
        <f>ROUND((100%/12)*5%,4)</f>
        <v>4.1999999999999997E-3</v>
      </c>
    </row>
    <row r="32" spans="1:3" ht="15.75" customHeight="1" x14ac:dyDescent="0.25">
      <c r="A32" s="609" t="s">
        <v>322</v>
      </c>
      <c r="B32" s="609"/>
      <c r="C32" s="176">
        <f>C15*C31</f>
        <v>3.3599999999999998E-4</v>
      </c>
    </row>
    <row r="33" spans="1:8" ht="15.75" customHeight="1" x14ac:dyDescent="0.25">
      <c r="A33" s="173">
        <v>13</v>
      </c>
      <c r="B33" s="174" t="s">
        <v>323</v>
      </c>
      <c r="C33" s="180">
        <f>ROUND((C15*0.4*0.9*(1+1/11+1/11+(1/3*1/11))),5)</f>
        <v>3.4909999999999997E-2</v>
      </c>
    </row>
    <row r="34" spans="1:8" ht="15.75" customHeight="1" x14ac:dyDescent="0.25">
      <c r="A34" s="173">
        <v>14</v>
      </c>
      <c r="B34" s="174" t="s">
        <v>324</v>
      </c>
      <c r="C34" s="175">
        <v>4.0000000000000002E-4</v>
      </c>
    </row>
    <row r="35" spans="1:8" ht="15.75" customHeight="1" x14ac:dyDescent="0.25">
      <c r="A35" s="609" t="s">
        <v>325</v>
      </c>
      <c r="B35" s="609"/>
      <c r="C35" s="176">
        <f>ROUND((C34*C18),4)</f>
        <v>2.0000000000000001E-4</v>
      </c>
    </row>
    <row r="36" spans="1:8" ht="15.75" customHeight="1" x14ac:dyDescent="0.25">
      <c r="A36" s="173">
        <v>15</v>
      </c>
      <c r="B36" s="174" t="s">
        <v>326</v>
      </c>
      <c r="C36" s="176">
        <f>(0.4*C15/100)</f>
        <v>3.2000000000000003E-4</v>
      </c>
    </row>
    <row r="37" spans="1:8" ht="15.75" customHeight="1" x14ac:dyDescent="0.25">
      <c r="A37" s="612" t="s">
        <v>327</v>
      </c>
      <c r="B37" s="612"/>
      <c r="C37" s="181">
        <f>SUM(C31:C36)</f>
        <v>4.0365999999999992E-2</v>
      </c>
    </row>
    <row r="38" spans="1:8" ht="15.75" customHeight="1" x14ac:dyDescent="0.25">
      <c r="A38" s="172" t="s">
        <v>328</v>
      </c>
      <c r="B38" s="617" t="s">
        <v>329</v>
      </c>
      <c r="C38" s="617"/>
    </row>
    <row r="39" spans="1:8" ht="15.75" customHeight="1" x14ac:dyDescent="0.25">
      <c r="A39" s="173">
        <v>16</v>
      </c>
      <c r="B39" s="174" t="s">
        <v>330</v>
      </c>
      <c r="C39" s="180">
        <f>ROUND((100%/11),4)</f>
        <v>9.0899999999999995E-2</v>
      </c>
    </row>
    <row r="40" spans="1:8" ht="15.75" customHeight="1" x14ac:dyDescent="0.25">
      <c r="A40" s="173">
        <v>17</v>
      </c>
      <c r="B40" s="174" t="s">
        <v>331</v>
      </c>
      <c r="C40" s="175">
        <v>1.66E-2</v>
      </c>
    </row>
    <row r="41" spans="1:8" ht="15.75" customHeight="1" x14ac:dyDescent="0.25">
      <c r="A41" s="173">
        <v>18</v>
      </c>
      <c r="B41" s="174" t="s">
        <v>332</v>
      </c>
      <c r="C41" s="175">
        <v>2.9999999999999997E-4</v>
      </c>
    </row>
    <row r="42" spans="1:8" ht="15.75" customHeight="1" x14ac:dyDescent="0.25">
      <c r="A42" s="173">
        <v>19</v>
      </c>
      <c r="B42" s="174" t="s">
        <v>333</v>
      </c>
      <c r="C42" s="175">
        <v>2.8E-3</v>
      </c>
    </row>
    <row r="43" spans="1:8" ht="15.75" customHeight="1" x14ac:dyDescent="0.25">
      <c r="A43" s="173">
        <v>20</v>
      </c>
      <c r="B43" s="174" t="s">
        <v>334</v>
      </c>
      <c r="C43" s="175">
        <f>ROUND((15/30/12*0.0078),4)</f>
        <v>2.9999999999999997E-4</v>
      </c>
    </row>
    <row r="44" spans="1:8" ht="15.75" customHeight="1" x14ac:dyDescent="0.25">
      <c r="A44" s="612" t="s">
        <v>311</v>
      </c>
      <c r="B44" s="612"/>
      <c r="C44" s="181">
        <f>SUM(C39:C43)</f>
        <v>0.11089999999999998</v>
      </c>
      <c r="E44" s="614" t="s">
        <v>335</v>
      </c>
      <c r="F44" s="614"/>
      <c r="G44" s="614"/>
      <c r="H44" s="614"/>
    </row>
    <row r="45" spans="1:8" ht="15.75" customHeight="1" x14ac:dyDescent="0.25">
      <c r="A45" s="609" t="s">
        <v>336</v>
      </c>
      <c r="B45" s="609"/>
      <c r="C45" s="176">
        <f>C18*C44</f>
        <v>4.4138200000000002E-2</v>
      </c>
      <c r="E45" s="614"/>
      <c r="F45" s="614"/>
      <c r="G45" s="614"/>
      <c r="H45" s="614"/>
    </row>
    <row r="46" spans="1:8" ht="15" customHeight="1" x14ac:dyDescent="0.25">
      <c r="A46" s="612" t="s">
        <v>337</v>
      </c>
      <c r="B46" s="612"/>
      <c r="C46" s="181">
        <f>SUM(C44:C45)</f>
        <v>0.15503819999999999</v>
      </c>
      <c r="E46" s="615" t="s">
        <v>338</v>
      </c>
      <c r="F46" s="616" t="s">
        <v>339</v>
      </c>
      <c r="G46" s="616"/>
      <c r="H46" s="616"/>
    </row>
    <row r="47" spans="1:8" ht="15.75" customHeight="1" x14ac:dyDescent="0.25">
      <c r="A47" s="184" t="s">
        <v>340</v>
      </c>
      <c r="B47" s="185" t="s">
        <v>341</v>
      </c>
      <c r="C47" s="181" t="s">
        <v>207</v>
      </c>
      <c r="E47" s="615"/>
      <c r="F47" s="616" t="s">
        <v>342</v>
      </c>
      <c r="G47" s="616"/>
      <c r="H47" s="616"/>
    </row>
    <row r="48" spans="1:8" ht="15.75" customHeight="1" x14ac:dyDescent="0.25">
      <c r="A48" s="173">
        <v>21</v>
      </c>
      <c r="B48" s="174" t="s">
        <v>343</v>
      </c>
      <c r="C48" s="175">
        <f>1*1%/12</f>
        <v>8.3333333333333339E-4</v>
      </c>
      <c r="E48" s="186" t="s">
        <v>344</v>
      </c>
      <c r="F48" s="187" t="s">
        <v>345</v>
      </c>
      <c r="G48" s="187" t="s">
        <v>346</v>
      </c>
      <c r="H48" s="188" t="s">
        <v>347</v>
      </c>
    </row>
    <row r="49" spans="1:8" ht="15.75" customHeight="1" x14ac:dyDescent="0.25">
      <c r="A49" s="612" t="s">
        <v>348</v>
      </c>
      <c r="B49" s="612"/>
      <c r="C49" s="181">
        <f>SUM(C47:C48)</f>
        <v>8.3333333333333339E-4</v>
      </c>
      <c r="E49" s="186" t="s">
        <v>349</v>
      </c>
      <c r="F49" s="189">
        <v>0.34300000000000003</v>
      </c>
      <c r="G49" s="189">
        <v>0.39800000000000002</v>
      </c>
      <c r="H49" s="190">
        <f>$C$18</f>
        <v>0.39800000000000008</v>
      </c>
    </row>
    <row r="50" spans="1:8" ht="15.75" customHeight="1" x14ac:dyDescent="0.25">
      <c r="A50" s="613" t="s">
        <v>350</v>
      </c>
      <c r="B50" s="613"/>
      <c r="C50" s="613"/>
      <c r="E50" s="186" t="s">
        <v>351</v>
      </c>
      <c r="F50" s="189">
        <v>5.0000000000000001E-3</v>
      </c>
      <c r="G50" s="189">
        <v>0.06</v>
      </c>
      <c r="H50" s="190">
        <f>$C$16</f>
        <v>0.06</v>
      </c>
    </row>
    <row r="51" spans="1:8" ht="15.75" customHeight="1" x14ac:dyDescent="0.25">
      <c r="A51" s="609" t="s">
        <v>296</v>
      </c>
      <c r="B51" s="609"/>
      <c r="C51" s="176">
        <f>ROUND(C18,4)</f>
        <v>0.39800000000000002</v>
      </c>
      <c r="E51" s="191" t="s">
        <v>352</v>
      </c>
      <c r="F51" s="192">
        <f>$C$21</f>
        <v>9.0899999999999995E-2</v>
      </c>
      <c r="G51" s="192">
        <f>$F$51</f>
        <v>9.0899999999999995E-2</v>
      </c>
      <c r="H51" s="193">
        <f>$F$51</f>
        <v>9.0899999999999995E-2</v>
      </c>
    </row>
    <row r="52" spans="1:8" ht="15.75" customHeight="1" x14ac:dyDescent="0.25">
      <c r="A52" s="609" t="s">
        <v>353</v>
      </c>
      <c r="B52" s="609"/>
      <c r="C52" s="176">
        <f>ROUND(C25,4)</f>
        <v>0.1694</v>
      </c>
      <c r="E52" s="191" t="s">
        <v>354</v>
      </c>
      <c r="F52" s="192">
        <f>$C$39</f>
        <v>9.0899999999999995E-2</v>
      </c>
      <c r="G52" s="192">
        <f>$F$52</f>
        <v>9.0899999999999995E-2</v>
      </c>
      <c r="H52" s="193">
        <f>$F$52</f>
        <v>9.0899999999999995E-2</v>
      </c>
    </row>
    <row r="53" spans="1:8" ht="15.75" customHeight="1" x14ac:dyDescent="0.25">
      <c r="A53" s="609" t="s">
        <v>315</v>
      </c>
      <c r="B53" s="609"/>
      <c r="C53" s="176">
        <f>ROUND(C29,4)</f>
        <v>4.0000000000000002E-4</v>
      </c>
      <c r="E53" s="191" t="s">
        <v>355</v>
      </c>
      <c r="F53" s="192">
        <f>$C$22</f>
        <v>3.0300000000000001E-2</v>
      </c>
      <c r="G53" s="192">
        <f>$F$53</f>
        <v>3.0300000000000001E-2</v>
      </c>
      <c r="H53" s="193">
        <f>$F$53</f>
        <v>3.0300000000000001E-2</v>
      </c>
    </row>
    <row r="54" spans="1:8" ht="15.75" customHeight="1" x14ac:dyDescent="0.25">
      <c r="A54" s="609" t="s">
        <v>356</v>
      </c>
      <c r="B54" s="609"/>
      <c r="C54" s="176">
        <f>ROUND(C37,4)</f>
        <v>4.0399999999999998E-2</v>
      </c>
      <c r="E54" s="194" t="s">
        <v>311</v>
      </c>
      <c r="F54" s="195">
        <f>SUM(F51:F53)</f>
        <v>0.21209999999999998</v>
      </c>
      <c r="G54" s="195">
        <f>SUM(G51:G53)</f>
        <v>0.21209999999999998</v>
      </c>
      <c r="H54" s="196">
        <f>ROUND((SUM(H51:H53)),4)</f>
        <v>0.21210000000000001</v>
      </c>
    </row>
    <row r="55" spans="1:8" ht="15.75" customHeight="1" x14ac:dyDescent="0.25">
      <c r="A55" s="609" t="s">
        <v>357</v>
      </c>
      <c r="B55" s="609"/>
      <c r="C55" s="176">
        <f>ROUND(C46,4)</f>
        <v>0.155</v>
      </c>
      <c r="E55" s="191" t="s">
        <v>358</v>
      </c>
      <c r="F55" s="192">
        <f>F54*F49</f>
        <v>7.2750300000000004E-2</v>
      </c>
      <c r="G55" s="192">
        <f>G54*G49</f>
        <v>8.4415799999999999E-2</v>
      </c>
      <c r="H55" s="193">
        <f>ROUND((H54*H49),4)</f>
        <v>8.4400000000000003E-2</v>
      </c>
    </row>
    <row r="56" spans="1:8" ht="15.75" customHeight="1" x14ac:dyDescent="0.25">
      <c r="A56" s="609" t="s">
        <v>343</v>
      </c>
      <c r="B56" s="609"/>
      <c r="C56" s="176">
        <f>ROUND(C49,4)</f>
        <v>8.0000000000000004E-4</v>
      </c>
      <c r="E56" s="191" t="s">
        <v>359</v>
      </c>
      <c r="F56" s="192">
        <v>3.4909999999999997E-2</v>
      </c>
      <c r="G56" s="192">
        <v>3.4909999999999997E-2</v>
      </c>
      <c r="H56" s="197">
        <f>C33</f>
        <v>3.4909999999999997E-2</v>
      </c>
    </row>
    <row r="57" spans="1:8" ht="15.75" customHeight="1" x14ac:dyDescent="0.25">
      <c r="A57" s="610" t="s">
        <v>360</v>
      </c>
      <c r="B57" s="610"/>
      <c r="C57" s="178">
        <f>SUM(C51:C56)</f>
        <v>0.76400000000000001</v>
      </c>
      <c r="E57" s="198" t="s">
        <v>361</v>
      </c>
      <c r="F57" s="199">
        <f>SUM(F54:F56)</f>
        <v>0.3197603</v>
      </c>
      <c r="G57" s="199">
        <f>SUM(G54:G56)</f>
        <v>0.33142579999999999</v>
      </c>
      <c r="H57" s="200">
        <f>ROUND((SUM(H54:H56)),4)</f>
        <v>0.33139999999999997</v>
      </c>
    </row>
    <row r="58" spans="1:8" ht="24" x14ac:dyDescent="0.25">
      <c r="A58" s="201" t="s">
        <v>45</v>
      </c>
      <c r="B58" s="202"/>
      <c r="C58" s="203"/>
      <c r="E58" s="191" t="s">
        <v>362</v>
      </c>
      <c r="F58" s="192" t="s">
        <v>207</v>
      </c>
      <c r="G58" s="192" t="s">
        <v>207</v>
      </c>
      <c r="H58" s="193" t="s">
        <v>207</v>
      </c>
    </row>
    <row r="59" spans="1:8" ht="54.75" customHeight="1" x14ac:dyDescent="0.25">
      <c r="A59" s="611" t="s">
        <v>363</v>
      </c>
      <c r="B59" s="611"/>
      <c r="C59" s="611"/>
      <c r="E59" s="204" t="s">
        <v>364</v>
      </c>
      <c r="F59" s="205">
        <f>F57</f>
        <v>0.3197603</v>
      </c>
      <c r="G59" s="205">
        <f>G57</f>
        <v>0.33142579999999999</v>
      </c>
      <c r="H59" s="206">
        <f>ROUND((H57),4)</f>
        <v>0.33139999999999997</v>
      </c>
    </row>
    <row r="61" spans="1:8" ht="12.75" customHeight="1" x14ac:dyDescent="0.25"/>
  </sheetData>
  <sheetProtection algorithmName="SHA-512" hashValue="xsKswc9sAmQMRvD5ZNxGYEeQexumfeLby27CPKj3MegxbMGcoEDGz/kZJhBH/jRfuZNn9JnsO0yWcgz7yQaPzQ==" saltValue="3UW/J0S3R7m3c9UKpvk6lw==" spinCount="100000" sheet="1" objects="1" scenarios="1"/>
  <mergeCells count="36">
    <mergeCell ref="A4:C4"/>
    <mergeCell ref="A5:C5"/>
    <mergeCell ref="A6:C6"/>
    <mergeCell ref="A7:C7"/>
    <mergeCell ref="B9:C9"/>
    <mergeCell ref="A18:B18"/>
    <mergeCell ref="A19:C19"/>
    <mergeCell ref="A20:C20"/>
    <mergeCell ref="A23:B23"/>
    <mergeCell ref="A24:B24"/>
    <mergeCell ref="A25:B25"/>
    <mergeCell ref="B26:C26"/>
    <mergeCell ref="A28:B28"/>
    <mergeCell ref="A29:B29"/>
    <mergeCell ref="B30:C30"/>
    <mergeCell ref="A32:B32"/>
    <mergeCell ref="A35:B35"/>
    <mergeCell ref="A37:B37"/>
    <mergeCell ref="B38:C38"/>
    <mergeCell ref="A44:B44"/>
    <mergeCell ref="E44:H45"/>
    <mergeCell ref="A45:B45"/>
    <mergeCell ref="A46:B46"/>
    <mergeCell ref="E46:E47"/>
    <mergeCell ref="F46:H46"/>
    <mergeCell ref="F47:H47"/>
    <mergeCell ref="A49:B49"/>
    <mergeCell ref="A50:C50"/>
    <mergeCell ref="A51:B51"/>
    <mergeCell ref="A52:B52"/>
    <mergeCell ref="A53:B53"/>
    <mergeCell ref="A54:B54"/>
    <mergeCell ref="A55:B55"/>
    <mergeCell ref="A56:B56"/>
    <mergeCell ref="A57:B57"/>
    <mergeCell ref="A59:C59"/>
  </mergeCells>
  <printOptions horizontalCentered="1" verticalCentered="1"/>
  <pageMargins left="0.51180555555555596" right="0.51180555555555596" top="0.78749999999999998" bottom="0.78749999999999998" header="0.511811023622047" footer="0.511811023622047"/>
  <pageSetup paperSize="9" scale="58"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82"/>
  <sheetViews>
    <sheetView showGridLines="0" view="pageBreakPreview" zoomScale="115" zoomScaleNormal="100" zoomScalePageLayoutView="115" workbookViewId="0"/>
  </sheetViews>
  <sheetFormatPr defaultColWidth="8.7109375" defaultRowHeight="15" x14ac:dyDescent="0.25"/>
  <cols>
    <col min="1" max="1" width="5" style="63" customWidth="1"/>
    <col min="2" max="2" width="59.140625" style="68" customWidth="1"/>
    <col min="3" max="3" width="10.42578125" style="68" customWidth="1"/>
    <col min="4" max="7" width="18.42578125" style="68" customWidth="1"/>
    <col min="8" max="8" width="23.7109375" customWidth="1"/>
    <col min="9" max="9" width="4.28515625" customWidth="1"/>
    <col min="10" max="10" width="13.42578125" customWidth="1"/>
    <col min="11" max="11" width="12.42578125" style="68" customWidth="1"/>
    <col min="12" max="12" width="8.5703125" hidden="1" customWidth="1"/>
    <col min="13" max="13" width="9" customWidth="1"/>
    <col min="14" max="14" width="26.140625" hidden="1" customWidth="1"/>
    <col min="15" max="19" width="11.5703125" hidden="1" customWidth="1"/>
    <col min="20" max="256" width="9" customWidth="1"/>
    <col min="257" max="257" width="8.28515625" customWidth="1"/>
    <col min="258" max="258" width="44.5703125" customWidth="1"/>
    <col min="259" max="259" width="7.42578125" customWidth="1"/>
    <col min="260" max="260" width="13" customWidth="1"/>
    <col min="261" max="261" width="11.7109375" customWidth="1"/>
    <col min="262" max="262" width="10.5703125" customWidth="1"/>
    <col min="263" max="263" width="14.42578125" customWidth="1"/>
    <col min="264" max="264" width="35.42578125" customWidth="1"/>
    <col min="265" max="265" width="14" customWidth="1"/>
    <col min="266" max="266" width="11.7109375" customWidth="1"/>
    <col min="267" max="267" width="13.5703125" customWidth="1"/>
    <col min="268" max="512" width="9" customWidth="1"/>
    <col min="513" max="513" width="8.28515625" customWidth="1"/>
    <col min="514" max="514" width="44.5703125" customWidth="1"/>
    <col min="515" max="515" width="7.42578125" customWidth="1"/>
    <col min="516" max="516" width="13" customWidth="1"/>
    <col min="517" max="517" width="11.7109375" customWidth="1"/>
    <col min="518" max="518" width="10.5703125" customWidth="1"/>
    <col min="519" max="519" width="14.42578125" customWidth="1"/>
    <col min="520" max="520" width="35.42578125" customWidth="1"/>
    <col min="521" max="521" width="14" customWidth="1"/>
    <col min="522" max="522" width="11.7109375" customWidth="1"/>
    <col min="523" max="523" width="13.5703125" customWidth="1"/>
    <col min="524" max="768" width="9" customWidth="1"/>
    <col min="769" max="769" width="8.28515625" customWidth="1"/>
    <col min="770" max="770" width="44.5703125" customWidth="1"/>
    <col min="771" max="771" width="7.42578125" customWidth="1"/>
    <col min="772" max="772" width="13" customWidth="1"/>
    <col min="773" max="773" width="11.7109375" customWidth="1"/>
    <col min="774" max="774" width="10.5703125" customWidth="1"/>
    <col min="775" max="775" width="14.42578125" customWidth="1"/>
    <col min="776" max="776" width="35.42578125" customWidth="1"/>
    <col min="777" max="777" width="14" customWidth="1"/>
    <col min="778" max="778" width="11.7109375" customWidth="1"/>
    <col min="779" max="779" width="13.5703125" customWidth="1"/>
    <col min="780" max="1025" width="9" customWidth="1"/>
  </cols>
  <sheetData>
    <row r="1" spans="1:22" s="68" customFormat="1" ht="12.75" x14ac:dyDescent="0.2">
      <c r="A1" s="207"/>
      <c r="B1" s="98" t="str">
        <f>INSTRUÇÕES!B1</f>
        <v>Tribunal Regional Federal da 6ª Região</v>
      </c>
      <c r="C1" s="208"/>
      <c r="D1" s="208"/>
      <c r="E1" s="208"/>
      <c r="F1" s="208"/>
      <c r="G1" s="208"/>
      <c r="H1" s="209"/>
    </row>
    <row r="2" spans="1:22" s="68" customFormat="1" ht="12.75" x14ac:dyDescent="0.2">
      <c r="A2" s="210"/>
      <c r="B2" s="100" t="str">
        <f>INSTRUÇÕES!B2</f>
        <v>Seção Judiciária de Minas Gerais</v>
      </c>
      <c r="H2" s="211"/>
    </row>
    <row r="3" spans="1:22" s="68" customFormat="1" x14ac:dyDescent="0.25">
      <c r="A3" s="210"/>
      <c r="B3" s="100" t="str">
        <f>INSTRUÇÕES!B3</f>
        <v>Subseção Judiciária de Poços de Caldas</v>
      </c>
      <c r="H3" s="211"/>
      <c r="N3" s="3"/>
      <c r="O3" s="3"/>
      <c r="P3" s="3"/>
      <c r="Q3" s="3"/>
      <c r="R3" s="3"/>
      <c r="S3" s="3"/>
      <c r="T3" s="3"/>
    </row>
    <row r="4" spans="1:22" s="68" customFormat="1" ht="18.75" x14ac:dyDescent="0.25">
      <c r="A4" s="626" t="s">
        <v>365</v>
      </c>
      <c r="B4" s="626"/>
      <c r="C4" s="626"/>
      <c r="D4" s="626"/>
      <c r="E4" s="626"/>
      <c r="F4" s="626"/>
      <c r="G4" s="626"/>
      <c r="H4" s="626"/>
      <c r="I4" s="212"/>
      <c r="J4" s="212"/>
      <c r="U4" s="3"/>
      <c r="V4" s="3"/>
    </row>
    <row r="5" spans="1:22" s="3" customFormat="1" ht="14.25" customHeight="1" x14ac:dyDescent="0.25">
      <c r="A5" s="631" t="s">
        <v>366</v>
      </c>
      <c r="B5" s="631"/>
      <c r="C5" s="631"/>
      <c r="D5" s="631"/>
      <c r="E5" s="631"/>
      <c r="F5" s="631"/>
      <c r="G5" s="631"/>
      <c r="H5" s="631"/>
      <c r="K5" s="213"/>
      <c r="N5" s="570" t="s">
        <v>367</v>
      </c>
      <c r="O5" s="570"/>
      <c r="P5" s="570"/>
      <c r="Q5" s="570"/>
      <c r="R5" s="570"/>
      <c r="S5" s="570"/>
      <c r="T5" s="68"/>
      <c r="U5" s="68"/>
      <c r="V5" s="68"/>
    </row>
    <row r="6" spans="1:22" s="68" customFormat="1" ht="14.25" customHeight="1" x14ac:dyDescent="0.2">
      <c r="A6" s="627"/>
      <c r="B6" s="628" t="s">
        <v>368</v>
      </c>
      <c r="C6" s="628"/>
      <c r="D6" s="628"/>
      <c r="E6" s="628"/>
      <c r="F6" s="628"/>
      <c r="G6" s="628"/>
      <c r="H6" s="629"/>
      <c r="I6" s="67"/>
      <c r="J6" s="630" t="s">
        <v>369</v>
      </c>
      <c r="K6" s="630"/>
      <c r="L6" s="630"/>
      <c r="N6" s="570"/>
      <c r="O6" s="570"/>
      <c r="P6" s="570"/>
      <c r="Q6" s="570"/>
      <c r="R6" s="570"/>
      <c r="S6" s="570"/>
    </row>
    <row r="7" spans="1:22" s="68" customFormat="1" ht="38.25" x14ac:dyDescent="0.2">
      <c r="A7" s="627"/>
      <c r="B7" s="216" t="s">
        <v>59</v>
      </c>
      <c r="C7" s="217" t="s">
        <v>60</v>
      </c>
      <c r="D7" s="217" t="s">
        <v>61</v>
      </c>
      <c r="E7" s="218" t="s">
        <v>370</v>
      </c>
      <c r="F7" s="219" t="s">
        <v>66</v>
      </c>
      <c r="G7" s="217" t="s">
        <v>371</v>
      </c>
      <c r="H7" s="629"/>
      <c r="I7" s="67"/>
      <c r="J7" s="218" t="s">
        <v>64</v>
      </c>
      <c r="K7" s="219" t="s">
        <v>63</v>
      </c>
      <c r="L7" s="218" t="s">
        <v>372</v>
      </c>
      <c r="N7" s="220" t="s">
        <v>373</v>
      </c>
      <c r="O7" s="22" t="s">
        <v>274</v>
      </c>
      <c r="P7" s="22" t="s">
        <v>275</v>
      </c>
      <c r="Q7" s="22" t="s">
        <v>276</v>
      </c>
      <c r="R7" s="22" t="s">
        <v>277</v>
      </c>
      <c r="S7" s="24" t="s">
        <v>278</v>
      </c>
    </row>
    <row r="8" spans="1:22" s="68" customFormat="1" ht="27" customHeight="1" x14ac:dyDescent="0.25">
      <c r="A8" s="221">
        <v>1</v>
      </c>
      <c r="B8" s="222" t="s">
        <v>374</v>
      </c>
      <c r="C8" s="223" t="s">
        <v>375</v>
      </c>
      <c r="D8" s="224" t="s">
        <v>376</v>
      </c>
      <c r="E8" s="225">
        <v>6</v>
      </c>
      <c r="F8" s="226" t="s">
        <v>377</v>
      </c>
      <c r="G8" s="227">
        <v>6.55</v>
      </c>
      <c r="H8" s="228"/>
      <c r="I8" s="67"/>
      <c r="J8" s="74">
        <f>'Ocorrências Mensais - FAT'!G26</f>
        <v>6</v>
      </c>
      <c r="K8" s="229">
        <f t="shared" ref="K8:K50" si="0">G8*J8</f>
        <v>39.299999999999997</v>
      </c>
      <c r="L8" s="39">
        <f t="shared" ref="L8:L41" si="1">IF(F8="MENSAL",1,IF(F8="BIMESTRAL",2,IF(F8="TRIMESTRAL",3,IF(F8="QUADRIMESTRAL",4,IF(F8="SEMESTRAL",6,IF(F8="ANUAL",12,IF(F8="BIENAL",24,"")))))))</f>
        <v>1</v>
      </c>
      <c r="N8" s="230">
        <v>6</v>
      </c>
      <c r="O8" s="39">
        <f>ROUND(IF(Dados!$J$56="SIM",N8*Dados!$N$56,N8),2)</f>
        <v>6</v>
      </c>
      <c r="P8" s="39">
        <f>ROUND(IF(Dados!$J$57="SIM",O8*Dados!$N$57,O8),2)</f>
        <v>6</v>
      </c>
      <c r="Q8" s="39">
        <f>ROUND(IF(Dados!$J$58="SIM",P8*Dados!$N$58,P8),2)</f>
        <v>6</v>
      </c>
      <c r="R8" s="39">
        <f>ROUND(IF(Dados!$J$59="SIM",Q8*Dados!$N$59,Q8),2)</f>
        <v>6</v>
      </c>
      <c r="S8" s="81">
        <f>ROUND(IF(Dados!$J$60="SIM",R8*Dados!$N$60,R8),2)</f>
        <v>6</v>
      </c>
    </row>
    <row r="9" spans="1:22" s="68" customFormat="1" ht="45" x14ac:dyDescent="0.25">
      <c r="A9" s="221">
        <v>2</v>
      </c>
      <c r="B9" s="222" t="s">
        <v>378</v>
      </c>
      <c r="C9" s="223" t="s">
        <v>379</v>
      </c>
      <c r="D9" s="224" t="s">
        <v>380</v>
      </c>
      <c r="E9" s="225">
        <v>1</v>
      </c>
      <c r="F9" s="226" t="s">
        <v>381</v>
      </c>
      <c r="G9" s="227">
        <v>15.23</v>
      </c>
      <c r="H9" s="228"/>
      <c r="I9" s="67"/>
      <c r="J9" s="74">
        <f>'Ocorrências Mensais - FAT'!G27</f>
        <v>0.33333333333333331</v>
      </c>
      <c r="K9" s="229">
        <f t="shared" si="0"/>
        <v>5.0766666666666662</v>
      </c>
      <c r="L9" s="39">
        <f t="shared" si="1"/>
        <v>3</v>
      </c>
      <c r="N9" s="230">
        <v>3.8</v>
      </c>
      <c r="O9" s="39">
        <f>ROUND(IF(Dados!$J$56="SIM",N9*Dados!$N$56,N9),2)</f>
        <v>3.8</v>
      </c>
      <c r="P9" s="39">
        <f>ROUND(IF(Dados!$J$57="SIM",O9*Dados!$N$57,O9),2)</f>
        <v>3.8</v>
      </c>
      <c r="Q9" s="39">
        <f>ROUND(IF(Dados!$J$58="SIM",P9*Dados!$N$58,P9),2)</f>
        <v>3.8</v>
      </c>
      <c r="R9" s="39">
        <f>ROUND(IF(Dados!$J$59="SIM",Q9*Dados!$N$59,Q9),2)</f>
        <v>3.8</v>
      </c>
      <c r="S9" s="81">
        <f>ROUND(IF(Dados!$J$60="SIM",R9*Dados!$N$60,R9),2)</f>
        <v>3.8</v>
      </c>
    </row>
    <row r="10" spans="1:22" s="68" customFormat="1" ht="105" x14ac:dyDescent="0.25">
      <c r="A10" s="221">
        <v>3</v>
      </c>
      <c r="B10" s="222" t="s">
        <v>382</v>
      </c>
      <c r="C10" s="223" t="s">
        <v>379</v>
      </c>
      <c r="D10" s="224" t="s">
        <v>383</v>
      </c>
      <c r="E10" s="225">
        <v>3</v>
      </c>
      <c r="F10" s="226" t="s">
        <v>377</v>
      </c>
      <c r="G10" s="227">
        <v>57.39</v>
      </c>
      <c r="H10" s="228"/>
      <c r="I10" s="67"/>
      <c r="J10" s="74">
        <f>'Ocorrências Mensais - FAT'!G28</f>
        <v>3</v>
      </c>
      <c r="K10" s="229">
        <f t="shared" si="0"/>
        <v>172.17000000000002</v>
      </c>
      <c r="L10" s="39">
        <f t="shared" si="1"/>
        <v>1</v>
      </c>
      <c r="N10" s="230">
        <v>4.1399999999999997</v>
      </c>
      <c r="O10" s="39">
        <f>ROUND(IF(Dados!$J$56="SIM",N10*Dados!$N$56,N10),2)</f>
        <v>4.1399999999999997</v>
      </c>
      <c r="P10" s="39">
        <f>ROUND(IF(Dados!$J$57="SIM",O10*Dados!$N$57,O10),2)</f>
        <v>4.1399999999999997</v>
      </c>
      <c r="Q10" s="39">
        <f>ROUND(IF(Dados!$J$58="SIM",P10*Dados!$N$58,P10),2)</f>
        <v>4.1399999999999997</v>
      </c>
      <c r="R10" s="39">
        <f>ROUND(IF(Dados!$J$59="SIM",Q10*Dados!$N$59,Q10),2)</f>
        <v>4.1399999999999997</v>
      </c>
      <c r="S10" s="81">
        <f>ROUND(IF(Dados!$J$60="SIM",R10*Dados!$N$60,R10),2)</f>
        <v>4.1399999999999997</v>
      </c>
    </row>
    <row r="11" spans="1:22" s="68" customFormat="1" ht="60" x14ac:dyDescent="0.25">
      <c r="A11" s="221">
        <v>4</v>
      </c>
      <c r="B11" s="222" t="s">
        <v>384</v>
      </c>
      <c r="C11" s="223" t="s">
        <v>375</v>
      </c>
      <c r="D11" s="224" t="s">
        <v>385</v>
      </c>
      <c r="E11" s="225">
        <v>2</v>
      </c>
      <c r="F11" s="226" t="s">
        <v>386</v>
      </c>
      <c r="G11" s="227">
        <v>17.600000000000001</v>
      </c>
      <c r="H11" s="228"/>
      <c r="I11" s="67"/>
      <c r="J11" s="74">
        <f>'Ocorrências Mensais - FAT'!G29</f>
        <v>0.33333333333333331</v>
      </c>
      <c r="K11" s="229">
        <f t="shared" si="0"/>
        <v>5.8666666666666671</v>
      </c>
      <c r="L11" s="39">
        <f t="shared" si="1"/>
        <v>6</v>
      </c>
      <c r="N11" s="230"/>
      <c r="O11" s="39"/>
      <c r="P11" s="39"/>
      <c r="Q11" s="39"/>
      <c r="R11" s="39"/>
      <c r="S11" s="81"/>
    </row>
    <row r="12" spans="1:22" s="68" customFormat="1" ht="150" x14ac:dyDescent="0.25">
      <c r="A12" s="221">
        <v>5</v>
      </c>
      <c r="B12" s="222" t="s">
        <v>387</v>
      </c>
      <c r="C12" s="223" t="s">
        <v>375</v>
      </c>
      <c r="D12" s="224" t="s">
        <v>388</v>
      </c>
      <c r="E12" s="225">
        <v>1</v>
      </c>
      <c r="F12" s="226" t="s">
        <v>386</v>
      </c>
      <c r="G12" s="227">
        <v>5.46</v>
      </c>
      <c r="H12" s="228"/>
      <c r="I12" s="67"/>
      <c r="J12" s="74">
        <f>'Ocorrências Mensais - FAT'!G30</f>
        <v>0.16666666666666666</v>
      </c>
      <c r="K12" s="229">
        <f t="shared" si="0"/>
        <v>0.90999999999999992</v>
      </c>
      <c r="L12" s="39">
        <f t="shared" si="1"/>
        <v>6</v>
      </c>
      <c r="N12" s="230">
        <v>1.4</v>
      </c>
      <c r="O12" s="39">
        <f>ROUND(IF(Dados!$J$56="SIM",N12*Dados!$N$56,N12),2)</f>
        <v>1.4</v>
      </c>
      <c r="P12" s="39">
        <f>ROUND(IF(Dados!$J$57="SIM",O12*Dados!$N$57,O12),2)</f>
        <v>1.4</v>
      </c>
      <c r="Q12" s="39">
        <f>ROUND(IF(Dados!$J$58="SIM",P12*Dados!$N$58,P12),2)</f>
        <v>1.4</v>
      </c>
      <c r="R12" s="39">
        <f>ROUND(IF(Dados!$J$59="SIM",Q12*Dados!$N$59,Q12),2)</f>
        <v>1.4</v>
      </c>
      <c r="S12" s="81">
        <f>ROUND(IF(Dados!$J$60="SIM",R12*Dados!$N$60,R12),2)</f>
        <v>1.4</v>
      </c>
    </row>
    <row r="13" spans="1:22" s="68" customFormat="1" ht="60" x14ac:dyDescent="0.25">
      <c r="A13" s="221">
        <v>6</v>
      </c>
      <c r="B13" s="222" t="s">
        <v>389</v>
      </c>
      <c r="C13" s="223" t="s">
        <v>390</v>
      </c>
      <c r="D13" s="224"/>
      <c r="E13" s="225">
        <v>1</v>
      </c>
      <c r="F13" s="226" t="s">
        <v>391</v>
      </c>
      <c r="G13" s="227">
        <v>99</v>
      </c>
      <c r="H13" s="231"/>
      <c r="I13" s="67"/>
      <c r="J13" s="74">
        <f>'Ocorrências Mensais - FAT'!G31</f>
        <v>8.3333333333333329E-2</v>
      </c>
      <c r="K13" s="229">
        <f t="shared" si="0"/>
        <v>8.25</v>
      </c>
      <c r="L13" s="39">
        <f t="shared" si="1"/>
        <v>12</v>
      </c>
      <c r="N13" s="230">
        <v>3.2</v>
      </c>
      <c r="O13" s="39">
        <f>ROUND(IF(Dados!$J$56="SIM",N13*Dados!$N$56,N13),2)</f>
        <v>3.2</v>
      </c>
      <c r="P13" s="39">
        <f>ROUND(IF(Dados!$J$57="SIM",O13*Dados!$N$57,O13),2)</f>
        <v>3.2</v>
      </c>
      <c r="Q13" s="39">
        <f>ROUND(IF(Dados!$J$58="SIM",P13*Dados!$N$58,P13),2)</f>
        <v>3.2</v>
      </c>
      <c r="R13" s="39">
        <f>ROUND(IF(Dados!$J$59="SIM",Q13*Dados!$N$59,Q13),2)</f>
        <v>3.2</v>
      </c>
      <c r="S13" s="81">
        <f>ROUND(IF(Dados!$J$60="SIM",R13*Dados!$N$60,R13),2)</f>
        <v>3.2</v>
      </c>
    </row>
    <row r="14" spans="1:22" s="68" customFormat="1" ht="30" x14ac:dyDescent="0.25">
      <c r="A14" s="221">
        <v>7</v>
      </c>
      <c r="B14" s="222" t="s">
        <v>392</v>
      </c>
      <c r="C14" s="223" t="s">
        <v>379</v>
      </c>
      <c r="D14" s="224"/>
      <c r="E14" s="225">
        <v>2</v>
      </c>
      <c r="F14" s="226" t="s">
        <v>393</v>
      </c>
      <c r="G14" s="227">
        <v>12.43</v>
      </c>
      <c r="H14" s="231"/>
      <c r="I14" s="67"/>
      <c r="J14" s="74">
        <f>'Ocorrências Mensais - FAT'!G32</f>
        <v>1</v>
      </c>
      <c r="K14" s="229">
        <f t="shared" si="0"/>
        <v>12.43</v>
      </c>
      <c r="L14" s="39">
        <f t="shared" si="1"/>
        <v>2</v>
      </c>
      <c r="N14" s="230">
        <v>4</v>
      </c>
      <c r="O14" s="39">
        <f>ROUND(IF(Dados!$J$56="SIM",N14*Dados!$N$56,N14),2)</f>
        <v>4</v>
      </c>
      <c r="P14" s="39">
        <f>ROUND(IF(Dados!$J$57="SIM",O14*Dados!$N$57,O14),2)</f>
        <v>4</v>
      </c>
      <c r="Q14" s="39">
        <f>ROUND(IF(Dados!$J$58="SIM",P14*Dados!$N$58,P14),2)</f>
        <v>4</v>
      </c>
      <c r="R14" s="39">
        <f>ROUND(IF(Dados!$J$59="SIM",Q14*Dados!$N$59,Q14),2)</f>
        <v>4</v>
      </c>
      <c r="S14" s="81">
        <f>ROUND(IF(Dados!$J$60="SIM",R14*Dados!$N$60,R14),2)</f>
        <v>4</v>
      </c>
    </row>
    <row r="15" spans="1:22" s="68" customFormat="1" ht="60" x14ac:dyDescent="0.25">
      <c r="A15" s="221">
        <v>8</v>
      </c>
      <c r="B15" s="222" t="s">
        <v>394</v>
      </c>
      <c r="C15" s="223" t="s">
        <v>375</v>
      </c>
      <c r="D15" s="224" t="s">
        <v>395</v>
      </c>
      <c r="E15" s="225">
        <v>2</v>
      </c>
      <c r="F15" s="226" t="s">
        <v>391</v>
      </c>
      <c r="G15" s="227">
        <v>10.41</v>
      </c>
      <c r="H15" s="231"/>
      <c r="I15" s="67"/>
      <c r="J15" s="74">
        <f>'Ocorrências Mensais - FAT'!G33</f>
        <v>0.16666666666666666</v>
      </c>
      <c r="K15" s="229">
        <f t="shared" si="0"/>
        <v>1.7349999999999999</v>
      </c>
      <c r="L15" s="39">
        <f t="shared" si="1"/>
        <v>12</v>
      </c>
      <c r="N15" s="230"/>
      <c r="O15" s="39"/>
      <c r="P15" s="39"/>
      <c r="Q15" s="39"/>
      <c r="R15" s="39"/>
      <c r="S15" s="81"/>
    </row>
    <row r="16" spans="1:22" s="68" customFormat="1" ht="45" x14ac:dyDescent="0.25">
      <c r="A16" s="221">
        <v>9</v>
      </c>
      <c r="B16" s="222" t="s">
        <v>396</v>
      </c>
      <c r="C16" s="223" t="s">
        <v>375</v>
      </c>
      <c r="D16" s="224" t="s">
        <v>397</v>
      </c>
      <c r="E16" s="225">
        <v>1</v>
      </c>
      <c r="F16" s="226" t="s">
        <v>391</v>
      </c>
      <c r="G16" s="227">
        <v>11.08</v>
      </c>
      <c r="H16" s="228"/>
      <c r="I16" s="67"/>
      <c r="J16" s="74">
        <f>'Ocorrências Mensais - FAT'!G34</f>
        <v>8.3333333333333329E-2</v>
      </c>
      <c r="K16" s="229">
        <f t="shared" si="0"/>
        <v>0.92333333333333334</v>
      </c>
      <c r="L16" s="39">
        <f t="shared" si="1"/>
        <v>12</v>
      </c>
      <c r="N16" s="230">
        <v>1.2</v>
      </c>
      <c r="O16" s="39">
        <f>ROUND(IF(Dados!$J$56="SIM",N16*Dados!$N$56,N16),2)</f>
        <v>1.2</v>
      </c>
      <c r="P16" s="39">
        <f>ROUND(IF(Dados!$J$57="SIM",O16*Dados!$N$57,O16),2)</f>
        <v>1.2</v>
      </c>
      <c r="Q16" s="39">
        <f>ROUND(IF(Dados!$J$58="SIM",P16*Dados!$N$58,P16),2)</f>
        <v>1.2</v>
      </c>
      <c r="R16" s="39">
        <f>ROUND(IF(Dados!$J$59="SIM",Q16*Dados!$N$59,Q16),2)</f>
        <v>1.2</v>
      </c>
      <c r="S16" s="81">
        <f>ROUND(IF(Dados!$J$60="SIM",R16*Dados!$N$60,R16),2)</f>
        <v>1.2</v>
      </c>
    </row>
    <row r="17" spans="1:19" s="68" customFormat="1" ht="90" x14ac:dyDescent="0.25">
      <c r="A17" s="221">
        <v>10</v>
      </c>
      <c r="B17" s="222" t="s">
        <v>398</v>
      </c>
      <c r="C17" s="223" t="s">
        <v>375</v>
      </c>
      <c r="D17" s="224" t="s">
        <v>399</v>
      </c>
      <c r="E17" s="225">
        <v>2</v>
      </c>
      <c r="F17" s="226" t="s">
        <v>386</v>
      </c>
      <c r="G17" s="227">
        <v>17.190000000000001</v>
      </c>
      <c r="H17" s="228"/>
      <c r="I17" s="67"/>
      <c r="J17" s="74">
        <f>'Ocorrências Mensais - FAT'!G35</f>
        <v>0.33333333333333331</v>
      </c>
      <c r="K17" s="229">
        <f t="shared" si="0"/>
        <v>5.73</v>
      </c>
      <c r="L17" s="39">
        <f t="shared" si="1"/>
        <v>6</v>
      </c>
      <c r="N17" s="230">
        <v>1.3</v>
      </c>
      <c r="O17" s="39">
        <f>ROUND(IF(Dados!$J$56="SIM",N17*Dados!$N$56,N17),2)</f>
        <v>1.3</v>
      </c>
      <c r="P17" s="39">
        <f>ROUND(IF(Dados!$J$57="SIM",O17*Dados!$N$57,O17),2)</f>
        <v>1.3</v>
      </c>
      <c r="Q17" s="39">
        <f>ROUND(IF(Dados!$J$58="SIM",P17*Dados!$N$58,P17),2)</f>
        <v>1.3</v>
      </c>
      <c r="R17" s="39">
        <f>ROUND(IF(Dados!$J$59="SIM",Q17*Dados!$N$59,Q17),2)</f>
        <v>1.3</v>
      </c>
      <c r="S17" s="81">
        <f>ROUND(IF(Dados!$J$60="SIM",R17*Dados!$N$60,R17),2)</f>
        <v>1.3</v>
      </c>
    </row>
    <row r="18" spans="1:19" s="68" customFormat="1" ht="75" x14ac:dyDescent="0.25">
      <c r="A18" s="221">
        <v>11</v>
      </c>
      <c r="B18" s="222" t="s">
        <v>400</v>
      </c>
      <c r="C18" s="223" t="s">
        <v>379</v>
      </c>
      <c r="D18" s="224" t="s">
        <v>401</v>
      </c>
      <c r="E18" s="225">
        <v>2</v>
      </c>
      <c r="F18" s="226" t="s">
        <v>393</v>
      </c>
      <c r="G18" s="227">
        <v>45.9</v>
      </c>
      <c r="H18" s="228"/>
      <c r="I18" s="67"/>
      <c r="J18" s="74">
        <f>'Ocorrências Mensais - FAT'!G36</f>
        <v>1</v>
      </c>
      <c r="K18" s="229">
        <f t="shared" si="0"/>
        <v>45.9</v>
      </c>
      <c r="L18" s="39">
        <f t="shared" si="1"/>
        <v>2</v>
      </c>
      <c r="N18" s="230">
        <v>1</v>
      </c>
      <c r="O18" s="39">
        <f>ROUND(IF(Dados!$J$56="SIM",N18*Dados!$N$56,N18),2)</f>
        <v>1</v>
      </c>
      <c r="P18" s="39">
        <f>ROUND(IF(Dados!$J$57="SIM",O18*Dados!$N$57,O18),2)</f>
        <v>1</v>
      </c>
      <c r="Q18" s="39">
        <f>ROUND(IF(Dados!$J$58="SIM",P18*Dados!$N$58,P18),2)</f>
        <v>1</v>
      </c>
      <c r="R18" s="39">
        <f>ROUND(IF(Dados!$J$59="SIM",Q18*Dados!$N$59,Q18),2)</f>
        <v>1</v>
      </c>
      <c r="S18" s="81">
        <f>ROUND(IF(Dados!$J$60="SIM",R18*Dados!$N$60,R18),2)</f>
        <v>1</v>
      </c>
    </row>
    <row r="19" spans="1:19" s="68" customFormat="1" ht="75" x14ac:dyDescent="0.25">
      <c r="A19" s="221">
        <v>12</v>
      </c>
      <c r="B19" s="232" t="s">
        <v>402</v>
      </c>
      <c r="C19" s="223" t="s">
        <v>379</v>
      </c>
      <c r="D19" s="224" t="s">
        <v>403</v>
      </c>
      <c r="E19" s="225">
        <v>2</v>
      </c>
      <c r="F19" s="226" t="s">
        <v>377</v>
      </c>
      <c r="G19" s="227">
        <v>44.79</v>
      </c>
      <c r="H19" s="228"/>
      <c r="I19" s="67"/>
      <c r="J19" s="74">
        <f>'Ocorrências Mensais - FAT'!G37</f>
        <v>2</v>
      </c>
      <c r="K19" s="229">
        <f t="shared" si="0"/>
        <v>89.58</v>
      </c>
      <c r="L19" s="39">
        <f t="shared" si="1"/>
        <v>1</v>
      </c>
      <c r="N19" s="230">
        <v>1.4</v>
      </c>
      <c r="O19" s="39">
        <f>ROUND(IF(Dados!$J$56="SIM",N19*Dados!$N$56,N19),2)</f>
        <v>1.4</v>
      </c>
      <c r="P19" s="39">
        <f>ROUND(IF(Dados!$J$57="SIM",O19*Dados!$N$57,O19),2)</f>
        <v>1.4</v>
      </c>
      <c r="Q19" s="39">
        <f>ROUND(IF(Dados!$J$58="SIM",P19*Dados!$N$58,P19),2)</f>
        <v>1.4</v>
      </c>
      <c r="R19" s="39">
        <f>ROUND(IF(Dados!$J$59="SIM",Q19*Dados!$N$59,Q19),2)</f>
        <v>1.4</v>
      </c>
      <c r="S19" s="81">
        <f>ROUND(IF(Dados!$J$60="SIM",R19*Dados!$N$60,R19),2)</f>
        <v>1.4</v>
      </c>
    </row>
    <row r="20" spans="1:19" s="68" customFormat="1" ht="75" x14ac:dyDescent="0.25">
      <c r="A20" s="221">
        <v>13</v>
      </c>
      <c r="B20" s="232" t="s">
        <v>404</v>
      </c>
      <c r="C20" s="223" t="s">
        <v>375</v>
      </c>
      <c r="D20" s="224" t="s">
        <v>405</v>
      </c>
      <c r="E20" s="225">
        <v>7</v>
      </c>
      <c r="F20" s="226" t="s">
        <v>377</v>
      </c>
      <c r="G20" s="227">
        <v>2.99</v>
      </c>
      <c r="H20" s="228"/>
      <c r="I20" s="67"/>
      <c r="J20" s="74">
        <f>'Ocorrências Mensais - FAT'!G38</f>
        <v>7</v>
      </c>
      <c r="K20" s="229">
        <f t="shared" si="0"/>
        <v>20.93</v>
      </c>
      <c r="L20" s="39">
        <f t="shared" si="1"/>
        <v>1</v>
      </c>
      <c r="N20" s="230">
        <v>9.1</v>
      </c>
      <c r="O20" s="39">
        <f>ROUND(IF(Dados!$J$56="SIM",N20*Dados!$N$56,N20),2)</f>
        <v>9.1</v>
      </c>
      <c r="P20" s="39">
        <f>ROUND(IF(Dados!$J$57="SIM",O20*Dados!$N$57,O20),2)</f>
        <v>9.1</v>
      </c>
      <c r="Q20" s="39">
        <f>ROUND(IF(Dados!$J$58="SIM",P20*Dados!$N$58,P20),2)</f>
        <v>9.1</v>
      </c>
      <c r="R20" s="39">
        <f>ROUND(IF(Dados!$J$59="SIM",Q20*Dados!$N$59,Q20),2)</f>
        <v>9.1</v>
      </c>
      <c r="S20" s="81">
        <f>ROUND(IF(Dados!$J$60="SIM",R20*Dados!$N$60,R20),2)</f>
        <v>9.1</v>
      </c>
    </row>
    <row r="21" spans="1:19" s="68" customFormat="1" ht="45" x14ac:dyDescent="0.25">
      <c r="A21" s="221">
        <v>14</v>
      </c>
      <c r="B21" s="232" t="s">
        <v>406</v>
      </c>
      <c r="C21" s="223" t="s">
        <v>375</v>
      </c>
      <c r="D21" s="224" t="s">
        <v>407</v>
      </c>
      <c r="E21" s="225">
        <v>1</v>
      </c>
      <c r="F21" s="226" t="s">
        <v>386</v>
      </c>
      <c r="G21" s="227">
        <v>5.57</v>
      </c>
      <c r="H21" s="228"/>
      <c r="I21" s="67"/>
      <c r="J21" s="74">
        <f>'Ocorrências Mensais - FAT'!G39</f>
        <v>0.16666666666666666</v>
      </c>
      <c r="K21" s="229">
        <f t="shared" si="0"/>
        <v>0.92833333333333334</v>
      </c>
      <c r="L21" s="39">
        <f t="shared" si="1"/>
        <v>6</v>
      </c>
      <c r="N21" s="230">
        <v>1</v>
      </c>
      <c r="O21" s="39">
        <f>ROUND(IF(Dados!$J$56="SIM",N21*Dados!$N$56,N21),2)</f>
        <v>1</v>
      </c>
      <c r="P21" s="39">
        <f>ROUND(IF(Dados!$J$57="SIM",O21*Dados!$N$57,O21),2)</f>
        <v>1</v>
      </c>
      <c r="Q21" s="39">
        <f>ROUND(IF(Dados!$J$58="SIM",P21*Dados!$N$58,P21),2)</f>
        <v>1</v>
      </c>
      <c r="R21" s="39">
        <f>ROUND(IF(Dados!$J$59="SIM",Q21*Dados!$N$59,Q21),2)</f>
        <v>1</v>
      </c>
      <c r="S21" s="81">
        <f>ROUND(IF(Dados!$J$60="SIM",R21*Dados!$N$60,R21),2)</f>
        <v>1</v>
      </c>
    </row>
    <row r="22" spans="1:19" s="68" customFormat="1" ht="45" x14ac:dyDescent="0.25">
      <c r="A22" s="221">
        <v>15</v>
      </c>
      <c r="B22" s="232" t="s">
        <v>408</v>
      </c>
      <c r="C22" s="223" t="s">
        <v>375</v>
      </c>
      <c r="D22" s="224" t="s">
        <v>409</v>
      </c>
      <c r="E22" s="225">
        <v>2</v>
      </c>
      <c r="F22" s="226" t="s">
        <v>386</v>
      </c>
      <c r="G22" s="227">
        <v>16.11</v>
      </c>
      <c r="H22" s="228"/>
      <c r="I22" s="67"/>
      <c r="J22" s="74">
        <f>'Ocorrências Mensais - FAT'!G40</f>
        <v>0.33333333333333331</v>
      </c>
      <c r="K22" s="229">
        <f t="shared" si="0"/>
        <v>5.3699999999999992</v>
      </c>
      <c r="L22" s="39">
        <f t="shared" si="1"/>
        <v>6</v>
      </c>
      <c r="N22" s="230">
        <v>1.59</v>
      </c>
      <c r="O22" s="39">
        <f>ROUND(IF(Dados!$J$56="SIM",N22*Dados!$N$56,N22),2)</f>
        <v>1.59</v>
      </c>
      <c r="P22" s="39">
        <f>ROUND(IF(Dados!$J$57="SIM",O22*Dados!$N$57,O22),2)</f>
        <v>1.59</v>
      </c>
      <c r="Q22" s="39">
        <f>ROUND(IF(Dados!$J$58="SIM",P22*Dados!$N$58,P22),2)</f>
        <v>1.59</v>
      </c>
      <c r="R22" s="39">
        <f>ROUND(IF(Dados!$J$59="SIM",Q22*Dados!$N$59,Q22),2)</f>
        <v>1.59</v>
      </c>
      <c r="S22" s="81">
        <f>ROUND(IF(Dados!$J$60="SIM",R22*Dados!$N$60,R22),2)</f>
        <v>1.59</v>
      </c>
    </row>
    <row r="23" spans="1:19" s="68" customFormat="1" ht="75" x14ac:dyDescent="0.25">
      <c r="A23" s="221">
        <v>16</v>
      </c>
      <c r="B23" s="232" t="s">
        <v>410</v>
      </c>
      <c r="C23" s="223" t="s">
        <v>411</v>
      </c>
      <c r="D23" s="224" t="s">
        <v>412</v>
      </c>
      <c r="E23" s="225">
        <v>2</v>
      </c>
      <c r="F23" s="226" t="s">
        <v>377</v>
      </c>
      <c r="G23" s="227">
        <v>6.4</v>
      </c>
      <c r="H23" s="231"/>
      <c r="I23" s="67"/>
      <c r="J23" s="74">
        <f>'Ocorrências Mensais - FAT'!G41</f>
        <v>2</v>
      </c>
      <c r="K23" s="229">
        <f t="shared" si="0"/>
        <v>12.8</v>
      </c>
      <c r="L23" s="39">
        <f t="shared" si="1"/>
        <v>1</v>
      </c>
      <c r="N23" s="230">
        <v>10.9</v>
      </c>
      <c r="O23" s="39">
        <f>ROUND(IF(Dados!$J$56="SIM",N23*Dados!$N$56,N23),2)</f>
        <v>10.9</v>
      </c>
      <c r="P23" s="39">
        <f>ROUND(IF(Dados!$J$57="SIM",O23*Dados!$N$57,O23),2)</f>
        <v>10.9</v>
      </c>
      <c r="Q23" s="39">
        <f>ROUND(IF(Dados!$J$58="SIM",P23*Dados!$N$58,P23),2)</f>
        <v>10.9</v>
      </c>
      <c r="R23" s="39">
        <f>ROUND(IF(Dados!$J$59="SIM",Q23*Dados!$N$59,Q23),2)</f>
        <v>10.9</v>
      </c>
      <c r="S23" s="81">
        <f>ROUND(IF(Dados!$J$60="SIM",R23*Dados!$N$60,R23),2)</f>
        <v>10.9</v>
      </c>
    </row>
    <row r="24" spans="1:19" s="68" customFormat="1" ht="60" x14ac:dyDescent="0.25">
      <c r="A24" s="221">
        <v>17</v>
      </c>
      <c r="B24" s="232" t="s">
        <v>413</v>
      </c>
      <c r="C24" s="223" t="s">
        <v>411</v>
      </c>
      <c r="D24" s="224" t="s">
        <v>414</v>
      </c>
      <c r="E24" s="225">
        <v>2</v>
      </c>
      <c r="F24" s="226" t="s">
        <v>381</v>
      </c>
      <c r="G24" s="227">
        <v>2.94</v>
      </c>
      <c r="H24" s="231"/>
      <c r="I24" s="67"/>
      <c r="J24" s="74">
        <f>'Ocorrências Mensais - FAT'!G42</f>
        <v>0.66666666666666663</v>
      </c>
      <c r="K24" s="229">
        <f t="shared" si="0"/>
        <v>1.96</v>
      </c>
      <c r="L24" s="39">
        <f t="shared" si="1"/>
        <v>3</v>
      </c>
      <c r="N24" s="230">
        <v>3</v>
      </c>
      <c r="O24" s="39">
        <f>ROUND(IF(Dados!$J$56="SIM",N24*Dados!$N$56,N24),2)</f>
        <v>3</v>
      </c>
      <c r="P24" s="39">
        <f>ROUND(IF(Dados!$J$57="SIM",O24*Dados!$N$57,O24),2)</f>
        <v>3</v>
      </c>
      <c r="Q24" s="39">
        <f>ROUND(IF(Dados!$J$58="SIM",P24*Dados!$N$58,P24),2)</f>
        <v>3</v>
      </c>
      <c r="R24" s="39">
        <f>ROUND(IF(Dados!$J$59="SIM",Q24*Dados!$N$59,Q24),2)</f>
        <v>3</v>
      </c>
      <c r="S24" s="81">
        <f>ROUND(IF(Dados!$J$60="SIM",R24*Dados!$N$60,R24),2)</f>
        <v>3</v>
      </c>
    </row>
    <row r="25" spans="1:19" s="68" customFormat="1" ht="30" x14ac:dyDescent="0.25">
      <c r="A25" s="221">
        <v>18</v>
      </c>
      <c r="B25" s="232" t="s">
        <v>415</v>
      </c>
      <c r="C25" s="223" t="s">
        <v>375</v>
      </c>
      <c r="D25" s="224" t="s">
        <v>416</v>
      </c>
      <c r="E25" s="225">
        <v>6</v>
      </c>
      <c r="F25" s="226" t="s">
        <v>381</v>
      </c>
      <c r="G25" s="227">
        <v>16.989999999999998</v>
      </c>
      <c r="H25" s="231"/>
      <c r="I25" s="67"/>
      <c r="J25" s="74">
        <f>'Ocorrências Mensais - FAT'!G43</f>
        <v>2</v>
      </c>
      <c r="K25" s="229">
        <f t="shared" si="0"/>
        <v>33.979999999999997</v>
      </c>
      <c r="L25" s="39">
        <f t="shared" si="1"/>
        <v>3</v>
      </c>
      <c r="N25" s="230">
        <v>1</v>
      </c>
      <c r="O25" s="39">
        <f>ROUND(IF(Dados!$J$56="SIM",N25*Dados!$N$56,N25),2)</f>
        <v>1</v>
      </c>
      <c r="P25" s="39">
        <f>ROUND(IF(Dados!$J$57="SIM",O25*Dados!$N$57,O25),2)</f>
        <v>1</v>
      </c>
      <c r="Q25" s="39">
        <f>ROUND(IF(Dados!$J$58="SIM",P25*Dados!$N$58,P25),2)</f>
        <v>1</v>
      </c>
      <c r="R25" s="39">
        <f>ROUND(IF(Dados!$J$59="SIM",Q25*Dados!$N$59,Q25),2)</f>
        <v>1</v>
      </c>
      <c r="S25" s="81">
        <f>ROUND(IF(Dados!$J$60="SIM",R25*Dados!$N$60,R25),2)</f>
        <v>1</v>
      </c>
    </row>
    <row r="26" spans="1:19" s="68" customFormat="1" ht="40.5" customHeight="1" x14ac:dyDescent="0.25">
      <c r="A26" s="221">
        <v>19</v>
      </c>
      <c r="B26" s="232" t="s">
        <v>417</v>
      </c>
      <c r="C26" s="223" t="s">
        <v>375</v>
      </c>
      <c r="D26" s="224" t="s">
        <v>418</v>
      </c>
      <c r="E26" s="225">
        <v>5</v>
      </c>
      <c r="F26" s="226" t="s">
        <v>377</v>
      </c>
      <c r="G26" s="227">
        <v>4.28</v>
      </c>
      <c r="H26" s="228"/>
      <c r="I26" s="67"/>
      <c r="J26" s="74">
        <f>'Ocorrências Mensais - FAT'!G44</f>
        <v>5</v>
      </c>
      <c r="K26" s="229">
        <f t="shared" si="0"/>
        <v>21.400000000000002</v>
      </c>
      <c r="L26" s="39">
        <f t="shared" si="1"/>
        <v>1</v>
      </c>
      <c r="N26" s="230">
        <v>2</v>
      </c>
      <c r="O26" s="39">
        <f>ROUND(IF(Dados!$J$56="SIM",N26*Dados!$N$56,N26),2)</f>
        <v>2</v>
      </c>
      <c r="P26" s="39">
        <f>ROUND(IF(Dados!$J$57="SIM",O26*Dados!$N$57,O26),2)</f>
        <v>2</v>
      </c>
      <c r="Q26" s="39">
        <f>ROUND(IF(Dados!$J$58="SIM",P26*Dados!$N$58,P26),2)</f>
        <v>2</v>
      </c>
      <c r="R26" s="39">
        <f>ROUND(IF(Dados!$J$59="SIM",Q26*Dados!$N$59,Q26),2)</f>
        <v>2</v>
      </c>
      <c r="S26" s="81">
        <f>ROUND(IF(Dados!$J$60="SIM",R26*Dados!$N$60,R26),2)</f>
        <v>2</v>
      </c>
    </row>
    <row r="27" spans="1:19" s="68" customFormat="1" ht="75" x14ac:dyDescent="0.25">
      <c r="A27" s="221">
        <v>20</v>
      </c>
      <c r="B27" s="232" t="s">
        <v>419</v>
      </c>
      <c r="C27" s="223" t="s">
        <v>379</v>
      </c>
      <c r="D27" s="224" t="s">
        <v>420</v>
      </c>
      <c r="E27" s="225">
        <v>1</v>
      </c>
      <c r="F27" s="226" t="s">
        <v>386</v>
      </c>
      <c r="G27" s="227">
        <v>58.35</v>
      </c>
      <c r="H27" s="228"/>
      <c r="I27" s="67"/>
      <c r="J27" s="74">
        <f>'Ocorrências Mensais - FAT'!G45</f>
        <v>0.16666666666666666</v>
      </c>
      <c r="K27" s="229">
        <f t="shared" si="0"/>
        <v>9.7249999999999996</v>
      </c>
      <c r="L27" s="39">
        <f t="shared" si="1"/>
        <v>6</v>
      </c>
      <c r="N27" s="230">
        <v>20</v>
      </c>
      <c r="O27" s="39">
        <f>ROUND(IF(Dados!$J$56="SIM",N27*Dados!$N$56,N27),2)</f>
        <v>20</v>
      </c>
      <c r="P27" s="39">
        <f>ROUND(IF(Dados!$J$57="SIM",O27*Dados!$N$57,O27),2)</f>
        <v>20</v>
      </c>
      <c r="Q27" s="39">
        <f>ROUND(IF(Dados!$J$58="SIM",P27*Dados!$N$58,P27),2)</f>
        <v>20</v>
      </c>
      <c r="R27" s="39">
        <f>ROUND(IF(Dados!$J$59="SIM",Q27*Dados!$N$59,Q27),2)</f>
        <v>20</v>
      </c>
      <c r="S27" s="81">
        <f>ROUND(IF(Dados!$J$60="SIM",R27*Dados!$N$60,R27),2)</f>
        <v>20</v>
      </c>
    </row>
    <row r="28" spans="1:19" s="68" customFormat="1" ht="75" x14ac:dyDescent="0.25">
      <c r="A28" s="221">
        <v>21</v>
      </c>
      <c r="B28" s="232" t="s">
        <v>421</v>
      </c>
      <c r="C28" s="223" t="s">
        <v>375</v>
      </c>
      <c r="D28" s="224" t="s">
        <v>422</v>
      </c>
      <c r="E28" s="225">
        <v>3</v>
      </c>
      <c r="F28" s="226" t="s">
        <v>377</v>
      </c>
      <c r="G28" s="227">
        <v>6.82</v>
      </c>
      <c r="H28" s="231"/>
      <c r="I28" s="67"/>
      <c r="J28" s="74">
        <f>'Ocorrências Mensais - FAT'!G46</f>
        <v>3</v>
      </c>
      <c r="K28" s="229">
        <f t="shared" si="0"/>
        <v>20.46</v>
      </c>
      <c r="L28" s="39">
        <f t="shared" si="1"/>
        <v>1</v>
      </c>
      <c r="N28" s="230">
        <v>6.3</v>
      </c>
      <c r="O28" s="39">
        <f>ROUND(IF(Dados!$J$56="SIM",N28*Dados!$N$56,N28),2)</f>
        <v>6.3</v>
      </c>
      <c r="P28" s="39">
        <f>ROUND(IF(Dados!$J$57="SIM",O28*Dados!$N$57,O28),2)</f>
        <v>6.3</v>
      </c>
      <c r="Q28" s="39">
        <f>ROUND(IF(Dados!$J$58="SIM",P28*Dados!$N$58,P28),2)</f>
        <v>6.3</v>
      </c>
      <c r="R28" s="39">
        <f>ROUND(IF(Dados!$J$59="SIM",Q28*Dados!$N$59,Q28),2)</f>
        <v>6.3</v>
      </c>
      <c r="S28" s="81">
        <f>ROUND(IF(Dados!$J$60="SIM",R28*Dados!$N$60,R28),2)</f>
        <v>6.3</v>
      </c>
    </row>
    <row r="29" spans="1:19" s="68" customFormat="1" ht="90" x14ac:dyDescent="0.25">
      <c r="A29" s="221">
        <v>22</v>
      </c>
      <c r="B29" s="232" t="s">
        <v>423</v>
      </c>
      <c r="C29" s="223" t="s">
        <v>375</v>
      </c>
      <c r="D29" s="224" t="s">
        <v>424</v>
      </c>
      <c r="E29" s="225">
        <v>8</v>
      </c>
      <c r="F29" s="226" t="s">
        <v>377</v>
      </c>
      <c r="G29" s="227">
        <v>5.08</v>
      </c>
      <c r="H29" s="231"/>
      <c r="I29" s="67"/>
      <c r="J29" s="74">
        <f>'Ocorrências Mensais - FAT'!G47</f>
        <v>8</v>
      </c>
      <c r="K29" s="229">
        <f t="shared" si="0"/>
        <v>40.64</v>
      </c>
      <c r="L29" s="39">
        <f t="shared" si="1"/>
        <v>1</v>
      </c>
      <c r="N29" s="230">
        <v>8.99</v>
      </c>
      <c r="O29" s="39">
        <f>ROUND(IF(Dados!$J$56="SIM",N29*Dados!$N$56,N29),2)</f>
        <v>8.99</v>
      </c>
      <c r="P29" s="39">
        <f>ROUND(IF(Dados!$J$57="SIM",O29*Dados!$N$57,O29),2)</f>
        <v>8.99</v>
      </c>
      <c r="Q29" s="39">
        <f>ROUND(IF(Dados!$J$58="SIM",P29*Dados!$N$58,P29),2)</f>
        <v>8.99</v>
      </c>
      <c r="R29" s="39">
        <f>ROUND(IF(Dados!$J$59="SIM",Q29*Dados!$N$59,Q29),2)</f>
        <v>8.99</v>
      </c>
      <c r="S29" s="81">
        <f>ROUND(IF(Dados!$J$60="SIM",R29*Dados!$N$60,R29),2)</f>
        <v>8.99</v>
      </c>
    </row>
    <row r="30" spans="1:19" s="68" customFormat="1" ht="75" x14ac:dyDescent="0.25">
      <c r="A30" s="221">
        <v>23</v>
      </c>
      <c r="B30" s="232" t="s">
        <v>425</v>
      </c>
      <c r="C30" s="223" t="s">
        <v>375</v>
      </c>
      <c r="D30" s="224" t="s">
        <v>424</v>
      </c>
      <c r="E30" s="225">
        <v>1</v>
      </c>
      <c r="F30" s="226" t="s">
        <v>386</v>
      </c>
      <c r="G30" s="227">
        <v>7.5</v>
      </c>
      <c r="H30" s="228"/>
      <c r="I30" s="67"/>
      <c r="J30" s="74">
        <f>'Ocorrências Mensais - FAT'!G48</f>
        <v>0.16666666666666666</v>
      </c>
      <c r="K30" s="229">
        <f t="shared" si="0"/>
        <v>1.25</v>
      </c>
      <c r="L30" s="39">
        <f t="shared" si="1"/>
        <v>6</v>
      </c>
      <c r="N30" s="230">
        <v>5</v>
      </c>
      <c r="O30" s="39">
        <f>ROUND(IF(Dados!$J$56="SIM",N30*Dados!$N$56,N30),2)</f>
        <v>5</v>
      </c>
      <c r="P30" s="39">
        <f>ROUND(IF(Dados!$J$57="SIM",O30*Dados!$N$57,O30),2)</f>
        <v>5</v>
      </c>
      <c r="Q30" s="39">
        <f>ROUND(IF(Dados!$J$58="SIM",P30*Dados!$N$58,P30),2)</f>
        <v>5</v>
      </c>
      <c r="R30" s="39">
        <f>ROUND(IF(Dados!$J$59="SIM",Q30*Dados!$N$59,Q30),2)</f>
        <v>5</v>
      </c>
      <c r="S30" s="81">
        <f>ROUND(IF(Dados!$J$60="SIM",R30*Dados!$N$60,R30),2)</f>
        <v>5</v>
      </c>
    </row>
    <row r="31" spans="1:19" s="68" customFormat="1" ht="75" x14ac:dyDescent="0.25">
      <c r="A31" s="221">
        <v>24</v>
      </c>
      <c r="B31" s="232" t="s">
        <v>426</v>
      </c>
      <c r="C31" s="223" t="s">
        <v>427</v>
      </c>
      <c r="D31" s="224" t="s">
        <v>428</v>
      </c>
      <c r="E31" s="225">
        <v>5</v>
      </c>
      <c r="F31" s="226" t="s">
        <v>377</v>
      </c>
      <c r="G31" s="227">
        <v>13.38</v>
      </c>
      <c r="H31" s="228"/>
      <c r="I31" s="67"/>
      <c r="J31" s="74">
        <f>'Ocorrências Mensais - FAT'!G49</f>
        <v>5</v>
      </c>
      <c r="K31" s="229">
        <f t="shared" si="0"/>
        <v>66.900000000000006</v>
      </c>
      <c r="L31" s="39">
        <f t="shared" si="1"/>
        <v>1</v>
      </c>
      <c r="N31" s="230">
        <v>1.5</v>
      </c>
      <c r="O31" s="39">
        <f>ROUND(IF(Dados!$J$56="SIM",N31*Dados!$N$56,N31),2)</f>
        <v>1.5</v>
      </c>
      <c r="P31" s="39">
        <f>ROUND(IF(Dados!$J$57="SIM",O31*Dados!$N$57,O31),2)</f>
        <v>1.5</v>
      </c>
      <c r="Q31" s="39">
        <f>ROUND(IF(Dados!$J$58="SIM",P31*Dados!$N$58,P31),2)</f>
        <v>1.5</v>
      </c>
      <c r="R31" s="39">
        <f>ROUND(IF(Dados!$J$59="SIM",Q31*Dados!$N$59,Q31),2)</f>
        <v>1.5</v>
      </c>
      <c r="S31" s="81">
        <f>ROUND(IF(Dados!$J$60="SIM",R31*Dados!$N$60,R31),2)</f>
        <v>1.5</v>
      </c>
    </row>
    <row r="32" spans="1:19" s="68" customFormat="1" ht="30" x14ac:dyDescent="0.25">
      <c r="A32" s="221">
        <v>25</v>
      </c>
      <c r="B32" s="232" t="s">
        <v>429</v>
      </c>
      <c r="C32" s="223" t="s">
        <v>375</v>
      </c>
      <c r="D32" s="224" t="s">
        <v>430</v>
      </c>
      <c r="E32" s="225">
        <v>1</v>
      </c>
      <c r="F32" s="226" t="s">
        <v>391</v>
      </c>
      <c r="G32" s="227">
        <v>148.99</v>
      </c>
      <c r="H32" s="228"/>
      <c r="I32" s="67"/>
      <c r="J32" s="74">
        <f>'Ocorrências Mensais - FAT'!G50</f>
        <v>8.3333333333333329E-2</v>
      </c>
      <c r="K32" s="229">
        <f t="shared" si="0"/>
        <v>12.415833333333333</v>
      </c>
      <c r="L32" s="39">
        <f t="shared" si="1"/>
        <v>12</v>
      </c>
      <c r="N32" s="230">
        <v>3.2</v>
      </c>
      <c r="O32" s="39">
        <f>ROUND(IF(Dados!$J$56="SIM",N32*Dados!$N$56,N32),2)</f>
        <v>3.2</v>
      </c>
      <c r="P32" s="39">
        <f>ROUND(IF(Dados!$J$57="SIM",O32*Dados!$N$57,O32),2)</f>
        <v>3.2</v>
      </c>
      <c r="Q32" s="39">
        <f>ROUND(IF(Dados!$J$58="SIM",P32*Dados!$N$58,P32),2)</f>
        <v>3.2</v>
      </c>
      <c r="R32" s="39">
        <f>ROUND(IF(Dados!$J$59="SIM",Q32*Dados!$N$59,Q32),2)</f>
        <v>3.2</v>
      </c>
      <c r="S32" s="81">
        <f>ROUND(IF(Dados!$J$60="SIM",R32*Dados!$N$60,R32),2)</f>
        <v>3.2</v>
      </c>
    </row>
    <row r="33" spans="1:19" s="68" customFormat="1" ht="30" x14ac:dyDescent="0.25">
      <c r="A33" s="221">
        <v>26</v>
      </c>
      <c r="B33" s="232" t="s">
        <v>431</v>
      </c>
      <c r="C33" s="223" t="s">
        <v>375</v>
      </c>
      <c r="D33" s="224" t="s">
        <v>428</v>
      </c>
      <c r="E33" s="225">
        <v>1</v>
      </c>
      <c r="F33" s="226" t="s">
        <v>386</v>
      </c>
      <c r="G33" s="227">
        <v>13.09</v>
      </c>
      <c r="H33" s="231"/>
      <c r="I33" s="67"/>
      <c r="J33" s="74">
        <f>'Ocorrências Mensais - FAT'!G51</f>
        <v>0.16666666666666666</v>
      </c>
      <c r="K33" s="229">
        <f t="shared" si="0"/>
        <v>2.1816666666666666</v>
      </c>
      <c r="L33" s="39">
        <f t="shared" si="1"/>
        <v>6</v>
      </c>
      <c r="N33" s="230">
        <v>3.99</v>
      </c>
      <c r="O33" s="39">
        <f>ROUND(IF(Dados!$J$56="SIM",N33*Dados!$N$56,N33),2)</f>
        <v>3.99</v>
      </c>
      <c r="P33" s="39">
        <f>ROUND(IF(Dados!$J$57="SIM",O33*Dados!$N$57,O33),2)</f>
        <v>3.99</v>
      </c>
      <c r="Q33" s="39">
        <f>ROUND(IF(Dados!$J$58="SIM",P33*Dados!$N$58,P33),2)</f>
        <v>3.99</v>
      </c>
      <c r="R33" s="39">
        <f>ROUND(IF(Dados!$J$59="SIM",Q33*Dados!$N$59,Q33),2)</f>
        <v>3.99</v>
      </c>
      <c r="S33" s="81">
        <f>ROUND(IF(Dados!$J$60="SIM",R33*Dados!$N$60,R33),2)</f>
        <v>3.99</v>
      </c>
    </row>
    <row r="34" spans="1:19" s="68" customFormat="1" ht="60" x14ac:dyDescent="0.25">
      <c r="A34" s="221">
        <v>27</v>
      </c>
      <c r="B34" s="232" t="s">
        <v>432</v>
      </c>
      <c r="C34" s="223" t="s">
        <v>433</v>
      </c>
      <c r="D34" s="224" t="s">
        <v>434</v>
      </c>
      <c r="E34" s="225">
        <v>2</v>
      </c>
      <c r="F34" s="226" t="s">
        <v>377</v>
      </c>
      <c r="G34" s="227">
        <v>137.71</v>
      </c>
      <c r="H34" s="231"/>
      <c r="I34" s="67"/>
      <c r="J34" s="74">
        <f>'Ocorrências Mensais - FAT'!G52</f>
        <v>2</v>
      </c>
      <c r="K34" s="229">
        <f t="shared" si="0"/>
        <v>275.42</v>
      </c>
      <c r="L34" s="39">
        <f t="shared" si="1"/>
        <v>1</v>
      </c>
      <c r="N34" s="230">
        <v>1.4</v>
      </c>
      <c r="O34" s="39">
        <f>ROUND(IF(Dados!$J$56="SIM",N34*Dados!$N$56,N34),2)</f>
        <v>1.4</v>
      </c>
      <c r="P34" s="39">
        <f>ROUND(IF(Dados!$J$57="SIM",O34*Dados!$N$57,O34),2)</f>
        <v>1.4</v>
      </c>
      <c r="Q34" s="39">
        <f>ROUND(IF(Dados!$J$58="SIM",P34*Dados!$N$58,P34),2)</f>
        <v>1.4</v>
      </c>
      <c r="R34" s="39">
        <f>ROUND(IF(Dados!$J$59="SIM",Q34*Dados!$N$59,Q34),2)</f>
        <v>1.4</v>
      </c>
      <c r="S34" s="81">
        <f>ROUND(IF(Dados!$J$60="SIM",R34*Dados!$N$60,R34),2)</f>
        <v>1.4</v>
      </c>
    </row>
    <row r="35" spans="1:19" s="68" customFormat="1" ht="60" x14ac:dyDescent="0.25">
      <c r="A35" s="221">
        <v>28</v>
      </c>
      <c r="B35" s="232" t="s">
        <v>435</v>
      </c>
      <c r="C35" s="223" t="s">
        <v>436</v>
      </c>
      <c r="D35" s="224" t="s">
        <v>437</v>
      </c>
      <c r="E35" s="225">
        <v>26</v>
      </c>
      <c r="F35" s="226" t="s">
        <v>377</v>
      </c>
      <c r="G35" s="227">
        <v>22.89</v>
      </c>
      <c r="H35" s="231"/>
      <c r="I35" s="67"/>
      <c r="J35" s="74">
        <f>'Ocorrências Mensais - FAT'!G53</f>
        <v>26</v>
      </c>
      <c r="K35" s="229">
        <f t="shared" si="0"/>
        <v>595.14</v>
      </c>
      <c r="L35" s="39">
        <f t="shared" si="1"/>
        <v>1</v>
      </c>
      <c r="N35" s="230">
        <v>2.04</v>
      </c>
      <c r="O35" s="39">
        <f>ROUND(IF(Dados!$J$56="SIM",N35*Dados!$N$56,N35),2)</f>
        <v>2.04</v>
      </c>
      <c r="P35" s="39">
        <f>ROUND(IF(Dados!$J$57="SIM",O35*Dados!$N$57,O35),2)</f>
        <v>2.04</v>
      </c>
      <c r="Q35" s="39">
        <f>ROUND(IF(Dados!$J$58="SIM",P35*Dados!$N$58,P35),2)</f>
        <v>2.04</v>
      </c>
      <c r="R35" s="39">
        <f>ROUND(IF(Dados!$J$59="SIM",Q35*Dados!$N$59,Q35),2)</f>
        <v>2.04</v>
      </c>
      <c r="S35" s="81">
        <f>ROUND(IF(Dados!$J$60="SIM",R35*Dados!$N$60,R35),2)</f>
        <v>2.04</v>
      </c>
    </row>
    <row r="36" spans="1:19" s="68" customFormat="1" ht="30" x14ac:dyDescent="0.25">
      <c r="A36" s="221">
        <v>29</v>
      </c>
      <c r="B36" s="222" t="s">
        <v>438</v>
      </c>
      <c r="C36" s="223" t="s">
        <v>375</v>
      </c>
      <c r="D36" s="224" t="s">
        <v>439</v>
      </c>
      <c r="E36" s="225">
        <v>15</v>
      </c>
      <c r="F36" s="226" t="s">
        <v>377</v>
      </c>
      <c r="G36" s="227">
        <v>2.41</v>
      </c>
      <c r="H36" s="231"/>
      <c r="I36" s="67"/>
      <c r="J36" s="74">
        <f>'Ocorrências Mensais - FAT'!G54</f>
        <v>15</v>
      </c>
      <c r="K36" s="229">
        <f t="shared" si="0"/>
        <v>36.150000000000006</v>
      </c>
      <c r="L36" s="39">
        <f t="shared" si="1"/>
        <v>1</v>
      </c>
      <c r="N36" s="230">
        <v>6.55</v>
      </c>
      <c r="O36" s="39">
        <f>ROUND(IF(Dados!$J$56="SIM",N36*Dados!$N$56,N36),2)</f>
        <v>6.55</v>
      </c>
      <c r="P36" s="39">
        <f>ROUND(IF(Dados!$J$57="SIM",O36*Dados!$N$57,O36),2)</f>
        <v>6.55</v>
      </c>
      <c r="Q36" s="39">
        <f>ROUND(IF(Dados!$J$58="SIM",P36*Dados!$N$58,P36),2)</f>
        <v>6.55</v>
      </c>
      <c r="R36" s="39">
        <f>ROUND(IF(Dados!$J$59="SIM",Q36*Dados!$N$59,Q36),2)</f>
        <v>6.55</v>
      </c>
      <c r="S36" s="81">
        <f>ROUND(IF(Dados!$J$60="SIM",R36*Dados!$N$60,R36),2)</f>
        <v>6.55</v>
      </c>
    </row>
    <row r="37" spans="1:19" s="68" customFormat="1" ht="42.75" customHeight="1" x14ac:dyDescent="0.25">
      <c r="A37" s="221">
        <v>30</v>
      </c>
      <c r="B37" s="222" t="s">
        <v>440</v>
      </c>
      <c r="C37" s="223" t="s">
        <v>375</v>
      </c>
      <c r="D37" s="224" t="s">
        <v>441</v>
      </c>
      <c r="E37" s="225">
        <v>1</v>
      </c>
      <c r="F37" s="226" t="s">
        <v>386</v>
      </c>
      <c r="G37" s="227">
        <v>19.899999999999999</v>
      </c>
      <c r="H37" s="231"/>
      <c r="I37" s="67"/>
      <c r="J37" s="74">
        <f>'Ocorrências Mensais - FAT'!G55</f>
        <v>0.16666666666666666</v>
      </c>
      <c r="K37" s="229">
        <f t="shared" si="0"/>
        <v>3.3166666666666664</v>
      </c>
      <c r="L37" s="39">
        <f t="shared" si="1"/>
        <v>6</v>
      </c>
      <c r="N37" s="230">
        <v>2.8</v>
      </c>
      <c r="O37" s="39">
        <f>ROUND(IF(Dados!$J$56="SIM",N37*Dados!$N$56,N37),2)</f>
        <v>2.8</v>
      </c>
      <c r="P37" s="39">
        <f>ROUND(IF(Dados!$J$57="SIM",O37*Dados!$N$57,O37),2)</f>
        <v>2.8</v>
      </c>
      <c r="Q37" s="39">
        <f>ROUND(IF(Dados!$J$58="SIM",P37*Dados!$N$58,P37),2)</f>
        <v>2.8</v>
      </c>
      <c r="R37" s="39">
        <f>ROUND(IF(Dados!$J$59="SIM",Q37*Dados!$N$59,Q37),2)</f>
        <v>2.8</v>
      </c>
      <c r="S37" s="81">
        <f>ROUND(IF(Dados!$J$60="SIM",R37*Dados!$N$60,R37),2)</f>
        <v>2.8</v>
      </c>
    </row>
    <row r="38" spans="1:19" s="68" customFormat="1" x14ac:dyDescent="0.25">
      <c r="A38" s="221">
        <v>31</v>
      </c>
      <c r="B38" s="222" t="s">
        <v>442</v>
      </c>
      <c r="C38" s="223" t="s">
        <v>375</v>
      </c>
      <c r="D38" s="224"/>
      <c r="E38" s="225">
        <v>2</v>
      </c>
      <c r="F38" s="226" t="s">
        <v>386</v>
      </c>
      <c r="G38" s="227">
        <v>31.9</v>
      </c>
      <c r="H38" s="231"/>
      <c r="I38" s="67"/>
      <c r="J38" s="74">
        <f>'Ocorrências Mensais - FAT'!G56</f>
        <v>0.33333333333333331</v>
      </c>
      <c r="K38" s="229">
        <f t="shared" si="0"/>
        <v>10.633333333333333</v>
      </c>
      <c r="L38" s="39">
        <f t="shared" si="1"/>
        <v>6</v>
      </c>
      <c r="N38" s="230">
        <v>19.899999999999999</v>
      </c>
      <c r="O38" s="39">
        <f>ROUND(IF(Dados!$J$56="SIM",N38*Dados!$N$56,N38),2)</f>
        <v>19.899999999999999</v>
      </c>
      <c r="P38" s="39">
        <f>ROUND(IF(Dados!$J$57="SIM",O38*Dados!$N$57,O38),2)</f>
        <v>19.899999999999999</v>
      </c>
      <c r="Q38" s="39">
        <f>ROUND(IF(Dados!$J$58="SIM",P38*Dados!$N$58,P38),2)</f>
        <v>19.899999999999999</v>
      </c>
      <c r="R38" s="39">
        <f>ROUND(IF(Dados!$J$59="SIM",Q38*Dados!$N$59,Q38),2)</f>
        <v>19.899999999999999</v>
      </c>
      <c r="S38" s="81">
        <f>ROUND(IF(Dados!$J$60="SIM",R38*Dados!$N$60,R38),2)</f>
        <v>19.899999999999999</v>
      </c>
    </row>
    <row r="39" spans="1:19" s="68" customFormat="1" ht="30" x14ac:dyDescent="0.25">
      <c r="A39" s="221">
        <v>32</v>
      </c>
      <c r="B39" s="222" t="s">
        <v>443</v>
      </c>
      <c r="C39" s="223" t="s">
        <v>411</v>
      </c>
      <c r="D39" s="224" t="s">
        <v>444</v>
      </c>
      <c r="E39" s="225">
        <v>1</v>
      </c>
      <c r="F39" s="226" t="s">
        <v>377</v>
      </c>
      <c r="G39" s="227">
        <v>12</v>
      </c>
      <c r="H39" s="231"/>
      <c r="I39" s="67"/>
      <c r="J39" s="74">
        <f>'Ocorrências Mensais - FAT'!G57</f>
        <v>1</v>
      </c>
      <c r="K39" s="229">
        <f t="shared" si="0"/>
        <v>12</v>
      </c>
      <c r="L39" s="39">
        <f t="shared" si="1"/>
        <v>1</v>
      </c>
      <c r="N39" s="230">
        <v>5.8</v>
      </c>
      <c r="O39" s="39">
        <f>ROUND(IF(Dados!$J$56="SIM",N39*Dados!$N$56,N39),2)</f>
        <v>5.8</v>
      </c>
      <c r="P39" s="39">
        <f>ROUND(IF(Dados!$J$57="SIM",O39*Dados!$N$57,O39),2)</f>
        <v>5.8</v>
      </c>
      <c r="Q39" s="39">
        <f>ROUND(IF(Dados!$J$58="SIM",P39*Dados!$N$58,P39),2)</f>
        <v>5.8</v>
      </c>
      <c r="R39" s="39">
        <f>ROUND(IF(Dados!$J$59="SIM",Q39*Dados!$N$59,Q39),2)</f>
        <v>5.8</v>
      </c>
      <c r="S39" s="81">
        <f>ROUND(IF(Dados!$J$60="SIM",R39*Dados!$N$60,R39),2)</f>
        <v>5.8</v>
      </c>
    </row>
    <row r="40" spans="1:19" s="68" customFormat="1" ht="30" x14ac:dyDescent="0.25">
      <c r="A40" s="221">
        <v>33</v>
      </c>
      <c r="B40" s="222" t="s">
        <v>445</v>
      </c>
      <c r="C40" s="223" t="s">
        <v>446</v>
      </c>
      <c r="D40" s="224" t="s">
        <v>447</v>
      </c>
      <c r="E40" s="225">
        <v>2</v>
      </c>
      <c r="F40" s="226" t="s">
        <v>393</v>
      </c>
      <c r="G40" s="227">
        <v>15.6</v>
      </c>
      <c r="H40" s="231"/>
      <c r="I40" s="67"/>
      <c r="J40" s="74">
        <f>'Ocorrências Mensais - FAT'!G58</f>
        <v>1</v>
      </c>
      <c r="K40" s="229">
        <f t="shared" si="0"/>
        <v>15.6</v>
      </c>
      <c r="L40" s="39">
        <f t="shared" si="1"/>
        <v>2</v>
      </c>
      <c r="N40" s="230">
        <v>6</v>
      </c>
      <c r="O40" s="39">
        <f>ROUND(IF(Dados!$J$56="SIM",N40*Dados!$N$56,N40),2)</f>
        <v>6</v>
      </c>
      <c r="P40" s="39">
        <f>ROUND(IF(Dados!$J$57="SIM",O40*Dados!$N$57,O40),2)</f>
        <v>6</v>
      </c>
      <c r="Q40" s="39">
        <f>ROUND(IF(Dados!$J$58="SIM",P40*Dados!$N$58,P40),2)</f>
        <v>6</v>
      </c>
      <c r="R40" s="39">
        <f>ROUND(IF(Dados!$J$59="SIM",Q40*Dados!$N$59,Q40),2)</f>
        <v>6</v>
      </c>
      <c r="S40" s="81">
        <f>ROUND(IF(Dados!$J$60="SIM",R40*Dados!$N$60,R40),2)</f>
        <v>6</v>
      </c>
    </row>
    <row r="41" spans="1:19" s="68" customFormat="1" x14ac:dyDescent="0.25">
      <c r="A41" s="221">
        <v>34</v>
      </c>
      <c r="B41" s="222" t="s">
        <v>448</v>
      </c>
      <c r="C41" s="223" t="s">
        <v>390</v>
      </c>
      <c r="D41" s="224" t="s">
        <v>414</v>
      </c>
      <c r="E41" s="225">
        <v>1</v>
      </c>
      <c r="F41" s="226" t="s">
        <v>381</v>
      </c>
      <c r="G41" s="227">
        <v>6.24</v>
      </c>
      <c r="H41" s="231"/>
      <c r="I41" s="67"/>
      <c r="J41" s="74">
        <f>'Ocorrências Mensais - FAT'!G59</f>
        <v>0.33333333333333331</v>
      </c>
      <c r="K41" s="229">
        <f t="shared" si="0"/>
        <v>2.08</v>
      </c>
      <c r="L41" s="39">
        <f t="shared" si="1"/>
        <v>3</v>
      </c>
      <c r="N41" s="230">
        <v>5.99</v>
      </c>
      <c r="O41" s="39">
        <f>ROUND(IF(Dados!$J$56="SIM",N41*Dados!$N$56,N41),2)</f>
        <v>5.99</v>
      </c>
      <c r="P41" s="39">
        <f>ROUND(IF(Dados!$J$57="SIM",O41*Dados!$N$57,O41),2)</f>
        <v>5.99</v>
      </c>
      <c r="Q41" s="39">
        <f>ROUND(IF(Dados!$J$58="SIM",P41*Dados!$N$58,P41),2)</f>
        <v>5.99</v>
      </c>
      <c r="R41" s="39">
        <f>ROUND(IF(Dados!$J$59="SIM",Q41*Dados!$N$59,Q41),2)</f>
        <v>5.99</v>
      </c>
      <c r="S41" s="81">
        <f>ROUND(IF(Dados!$J$60="SIM",R41*Dados!$N$60,R41),2)</f>
        <v>5.99</v>
      </c>
    </row>
    <row r="42" spans="1:19" s="68" customFormat="1" ht="30" x14ac:dyDescent="0.25">
      <c r="A42" s="221">
        <v>35</v>
      </c>
      <c r="B42" s="222" t="s">
        <v>449</v>
      </c>
      <c r="C42" s="223" t="s">
        <v>379</v>
      </c>
      <c r="D42" s="224" t="s">
        <v>450</v>
      </c>
      <c r="E42" s="225">
        <v>1</v>
      </c>
      <c r="F42" s="226" t="s">
        <v>377</v>
      </c>
      <c r="G42" s="227">
        <v>23.76</v>
      </c>
      <c r="H42" s="231"/>
      <c r="I42" s="67"/>
      <c r="J42" s="74">
        <f>'Ocorrências Mensais - FAT'!G60</f>
        <v>1</v>
      </c>
      <c r="K42" s="229">
        <f t="shared" si="0"/>
        <v>23.76</v>
      </c>
      <c r="L42" s="39"/>
      <c r="N42" s="230"/>
      <c r="O42" s="39"/>
      <c r="P42" s="39"/>
      <c r="Q42" s="39"/>
      <c r="R42" s="39"/>
      <c r="S42" s="81"/>
    </row>
    <row r="43" spans="1:19" s="68" customFormat="1" ht="30" x14ac:dyDescent="0.25">
      <c r="A43" s="221">
        <v>36</v>
      </c>
      <c r="B43" s="222" t="s">
        <v>451</v>
      </c>
      <c r="C43" s="223" t="s">
        <v>375</v>
      </c>
      <c r="D43" s="224" t="s">
        <v>452</v>
      </c>
      <c r="E43" s="225">
        <v>5</v>
      </c>
      <c r="F43" s="226" t="s">
        <v>377</v>
      </c>
      <c r="G43" s="227">
        <v>8.23</v>
      </c>
      <c r="H43" s="231"/>
      <c r="I43" s="67"/>
      <c r="J43" s="74">
        <f>'Ocorrências Mensais - FAT'!G61</f>
        <v>5</v>
      </c>
      <c r="K43" s="229">
        <f t="shared" si="0"/>
        <v>41.150000000000006</v>
      </c>
      <c r="L43" s="39"/>
      <c r="N43" s="230"/>
      <c r="O43" s="39"/>
      <c r="P43" s="39"/>
      <c r="Q43" s="39"/>
      <c r="R43" s="39"/>
      <c r="S43" s="81"/>
    </row>
    <row r="44" spans="1:19" s="68" customFormat="1" ht="60" x14ac:dyDescent="0.25">
      <c r="A44" s="221">
        <v>37</v>
      </c>
      <c r="B44" s="222" t="s">
        <v>453</v>
      </c>
      <c r="C44" s="223" t="s">
        <v>436</v>
      </c>
      <c r="D44" s="224" t="s">
        <v>454</v>
      </c>
      <c r="E44" s="225">
        <v>4</v>
      </c>
      <c r="F44" s="226" t="s">
        <v>393</v>
      </c>
      <c r="G44" s="227">
        <v>16.489999999999998</v>
      </c>
      <c r="H44" s="231"/>
      <c r="I44" s="67"/>
      <c r="J44" s="74">
        <f>'Ocorrências Mensais - FAT'!G62</f>
        <v>2</v>
      </c>
      <c r="K44" s="229">
        <f t="shared" si="0"/>
        <v>32.979999999999997</v>
      </c>
      <c r="L44" s="39"/>
      <c r="N44" s="230"/>
      <c r="O44" s="39"/>
      <c r="P44" s="39"/>
      <c r="Q44" s="39"/>
      <c r="R44" s="39"/>
      <c r="S44" s="81"/>
    </row>
    <row r="45" spans="1:19" s="68" customFormat="1" ht="60" x14ac:dyDescent="0.25">
      <c r="A45" s="221">
        <v>38</v>
      </c>
      <c r="B45" s="222" t="s">
        <v>455</v>
      </c>
      <c r="C45" s="223" t="s">
        <v>436</v>
      </c>
      <c r="D45" s="224" t="s">
        <v>456</v>
      </c>
      <c r="E45" s="225">
        <v>1</v>
      </c>
      <c r="F45" s="226" t="s">
        <v>377</v>
      </c>
      <c r="G45" s="227">
        <v>46.43</v>
      </c>
      <c r="H45" s="231"/>
      <c r="I45" s="67"/>
      <c r="J45" s="74">
        <f>'Ocorrências Mensais - FAT'!G63</f>
        <v>1</v>
      </c>
      <c r="K45" s="229">
        <f t="shared" si="0"/>
        <v>46.43</v>
      </c>
      <c r="L45" s="39"/>
      <c r="N45" s="230"/>
      <c r="O45" s="39"/>
      <c r="P45" s="39"/>
      <c r="Q45" s="39"/>
      <c r="R45" s="39"/>
      <c r="S45" s="81"/>
    </row>
    <row r="46" spans="1:19" s="68" customFormat="1" ht="60" x14ac:dyDescent="0.25">
      <c r="A46" s="221">
        <v>39</v>
      </c>
      <c r="B46" s="222" t="s">
        <v>457</v>
      </c>
      <c r="C46" s="223" t="s">
        <v>436</v>
      </c>
      <c r="D46" s="224" t="s">
        <v>456</v>
      </c>
      <c r="E46" s="225">
        <v>1</v>
      </c>
      <c r="F46" s="226" t="s">
        <v>377</v>
      </c>
      <c r="G46" s="227">
        <v>60.16</v>
      </c>
      <c r="H46" s="231"/>
      <c r="I46" s="67"/>
      <c r="J46" s="74">
        <f>'Ocorrências Mensais - FAT'!G64</f>
        <v>1</v>
      </c>
      <c r="K46" s="229">
        <f t="shared" si="0"/>
        <v>60.16</v>
      </c>
      <c r="L46" s="39"/>
      <c r="N46" s="230"/>
      <c r="O46" s="39"/>
      <c r="P46" s="39"/>
      <c r="Q46" s="39"/>
      <c r="R46" s="39"/>
      <c r="S46" s="81"/>
    </row>
    <row r="47" spans="1:19" s="68" customFormat="1" ht="30" x14ac:dyDescent="0.25">
      <c r="A47" s="221">
        <v>40</v>
      </c>
      <c r="B47" s="222" t="s">
        <v>458</v>
      </c>
      <c r="C47" s="223" t="s">
        <v>375</v>
      </c>
      <c r="D47" s="224" t="s">
        <v>441</v>
      </c>
      <c r="E47" s="225">
        <v>2</v>
      </c>
      <c r="F47" s="226" t="s">
        <v>386</v>
      </c>
      <c r="G47" s="227">
        <v>18.22</v>
      </c>
      <c r="H47" s="231"/>
      <c r="I47" s="67"/>
      <c r="J47" s="74">
        <f>'Ocorrências Mensais - FAT'!G65</f>
        <v>0.33333333333333331</v>
      </c>
      <c r="K47" s="229">
        <f t="shared" si="0"/>
        <v>6.0733333333333324</v>
      </c>
      <c r="L47" s="39"/>
      <c r="N47" s="230"/>
      <c r="O47" s="39"/>
      <c r="P47" s="39"/>
      <c r="Q47" s="39"/>
      <c r="R47" s="39"/>
      <c r="S47" s="81"/>
    </row>
    <row r="48" spans="1:19" s="68" customFormat="1" ht="60" x14ac:dyDescent="0.25">
      <c r="A48" s="221">
        <v>41</v>
      </c>
      <c r="B48" s="222" t="s">
        <v>459</v>
      </c>
      <c r="C48" s="223" t="s">
        <v>375</v>
      </c>
      <c r="D48" s="224" t="s">
        <v>460</v>
      </c>
      <c r="E48" s="225">
        <v>2</v>
      </c>
      <c r="F48" s="226" t="s">
        <v>377</v>
      </c>
      <c r="G48" s="227">
        <v>18.100000000000001</v>
      </c>
      <c r="H48" s="231"/>
      <c r="I48" s="67"/>
      <c r="J48" s="74">
        <f>'Ocorrências Mensais - FAT'!G66</f>
        <v>2</v>
      </c>
      <c r="K48" s="229">
        <f t="shared" si="0"/>
        <v>36.200000000000003</v>
      </c>
      <c r="L48" s="39"/>
      <c r="N48" s="230"/>
      <c r="O48" s="39"/>
      <c r="P48" s="39"/>
      <c r="Q48" s="39"/>
      <c r="R48" s="39"/>
      <c r="S48" s="81"/>
    </row>
    <row r="49" spans="1:19" s="68" customFormat="1" ht="60" x14ac:dyDescent="0.25">
      <c r="A49" s="221">
        <v>42</v>
      </c>
      <c r="B49" s="222" t="s">
        <v>461</v>
      </c>
      <c r="C49" s="223" t="s">
        <v>375</v>
      </c>
      <c r="D49" s="224"/>
      <c r="E49" s="225">
        <v>1</v>
      </c>
      <c r="F49" s="226" t="s">
        <v>391</v>
      </c>
      <c r="G49" s="227">
        <v>37.39</v>
      </c>
      <c r="H49" s="231"/>
      <c r="I49" s="67"/>
      <c r="J49" s="74">
        <f>'Ocorrências Mensais - FAT'!G67</f>
        <v>8.3333333333333329E-2</v>
      </c>
      <c r="K49" s="229">
        <f t="shared" si="0"/>
        <v>3.1158333333333332</v>
      </c>
      <c r="L49" s="39"/>
      <c r="N49" s="230"/>
      <c r="O49" s="39"/>
      <c r="P49" s="39"/>
      <c r="Q49" s="39"/>
      <c r="R49" s="39"/>
      <c r="S49" s="81"/>
    </row>
    <row r="50" spans="1:19" s="68" customFormat="1" ht="30" x14ac:dyDescent="0.25">
      <c r="A50" s="221">
        <v>43</v>
      </c>
      <c r="B50" s="222" t="s">
        <v>462</v>
      </c>
      <c r="C50" s="223" t="s">
        <v>375</v>
      </c>
      <c r="D50" s="224"/>
      <c r="E50" s="225">
        <v>1</v>
      </c>
      <c r="F50" s="226" t="s">
        <v>391</v>
      </c>
      <c r="G50" s="227">
        <v>66.5</v>
      </c>
      <c r="H50" s="231"/>
      <c r="I50" s="67"/>
      <c r="J50" s="74">
        <f>'Ocorrências Mensais - FAT'!G68</f>
        <v>8.3333333333333329E-2</v>
      </c>
      <c r="K50" s="229">
        <f t="shared" si="0"/>
        <v>5.5416666666666661</v>
      </c>
      <c r="L50" s="39">
        <f>IF(F50="MENSAL",1,IF(F50="BIMESTRAL",2,IF(F50="TRIMESTRAL",3,IF(F50="QUADRIMESTRAL",4,IF(F50="SEMESTRAL",6,IF(F50="ANUAL",12,IF(F50="BIENAL",24,"")))))))</f>
        <v>12</v>
      </c>
      <c r="N50" s="230">
        <v>5.5</v>
      </c>
      <c r="O50" s="39">
        <f>ROUND(IF(Dados!$J$56="SIM",N50*Dados!$N$56,N50),2)</f>
        <v>5.5</v>
      </c>
      <c r="P50" s="39">
        <f>ROUND(IF(Dados!$J$57="SIM",O50*Dados!$N$57,O50),2)</f>
        <v>5.5</v>
      </c>
      <c r="Q50" s="39">
        <f>ROUND(IF(Dados!$J$58="SIM",P50*Dados!$N$58,P50),2)</f>
        <v>5.5</v>
      </c>
      <c r="R50" s="39">
        <f>ROUND(IF(Dados!$J$59="SIM",Q50*Dados!$N$59,Q50),2)</f>
        <v>5.5</v>
      </c>
      <c r="S50" s="81">
        <f>ROUND(IF(Dados!$J$60="SIM",R50*Dados!$N$60,R50),2)</f>
        <v>5.5</v>
      </c>
    </row>
    <row r="51" spans="1:19" ht="15.75" x14ac:dyDescent="0.25">
      <c r="A51" s="625"/>
      <c r="B51" s="625"/>
      <c r="C51" s="625"/>
      <c r="D51" s="625"/>
      <c r="E51" s="625"/>
      <c r="F51" s="625"/>
      <c r="G51" s="625"/>
      <c r="H51" s="233"/>
      <c r="I51" s="56"/>
      <c r="J51" s="234" t="s">
        <v>189</v>
      </c>
      <c r="K51" s="235">
        <f>SUM(K8:K50)</f>
        <v>1844.5633333333335</v>
      </c>
      <c r="N51" s="236"/>
      <c r="O51" s="63"/>
      <c r="P51" s="63"/>
      <c r="Q51" s="63"/>
      <c r="R51" s="63"/>
      <c r="S51" s="63"/>
    </row>
    <row r="52" spans="1:19" ht="31.5" x14ac:dyDescent="0.25">
      <c r="A52" s="237"/>
      <c r="H52" s="238"/>
      <c r="J52" s="239" t="s">
        <v>463</v>
      </c>
      <c r="K52" s="235">
        <f>Dados!B7+Dados!B8</f>
        <v>2</v>
      </c>
      <c r="N52" s="236"/>
      <c r="O52" s="63"/>
      <c r="P52" s="63"/>
      <c r="Q52" s="63"/>
      <c r="R52" s="63"/>
      <c r="S52" s="63"/>
    </row>
    <row r="53" spans="1:19" ht="31.5" x14ac:dyDescent="0.25">
      <c r="A53" s="237"/>
      <c r="H53" s="238"/>
      <c r="J53" s="239" t="s">
        <v>464</v>
      </c>
      <c r="K53" s="235">
        <f>K51/K52</f>
        <v>922.28166666666675</v>
      </c>
      <c r="N53" s="236"/>
      <c r="O53" s="63"/>
      <c r="P53" s="63"/>
      <c r="Q53" s="63"/>
      <c r="R53" s="63"/>
      <c r="S53" s="63"/>
    </row>
    <row r="54" spans="1:19" ht="18" customHeight="1" x14ac:dyDescent="0.25">
      <c r="A54" s="626" t="s">
        <v>465</v>
      </c>
      <c r="B54" s="626"/>
      <c r="C54" s="626"/>
      <c r="D54" s="626"/>
      <c r="E54" s="626"/>
      <c r="F54" s="626"/>
      <c r="G54" s="626"/>
      <c r="H54" s="626"/>
      <c r="I54" s="68"/>
      <c r="J54" s="68"/>
      <c r="L54" s="68"/>
      <c r="N54" s="570" t="s">
        <v>367</v>
      </c>
      <c r="O54" s="570"/>
      <c r="P54" s="570"/>
      <c r="Q54" s="570"/>
      <c r="R54" s="570"/>
      <c r="S54" s="570"/>
    </row>
    <row r="55" spans="1:19" x14ac:dyDescent="0.25">
      <c r="A55" s="240"/>
      <c r="B55" s="102"/>
      <c r="C55" s="102"/>
      <c r="D55" s="102"/>
      <c r="E55" s="102"/>
      <c r="F55" s="102"/>
      <c r="G55" s="102"/>
      <c r="H55" s="241"/>
      <c r="I55" s="68"/>
      <c r="J55" s="68"/>
      <c r="L55" s="68"/>
      <c r="N55" s="570"/>
      <c r="O55" s="570"/>
      <c r="P55" s="570"/>
      <c r="Q55" s="570"/>
      <c r="R55" s="570"/>
      <c r="S55" s="570"/>
    </row>
    <row r="56" spans="1:19" ht="14.25" customHeight="1" x14ac:dyDescent="0.25">
      <c r="A56" s="627" t="s">
        <v>54</v>
      </c>
      <c r="B56" s="628" t="s">
        <v>368</v>
      </c>
      <c r="C56" s="628"/>
      <c r="D56" s="628"/>
      <c r="E56" s="214"/>
      <c r="F56" s="214"/>
      <c r="G56" s="214"/>
      <c r="H56" s="629" t="s">
        <v>466</v>
      </c>
      <c r="I56" s="68"/>
      <c r="J56" s="630" t="s">
        <v>369</v>
      </c>
      <c r="K56" s="630"/>
      <c r="L56" s="630"/>
      <c r="N56" s="570"/>
      <c r="O56" s="570"/>
      <c r="P56" s="570"/>
      <c r="Q56" s="570"/>
      <c r="R56" s="570"/>
      <c r="S56" s="570"/>
    </row>
    <row r="57" spans="1:19" ht="38.25" x14ac:dyDescent="0.25">
      <c r="A57" s="627"/>
      <c r="B57" s="214" t="s">
        <v>59</v>
      </c>
      <c r="C57" s="217" t="s">
        <v>60</v>
      </c>
      <c r="D57" s="217" t="s">
        <v>467</v>
      </c>
      <c r="E57" s="218" t="s">
        <v>370</v>
      </c>
      <c r="F57" s="219" t="s">
        <v>66</v>
      </c>
      <c r="G57" s="217" t="s">
        <v>371</v>
      </c>
      <c r="H57" s="629"/>
      <c r="I57" s="68"/>
      <c r="J57" s="242" t="s">
        <v>64</v>
      </c>
      <c r="K57" s="242" t="s">
        <v>63</v>
      </c>
      <c r="L57" s="218" t="s">
        <v>372</v>
      </c>
      <c r="N57" s="220" t="s">
        <v>373</v>
      </c>
      <c r="O57" s="22" t="s">
        <v>274</v>
      </c>
      <c r="P57" s="22" t="s">
        <v>275</v>
      </c>
      <c r="Q57" s="22" t="s">
        <v>276</v>
      </c>
      <c r="R57" s="22" t="s">
        <v>277</v>
      </c>
      <c r="S57" s="24" t="s">
        <v>278</v>
      </c>
    </row>
    <row r="58" spans="1:19" ht="105" x14ac:dyDescent="0.25">
      <c r="A58" s="90">
        <v>1</v>
      </c>
      <c r="B58" s="232" t="s">
        <v>468</v>
      </c>
      <c r="C58" s="224" t="s">
        <v>411</v>
      </c>
      <c r="D58" s="224" t="s">
        <v>469</v>
      </c>
      <c r="E58" s="225">
        <v>1</v>
      </c>
      <c r="F58" s="224" t="s">
        <v>393</v>
      </c>
      <c r="G58" s="227">
        <v>19.170000000000002</v>
      </c>
      <c r="H58" s="243"/>
      <c r="I58" s="68"/>
      <c r="J58" s="74">
        <f>'Ocorrências Mensais - FAT'!G77</f>
        <v>0.5</v>
      </c>
      <c r="K58" s="229">
        <f t="shared" ref="K58:K79" si="2">G58*J58</f>
        <v>9.5850000000000009</v>
      </c>
      <c r="L58" s="39">
        <f t="shared" ref="L58:L79" si="3">IF(F58="MENSAL",1,IF(F58="BIMESTRAL",2,IF(F58="TRIMESTRAL",3,IF(F58="QUADRIMESTRAL",4,IF(F58="SEMESTRAL",6,IF(F58="ANUAL",12,IF(F58="BIENAL",24,"")))))))</f>
        <v>2</v>
      </c>
      <c r="N58" s="244">
        <v>3.1</v>
      </c>
      <c r="O58" s="39">
        <f>ROUND(IF(Dados!$J$56="SIM",N58*Dados!$N$56,N58),2)</f>
        <v>3.1</v>
      </c>
      <c r="P58" s="39">
        <f>ROUND(IF(Dados!$J$57="SIM",O58*Dados!$N$57,O58),2)</f>
        <v>3.1</v>
      </c>
      <c r="Q58" s="39">
        <f>ROUND(IF(Dados!$J$58="SIM",P58*Dados!$N$58,P58),2)</f>
        <v>3.1</v>
      </c>
      <c r="R58" s="39">
        <f>ROUND(IF(Dados!$J$59="SIM",Q58*Dados!$N$59,Q58),2)</f>
        <v>3.1</v>
      </c>
      <c r="S58" s="81">
        <f>ROUND(IF(Dados!$J$60="SIM",R58*Dados!$N$60,R58),2)</f>
        <v>3.1</v>
      </c>
    </row>
    <row r="59" spans="1:19" ht="135" x14ac:dyDescent="0.25">
      <c r="A59" s="90">
        <v>2</v>
      </c>
      <c r="B59" s="232" t="s">
        <v>470</v>
      </c>
      <c r="C59" s="224" t="s">
        <v>375</v>
      </c>
      <c r="D59" s="224" t="s">
        <v>471</v>
      </c>
      <c r="E59" s="225">
        <v>1</v>
      </c>
      <c r="F59" s="224" t="s">
        <v>472</v>
      </c>
      <c r="G59" s="227">
        <v>7.92</v>
      </c>
      <c r="H59" s="243"/>
      <c r="I59" s="68"/>
      <c r="J59" s="74">
        <f>'Ocorrências Mensais - FAT'!G78</f>
        <v>0.5</v>
      </c>
      <c r="K59" s="229">
        <f t="shared" si="2"/>
        <v>3.96</v>
      </c>
      <c r="L59" s="39">
        <f t="shared" si="3"/>
        <v>2</v>
      </c>
      <c r="N59" s="244">
        <v>4.04</v>
      </c>
      <c r="O59" s="39">
        <f>ROUND(IF(Dados!$J$56="SIM",N59*Dados!$N$56,N59),2)</f>
        <v>4.04</v>
      </c>
      <c r="P59" s="39">
        <f>ROUND(IF(Dados!$J$57="SIM",O59*Dados!$N$57,O59),2)</f>
        <v>4.04</v>
      </c>
      <c r="Q59" s="39">
        <f>ROUND(IF(Dados!$J$58="SIM",P59*Dados!$N$58,P59),2)</f>
        <v>4.04</v>
      </c>
      <c r="R59" s="39">
        <f>ROUND(IF(Dados!$J$59="SIM",Q59*Dados!$N$59,Q59),2)</f>
        <v>4.04</v>
      </c>
      <c r="S59" s="81">
        <f>ROUND(IF(Dados!$J$60="SIM",R59*Dados!$N$60,R59),2)</f>
        <v>4.04</v>
      </c>
    </row>
    <row r="60" spans="1:19" ht="18" customHeight="1" x14ac:dyDescent="0.25">
      <c r="A60" s="90">
        <v>3</v>
      </c>
      <c r="B60" s="232" t="s">
        <v>473</v>
      </c>
      <c r="C60" s="224" t="s">
        <v>390</v>
      </c>
      <c r="D60" s="224" t="s">
        <v>474</v>
      </c>
      <c r="E60" s="225">
        <v>1</v>
      </c>
      <c r="F60" s="224" t="s">
        <v>381</v>
      </c>
      <c r="G60" s="227">
        <v>12.25</v>
      </c>
      <c r="H60" s="243"/>
      <c r="I60" s="68"/>
      <c r="J60" s="74">
        <f>'Ocorrências Mensais - FAT'!G79</f>
        <v>0.33333333333333331</v>
      </c>
      <c r="K60" s="229">
        <f t="shared" si="2"/>
        <v>4.083333333333333</v>
      </c>
      <c r="L60" s="39">
        <f t="shared" si="3"/>
        <v>3</v>
      </c>
      <c r="N60" s="244">
        <v>1.5</v>
      </c>
      <c r="O60" s="39">
        <f>ROUND(IF(Dados!$J$56="SIM",N60*Dados!$N$56,N60),2)</f>
        <v>1.5</v>
      </c>
      <c r="P60" s="39">
        <f>ROUND(IF(Dados!$J$57="SIM",O60*Dados!$N$57,O60),2)</f>
        <v>1.5</v>
      </c>
      <c r="Q60" s="39">
        <f>ROUND(IF(Dados!$J$58="SIM",P60*Dados!$N$58,P60),2)</f>
        <v>1.5</v>
      </c>
      <c r="R60" s="39">
        <f>ROUND(IF(Dados!$J$59="SIM",Q60*Dados!$N$59,Q60),2)</f>
        <v>1.5</v>
      </c>
      <c r="S60" s="81">
        <f>ROUND(IF(Dados!$J$60="SIM",R60*Dados!$N$60,R60),2)</f>
        <v>1.5</v>
      </c>
    </row>
    <row r="61" spans="1:19" ht="45.75" customHeight="1" x14ac:dyDescent="0.25">
      <c r="A61" s="90">
        <v>4</v>
      </c>
      <c r="B61" s="232" t="s">
        <v>475</v>
      </c>
      <c r="C61" s="224" t="s">
        <v>375</v>
      </c>
      <c r="D61" s="224" t="s">
        <v>476</v>
      </c>
      <c r="E61" s="225">
        <v>1</v>
      </c>
      <c r="F61" s="224" t="s">
        <v>386</v>
      </c>
      <c r="G61" s="227">
        <v>13.89</v>
      </c>
      <c r="H61" s="243"/>
      <c r="I61" s="68"/>
      <c r="J61" s="74">
        <f>'Ocorrências Mensais - FAT'!G80</f>
        <v>0.16666666666666666</v>
      </c>
      <c r="K61" s="229">
        <f t="shared" si="2"/>
        <v>2.3149999999999999</v>
      </c>
      <c r="L61" s="39">
        <f t="shared" si="3"/>
        <v>6</v>
      </c>
      <c r="N61" s="244">
        <v>1.2</v>
      </c>
      <c r="O61" s="39">
        <f>ROUND(IF(Dados!$J$56="SIM",N61*Dados!$N$56,N61),2)</f>
        <v>1.2</v>
      </c>
      <c r="P61" s="39">
        <f>ROUND(IF(Dados!$J$57="SIM",O61*Dados!$N$57,O61),2)</f>
        <v>1.2</v>
      </c>
      <c r="Q61" s="39">
        <f>ROUND(IF(Dados!$J$58="SIM",P61*Dados!$N$58,P61),2)</f>
        <v>1.2</v>
      </c>
      <c r="R61" s="39">
        <f>ROUND(IF(Dados!$J$59="SIM",Q61*Dados!$N$59,Q61),2)</f>
        <v>1.2</v>
      </c>
      <c r="S61" s="81">
        <f>ROUND(IF(Dados!$J$60="SIM",R61*Dados!$N$60,R61),2)</f>
        <v>1.2</v>
      </c>
    </row>
    <row r="62" spans="1:19" ht="165" x14ac:dyDescent="0.25">
      <c r="A62" s="90">
        <v>5</v>
      </c>
      <c r="B62" s="232" t="s">
        <v>477</v>
      </c>
      <c r="C62" s="224" t="s">
        <v>375</v>
      </c>
      <c r="D62" s="224" t="s">
        <v>478</v>
      </c>
      <c r="E62" s="225">
        <v>3</v>
      </c>
      <c r="F62" s="224" t="s">
        <v>377</v>
      </c>
      <c r="G62" s="227">
        <v>29.53</v>
      </c>
      <c r="H62" s="243"/>
      <c r="I62" s="68"/>
      <c r="J62" s="74">
        <f>'Ocorrências Mensais - FAT'!G81</f>
        <v>3</v>
      </c>
      <c r="K62" s="229">
        <f t="shared" si="2"/>
        <v>88.59</v>
      </c>
      <c r="L62" s="39">
        <f t="shared" si="3"/>
        <v>1</v>
      </c>
      <c r="N62" s="244">
        <v>1.5</v>
      </c>
      <c r="O62" s="39">
        <f>ROUND(IF(Dados!$J$56="SIM",N62*Dados!$N$56,N62),2)</f>
        <v>1.5</v>
      </c>
      <c r="P62" s="39">
        <f>ROUND(IF(Dados!$J$57="SIM",O62*Dados!$N$57,O62),2)</f>
        <v>1.5</v>
      </c>
      <c r="Q62" s="39">
        <f>ROUND(IF(Dados!$J$58="SIM",P62*Dados!$N$58,P62),2)</f>
        <v>1.5</v>
      </c>
      <c r="R62" s="39">
        <f>ROUND(IF(Dados!$J$59="SIM",Q62*Dados!$N$59,Q62),2)</f>
        <v>1.5</v>
      </c>
      <c r="S62" s="81">
        <f>ROUND(IF(Dados!$J$60="SIM",R62*Dados!$N$60,R62),2)</f>
        <v>1.5</v>
      </c>
    </row>
    <row r="63" spans="1:19" ht="75" x14ac:dyDescent="0.25">
      <c r="A63" s="90">
        <v>6</v>
      </c>
      <c r="B63" s="232" t="s">
        <v>479</v>
      </c>
      <c r="C63" s="224" t="s">
        <v>375</v>
      </c>
      <c r="D63" s="224" t="s">
        <v>480</v>
      </c>
      <c r="E63" s="225">
        <v>2</v>
      </c>
      <c r="F63" s="224" t="s">
        <v>377</v>
      </c>
      <c r="G63" s="227">
        <v>9.99</v>
      </c>
      <c r="H63" s="243"/>
      <c r="I63" s="68"/>
      <c r="J63" s="74">
        <f>'Ocorrências Mensais - FAT'!G82</f>
        <v>2</v>
      </c>
      <c r="K63" s="229">
        <f t="shared" si="2"/>
        <v>19.98</v>
      </c>
      <c r="L63" s="39">
        <f t="shared" si="3"/>
        <v>1</v>
      </c>
      <c r="N63" s="244">
        <v>1.6</v>
      </c>
      <c r="O63" s="39">
        <f>ROUND(IF(Dados!$J$56="SIM",N63*Dados!$N$56,N63),2)</f>
        <v>1.6</v>
      </c>
      <c r="P63" s="39">
        <f>ROUND(IF(Dados!$J$57="SIM",O63*Dados!$N$57,O63),2)</f>
        <v>1.6</v>
      </c>
      <c r="Q63" s="39">
        <f>ROUND(IF(Dados!$J$58="SIM",P63*Dados!$N$58,P63),2)</f>
        <v>1.6</v>
      </c>
      <c r="R63" s="39">
        <f>ROUND(IF(Dados!$J$59="SIM",Q63*Dados!$N$59,Q63),2)</f>
        <v>1.6</v>
      </c>
      <c r="S63" s="81">
        <f>ROUND(IF(Dados!$J$60="SIM",R63*Dados!$N$60,R63),2)</f>
        <v>1.6</v>
      </c>
    </row>
    <row r="64" spans="1:19" ht="45" x14ac:dyDescent="0.25">
      <c r="A64" s="90">
        <v>7</v>
      </c>
      <c r="B64" s="222" t="s">
        <v>481</v>
      </c>
      <c r="C64" s="224" t="s">
        <v>375</v>
      </c>
      <c r="D64" s="224" t="s">
        <v>395</v>
      </c>
      <c r="E64" s="225">
        <v>1</v>
      </c>
      <c r="F64" s="224" t="s">
        <v>391</v>
      </c>
      <c r="G64" s="227">
        <v>10.41</v>
      </c>
      <c r="H64" s="243"/>
      <c r="I64" s="68"/>
      <c r="J64" s="74">
        <f>'Ocorrências Mensais - FAT'!G83</f>
        <v>8.3333333333333329E-2</v>
      </c>
      <c r="K64" s="229">
        <f t="shared" si="2"/>
        <v>0.86749999999999994</v>
      </c>
      <c r="L64" s="39">
        <f t="shared" si="3"/>
        <v>12</v>
      </c>
      <c r="N64" s="244">
        <v>1.3</v>
      </c>
      <c r="O64" s="39">
        <f>ROUND(IF(Dados!$J$56="SIM",N64*Dados!$N$56,N64),2)</f>
        <v>1.3</v>
      </c>
      <c r="P64" s="39">
        <f>ROUND(IF(Dados!$J$57="SIM",O64*Dados!$N$57,O64),2)</f>
        <v>1.3</v>
      </c>
      <c r="Q64" s="39">
        <f>ROUND(IF(Dados!$J$58="SIM",P64*Dados!$N$58,P64),2)</f>
        <v>1.3</v>
      </c>
      <c r="R64" s="39">
        <f>ROUND(IF(Dados!$J$59="SIM",Q64*Dados!$N$59,Q64),2)</f>
        <v>1.3</v>
      </c>
      <c r="S64" s="81">
        <f>ROUND(IF(Dados!$J$60="SIM",R64*Dados!$N$60,R64),2)</f>
        <v>1.3</v>
      </c>
    </row>
    <row r="65" spans="1:19" ht="75" x14ac:dyDescent="0.25">
      <c r="A65" s="90">
        <v>8</v>
      </c>
      <c r="B65" s="222" t="s">
        <v>404</v>
      </c>
      <c r="C65" s="224" t="s">
        <v>375</v>
      </c>
      <c r="D65" s="224" t="s">
        <v>482</v>
      </c>
      <c r="E65" s="225">
        <v>3</v>
      </c>
      <c r="F65" s="224" t="s">
        <v>377</v>
      </c>
      <c r="G65" s="227">
        <v>2.99</v>
      </c>
      <c r="H65" s="243"/>
      <c r="I65" s="68"/>
      <c r="J65" s="74">
        <f>'Ocorrências Mensais - FAT'!G84</f>
        <v>3</v>
      </c>
      <c r="K65" s="229">
        <f t="shared" si="2"/>
        <v>8.9700000000000006</v>
      </c>
      <c r="L65" s="39">
        <f t="shared" si="3"/>
        <v>1</v>
      </c>
      <c r="N65" s="244">
        <v>1.2</v>
      </c>
      <c r="O65" s="39">
        <f>ROUND(IF(Dados!$J$56="SIM",N65*Dados!$N$56,N65),2)</f>
        <v>1.2</v>
      </c>
      <c r="P65" s="39">
        <f>ROUND(IF(Dados!$J$57="SIM",O65*Dados!$N$57,O65),2)</f>
        <v>1.2</v>
      </c>
      <c r="Q65" s="39">
        <f>ROUND(IF(Dados!$J$58="SIM",P65*Dados!$N$58,P65),2)</f>
        <v>1.2</v>
      </c>
      <c r="R65" s="39">
        <f>ROUND(IF(Dados!$J$59="SIM",Q65*Dados!$N$59,Q65),2)</f>
        <v>1.2</v>
      </c>
      <c r="S65" s="81">
        <f>ROUND(IF(Dados!$J$60="SIM",R65*Dados!$N$60,R65),2)</f>
        <v>1.2</v>
      </c>
    </row>
    <row r="66" spans="1:19" ht="60" x14ac:dyDescent="0.25">
      <c r="A66" s="90">
        <v>9</v>
      </c>
      <c r="B66" s="222" t="s">
        <v>483</v>
      </c>
      <c r="C66" s="224" t="s">
        <v>375</v>
      </c>
      <c r="D66" s="224" t="s">
        <v>484</v>
      </c>
      <c r="E66" s="225">
        <v>1</v>
      </c>
      <c r="F66" s="224" t="s">
        <v>386</v>
      </c>
      <c r="G66" s="227">
        <v>28.07</v>
      </c>
      <c r="H66" s="243"/>
      <c r="I66" s="68"/>
      <c r="J66" s="74">
        <f>'Ocorrências Mensais - FAT'!G85</f>
        <v>0.16666666666666666</v>
      </c>
      <c r="K66" s="229">
        <f t="shared" si="2"/>
        <v>4.6783333333333328</v>
      </c>
      <c r="L66" s="39">
        <f t="shared" si="3"/>
        <v>6</v>
      </c>
      <c r="N66" s="244">
        <v>1.4</v>
      </c>
      <c r="O66" s="39">
        <f>ROUND(IF(Dados!$J$56="SIM",N66*Dados!$N$56,N66),2)</f>
        <v>1.4</v>
      </c>
      <c r="P66" s="39">
        <f>ROUND(IF(Dados!$J$57="SIM",O66*Dados!$N$57,O66),2)</f>
        <v>1.4</v>
      </c>
      <c r="Q66" s="39">
        <f>ROUND(IF(Dados!$J$58="SIM",P66*Dados!$N$58,P66),2)</f>
        <v>1.4</v>
      </c>
      <c r="R66" s="39">
        <f>ROUND(IF(Dados!$J$59="SIM",Q66*Dados!$N$59,Q66),2)</f>
        <v>1.4</v>
      </c>
      <c r="S66" s="81">
        <f>ROUND(IF(Dados!$J$60="SIM",R66*Dados!$N$60,R66),2)</f>
        <v>1.4</v>
      </c>
    </row>
    <row r="67" spans="1:19" ht="75" x14ac:dyDescent="0.25">
      <c r="A67" s="39">
        <v>10</v>
      </c>
      <c r="B67" s="222" t="s">
        <v>410</v>
      </c>
      <c r="C67" s="224" t="s">
        <v>375</v>
      </c>
      <c r="D67" s="224" t="s">
        <v>412</v>
      </c>
      <c r="E67" s="225">
        <v>4</v>
      </c>
      <c r="F67" s="224" t="s">
        <v>377</v>
      </c>
      <c r="G67" s="227">
        <v>6.4</v>
      </c>
      <c r="H67" s="243"/>
      <c r="I67" s="68"/>
      <c r="J67" s="74">
        <f>'Ocorrências Mensais - FAT'!G86</f>
        <v>4</v>
      </c>
      <c r="K67" s="229">
        <f t="shared" si="2"/>
        <v>25.6</v>
      </c>
      <c r="L67" s="39">
        <f t="shared" si="3"/>
        <v>1</v>
      </c>
      <c r="N67" s="244">
        <v>1.2</v>
      </c>
      <c r="O67" s="39">
        <f>ROUND(IF(Dados!$J$56="SIM",N67*Dados!$N$56,N67),2)</f>
        <v>1.2</v>
      </c>
      <c r="P67" s="39">
        <f>ROUND(IF(Dados!$J$57="SIM",O67*Dados!$N$57,O67),2)</f>
        <v>1.2</v>
      </c>
      <c r="Q67" s="39">
        <f>ROUND(IF(Dados!$J$58="SIM",P67*Dados!$N$58,P67),2)</f>
        <v>1.2</v>
      </c>
      <c r="R67" s="39">
        <f>ROUND(IF(Dados!$J$59="SIM",Q67*Dados!$N$59,Q67),2)</f>
        <v>1.2</v>
      </c>
      <c r="S67" s="81">
        <f>ROUND(IF(Dados!$J$60="SIM",R67*Dados!$N$60,R67),2)</f>
        <v>1.2</v>
      </c>
    </row>
    <row r="68" spans="1:19" ht="60" x14ac:dyDescent="0.25">
      <c r="A68" s="39">
        <v>11</v>
      </c>
      <c r="B68" s="222" t="s">
        <v>485</v>
      </c>
      <c r="C68" s="224" t="s">
        <v>436</v>
      </c>
      <c r="D68" s="224" t="s">
        <v>414</v>
      </c>
      <c r="E68" s="225">
        <v>2</v>
      </c>
      <c r="F68" s="224" t="s">
        <v>381</v>
      </c>
      <c r="G68" s="227">
        <v>2.94</v>
      </c>
      <c r="H68" s="243"/>
      <c r="I68" s="68"/>
      <c r="J68" s="74">
        <f>'Ocorrências Mensais - FAT'!G87</f>
        <v>0.66666666666666663</v>
      </c>
      <c r="K68" s="229">
        <f t="shared" si="2"/>
        <v>1.96</v>
      </c>
      <c r="L68" s="39">
        <f t="shared" si="3"/>
        <v>3</v>
      </c>
      <c r="N68" s="244"/>
      <c r="O68" s="39"/>
      <c r="P68" s="39"/>
      <c r="Q68" s="39"/>
      <c r="R68" s="39"/>
      <c r="S68" s="81"/>
    </row>
    <row r="69" spans="1:19" ht="150" x14ac:dyDescent="0.25">
      <c r="A69" s="39">
        <v>12</v>
      </c>
      <c r="B69" s="222" t="s">
        <v>417</v>
      </c>
      <c r="C69" s="224" t="s">
        <v>375</v>
      </c>
      <c r="D69" s="224" t="s">
        <v>452</v>
      </c>
      <c r="E69" s="225">
        <v>8</v>
      </c>
      <c r="F69" s="224" t="s">
        <v>377</v>
      </c>
      <c r="G69" s="227">
        <v>4.28</v>
      </c>
      <c r="H69" s="243"/>
      <c r="I69" s="68"/>
      <c r="J69" s="74">
        <f>'Ocorrências Mensais - FAT'!G88</f>
        <v>8</v>
      </c>
      <c r="K69" s="229">
        <f t="shared" si="2"/>
        <v>34.24</v>
      </c>
      <c r="L69" s="39">
        <f t="shared" si="3"/>
        <v>1</v>
      </c>
      <c r="N69" s="244"/>
      <c r="O69" s="39"/>
      <c r="P69" s="39"/>
      <c r="Q69" s="39"/>
      <c r="R69" s="39"/>
      <c r="S69" s="81"/>
    </row>
    <row r="70" spans="1:19" ht="105" x14ac:dyDescent="0.25">
      <c r="A70" s="39">
        <v>13</v>
      </c>
      <c r="B70" s="222" t="s">
        <v>486</v>
      </c>
      <c r="C70" s="224" t="s">
        <v>436</v>
      </c>
      <c r="D70" s="224" t="s">
        <v>487</v>
      </c>
      <c r="E70" s="225">
        <v>3</v>
      </c>
      <c r="F70" s="224" t="s">
        <v>381</v>
      </c>
      <c r="G70" s="227">
        <v>5.95</v>
      </c>
      <c r="H70" s="243"/>
      <c r="I70" s="68"/>
      <c r="J70" s="74">
        <f>'Ocorrências Mensais - FAT'!G89</f>
        <v>1</v>
      </c>
      <c r="K70" s="229">
        <f t="shared" si="2"/>
        <v>5.95</v>
      </c>
      <c r="L70" s="39">
        <f t="shared" si="3"/>
        <v>3</v>
      </c>
      <c r="N70" s="244"/>
      <c r="O70" s="39"/>
      <c r="P70" s="39"/>
      <c r="Q70" s="39"/>
      <c r="R70" s="39"/>
      <c r="S70" s="81"/>
    </row>
    <row r="71" spans="1:19" ht="56.25" customHeight="1" x14ac:dyDescent="0.25">
      <c r="A71" s="39">
        <v>14</v>
      </c>
      <c r="B71" s="222" t="s">
        <v>488</v>
      </c>
      <c r="C71" s="224" t="s">
        <v>436</v>
      </c>
      <c r="D71" s="224" t="s">
        <v>487</v>
      </c>
      <c r="E71" s="225">
        <v>3</v>
      </c>
      <c r="F71" s="224" t="s">
        <v>381</v>
      </c>
      <c r="G71" s="227">
        <v>6.48</v>
      </c>
      <c r="H71" s="243"/>
      <c r="I71" s="68"/>
      <c r="J71" s="74">
        <f>'Ocorrências Mensais - FAT'!G90</f>
        <v>1</v>
      </c>
      <c r="K71" s="229">
        <f t="shared" si="2"/>
        <v>6.48</v>
      </c>
      <c r="L71" s="39">
        <f t="shared" si="3"/>
        <v>3</v>
      </c>
      <c r="N71" s="244"/>
      <c r="O71" s="39"/>
      <c r="P71" s="39"/>
      <c r="Q71" s="39"/>
      <c r="R71" s="39"/>
      <c r="S71" s="81"/>
    </row>
    <row r="72" spans="1:19" ht="150" x14ac:dyDescent="0.25">
      <c r="A72" s="39">
        <v>15</v>
      </c>
      <c r="B72" s="222" t="s">
        <v>387</v>
      </c>
      <c r="C72" s="224" t="s">
        <v>375</v>
      </c>
      <c r="D72" s="224" t="s">
        <v>376</v>
      </c>
      <c r="E72" s="225">
        <v>3</v>
      </c>
      <c r="F72" s="224" t="s">
        <v>381</v>
      </c>
      <c r="G72" s="227">
        <v>5.46</v>
      </c>
      <c r="H72" s="243"/>
      <c r="I72" s="68"/>
      <c r="J72" s="74">
        <f>'Ocorrências Mensais - FAT'!G91</f>
        <v>1</v>
      </c>
      <c r="K72" s="229">
        <f t="shared" si="2"/>
        <v>5.46</v>
      </c>
      <c r="L72" s="39">
        <f t="shared" si="3"/>
        <v>3</v>
      </c>
      <c r="N72" s="244"/>
      <c r="O72" s="39"/>
      <c r="P72" s="39"/>
      <c r="Q72" s="39"/>
      <c r="R72" s="39"/>
      <c r="S72" s="81"/>
    </row>
    <row r="73" spans="1:19" ht="75" x14ac:dyDescent="0.25">
      <c r="A73" s="39">
        <v>16</v>
      </c>
      <c r="B73" s="222" t="s">
        <v>489</v>
      </c>
      <c r="C73" s="224" t="s">
        <v>427</v>
      </c>
      <c r="D73" s="224" t="s">
        <v>428</v>
      </c>
      <c r="E73" s="225">
        <v>1</v>
      </c>
      <c r="F73" s="224" t="s">
        <v>377</v>
      </c>
      <c r="G73" s="227">
        <v>13.38</v>
      </c>
      <c r="H73" s="243"/>
      <c r="I73" s="68"/>
      <c r="J73" s="74">
        <f>'Ocorrências Mensais - FAT'!G92</f>
        <v>1</v>
      </c>
      <c r="K73" s="229">
        <f t="shared" si="2"/>
        <v>13.38</v>
      </c>
      <c r="L73" s="39">
        <f t="shared" si="3"/>
        <v>1</v>
      </c>
      <c r="N73" s="244"/>
      <c r="O73" s="39"/>
      <c r="P73" s="39"/>
      <c r="Q73" s="39"/>
      <c r="R73" s="39"/>
      <c r="S73" s="81"/>
    </row>
    <row r="74" spans="1:19" ht="90" x14ac:dyDescent="0.25">
      <c r="A74" s="90">
        <v>17</v>
      </c>
      <c r="B74" s="222" t="s">
        <v>423</v>
      </c>
      <c r="C74" s="224" t="s">
        <v>375</v>
      </c>
      <c r="D74" s="224" t="s">
        <v>424</v>
      </c>
      <c r="E74" s="225">
        <v>2</v>
      </c>
      <c r="F74" s="224" t="s">
        <v>377</v>
      </c>
      <c r="G74" s="227">
        <v>5.08</v>
      </c>
      <c r="H74" s="243"/>
      <c r="I74" s="68"/>
      <c r="J74" s="74">
        <f>'Ocorrências Mensais - FAT'!G93</f>
        <v>2</v>
      </c>
      <c r="K74" s="229">
        <f t="shared" si="2"/>
        <v>10.16</v>
      </c>
      <c r="L74" s="39">
        <f t="shared" si="3"/>
        <v>1</v>
      </c>
      <c r="N74" s="244">
        <v>1.75</v>
      </c>
      <c r="O74" s="39">
        <f>ROUND(IF(Dados!$J$56="SIM",N74*Dados!$N$56,N74),2)</f>
        <v>1.75</v>
      </c>
      <c r="P74" s="39">
        <f>ROUND(IF(Dados!$J$57="SIM",O74*Dados!$N$57,O74),2)</f>
        <v>1.75</v>
      </c>
      <c r="Q74" s="39">
        <f>ROUND(IF(Dados!$J$58="SIM",P74*Dados!$N$58,P74),2)</f>
        <v>1.75</v>
      </c>
      <c r="R74" s="39">
        <f>ROUND(IF(Dados!$J$59="SIM",Q74*Dados!$N$59,Q74),2)</f>
        <v>1.75</v>
      </c>
      <c r="S74" s="81">
        <f>ROUND(IF(Dados!$J$60="SIM",R74*Dados!$N$60,R74),2)</f>
        <v>1.75</v>
      </c>
    </row>
    <row r="75" spans="1:19" ht="30" x14ac:dyDescent="0.25">
      <c r="A75" s="90">
        <v>18</v>
      </c>
      <c r="B75" s="222" t="s">
        <v>490</v>
      </c>
      <c r="C75" s="224" t="s">
        <v>375</v>
      </c>
      <c r="D75" s="224" t="s">
        <v>428</v>
      </c>
      <c r="E75" s="225">
        <v>1</v>
      </c>
      <c r="F75" s="224" t="s">
        <v>386</v>
      </c>
      <c r="G75" s="227">
        <v>13.09</v>
      </c>
      <c r="H75" s="243"/>
      <c r="I75" s="68"/>
      <c r="J75" s="74">
        <f>'Ocorrências Mensais - FAT'!G94</f>
        <v>0.16666666666666666</v>
      </c>
      <c r="K75" s="229">
        <f t="shared" si="2"/>
        <v>2.1816666666666666</v>
      </c>
      <c r="L75" s="39">
        <f t="shared" si="3"/>
        <v>6</v>
      </c>
      <c r="N75" s="244">
        <v>3.1</v>
      </c>
      <c r="O75" s="39">
        <f>ROUND(IF(Dados!$J$56="SIM",N75*Dados!$N$56,N75),2)</f>
        <v>3.1</v>
      </c>
      <c r="P75" s="39">
        <f>ROUND(IF(Dados!$J$57="SIM",O75*Dados!$N$57,O75),2)</f>
        <v>3.1</v>
      </c>
      <c r="Q75" s="39">
        <f>ROUND(IF(Dados!$J$58="SIM",P75*Dados!$N$58,P75),2)</f>
        <v>3.1</v>
      </c>
      <c r="R75" s="39">
        <f>ROUND(IF(Dados!$J$59="SIM",Q75*Dados!$N$59,Q75),2)</f>
        <v>3.1</v>
      </c>
      <c r="S75" s="81">
        <f>ROUND(IF(Dados!$J$60="SIM",R75*Dados!$N$60,R75),2)</f>
        <v>3.1</v>
      </c>
    </row>
    <row r="76" spans="1:19" x14ac:dyDescent="0.25">
      <c r="A76" s="90">
        <v>19</v>
      </c>
      <c r="B76" s="222" t="s">
        <v>491</v>
      </c>
      <c r="C76" s="224" t="s">
        <v>375</v>
      </c>
      <c r="D76" s="224" t="s">
        <v>492</v>
      </c>
      <c r="E76" s="225">
        <v>5</v>
      </c>
      <c r="F76" s="224" t="s">
        <v>377</v>
      </c>
      <c r="G76" s="227">
        <v>10</v>
      </c>
      <c r="H76" s="243"/>
      <c r="I76" s="68"/>
      <c r="J76" s="74">
        <f>'Ocorrências Mensais - FAT'!G95</f>
        <v>5</v>
      </c>
      <c r="K76" s="229">
        <f t="shared" si="2"/>
        <v>50</v>
      </c>
      <c r="L76" s="39">
        <f t="shared" si="3"/>
        <v>1</v>
      </c>
      <c r="N76" s="244">
        <v>1.8</v>
      </c>
      <c r="O76" s="39">
        <f>ROUND(IF(Dados!$J$56="SIM",N76*Dados!$N$56,N76),2)</f>
        <v>1.8</v>
      </c>
      <c r="P76" s="39">
        <f>ROUND(IF(Dados!$J$57="SIM",O76*Dados!$N$57,O76),2)</f>
        <v>1.8</v>
      </c>
      <c r="Q76" s="39">
        <f>ROUND(IF(Dados!$J$58="SIM",P76*Dados!$N$58,P76),2)</f>
        <v>1.8</v>
      </c>
      <c r="R76" s="39">
        <f>ROUND(IF(Dados!$J$59="SIM",Q76*Dados!$N$59,Q76),2)</f>
        <v>1.8</v>
      </c>
      <c r="S76" s="81">
        <f>ROUND(IF(Dados!$J$60="SIM",R76*Dados!$N$60,R76),2)</f>
        <v>1.8</v>
      </c>
    </row>
    <row r="77" spans="1:19" ht="105" x14ac:dyDescent="0.25">
      <c r="A77" s="90">
        <v>20</v>
      </c>
      <c r="B77" s="222" t="s">
        <v>493</v>
      </c>
      <c r="C77" s="224" t="s">
        <v>375</v>
      </c>
      <c r="D77" s="224" t="s">
        <v>441</v>
      </c>
      <c r="E77" s="225">
        <v>1</v>
      </c>
      <c r="F77" s="224" t="s">
        <v>386</v>
      </c>
      <c r="G77" s="227">
        <v>25.67</v>
      </c>
      <c r="H77" s="243"/>
      <c r="I77" s="68"/>
      <c r="J77" s="74">
        <f>'Ocorrências Mensais - FAT'!G96</f>
        <v>0.16666666666666666</v>
      </c>
      <c r="K77" s="229">
        <f t="shared" si="2"/>
        <v>4.2783333333333333</v>
      </c>
      <c r="L77" s="39">
        <f t="shared" si="3"/>
        <v>6</v>
      </c>
      <c r="N77" s="244">
        <v>2.5</v>
      </c>
      <c r="O77" s="39">
        <f>ROUND(IF(Dados!$J$56="SIM",N77*Dados!$N$56,N77),2)</f>
        <v>2.5</v>
      </c>
      <c r="P77" s="39">
        <f>ROUND(IF(Dados!$J$57="SIM",O77*Dados!$N$57,O77),2)</f>
        <v>2.5</v>
      </c>
      <c r="Q77" s="39">
        <f>ROUND(IF(Dados!$J$58="SIM",P77*Dados!$N$58,P77),2)</f>
        <v>2.5</v>
      </c>
      <c r="R77" s="39">
        <f>ROUND(IF(Dados!$J$59="SIM",Q77*Dados!$N$59,Q77),2)</f>
        <v>2.5</v>
      </c>
      <c r="S77" s="81">
        <f>ROUND(IF(Dados!$J$60="SIM",R77*Dados!$N$60,R77),2)</f>
        <v>2.5</v>
      </c>
    </row>
    <row r="78" spans="1:19" ht="30" x14ac:dyDescent="0.25">
      <c r="A78" s="90">
        <v>21</v>
      </c>
      <c r="B78" s="222" t="s">
        <v>494</v>
      </c>
      <c r="C78" s="224" t="s">
        <v>375</v>
      </c>
      <c r="D78" s="224" t="s">
        <v>444</v>
      </c>
      <c r="E78" s="225">
        <v>1</v>
      </c>
      <c r="F78" s="224" t="s">
        <v>377</v>
      </c>
      <c r="G78" s="227">
        <v>12</v>
      </c>
      <c r="H78" s="243"/>
      <c r="I78" s="68"/>
      <c r="J78" s="74">
        <f>'Ocorrências Mensais - FAT'!G97</f>
        <v>1</v>
      </c>
      <c r="K78" s="229">
        <f t="shared" si="2"/>
        <v>12</v>
      </c>
      <c r="L78" s="39">
        <f t="shared" si="3"/>
        <v>1</v>
      </c>
      <c r="N78" s="244">
        <v>2.5</v>
      </c>
      <c r="O78" s="39">
        <f>ROUND(IF(Dados!$J$56="SIM",N78*Dados!$N$56,N78),2)</f>
        <v>2.5</v>
      </c>
      <c r="P78" s="39">
        <f>ROUND(IF(Dados!$J$57="SIM",O78*Dados!$N$57,O78),2)</f>
        <v>2.5</v>
      </c>
      <c r="Q78" s="39">
        <f>ROUND(IF(Dados!$J$58="SIM",P78*Dados!$N$58,P78),2)</f>
        <v>2.5</v>
      </c>
      <c r="R78" s="39">
        <f>ROUND(IF(Dados!$J$59="SIM",Q78*Dados!$N$59,Q78),2)</f>
        <v>2.5</v>
      </c>
      <c r="S78" s="81">
        <f>ROUND(IF(Dados!$J$60="SIM",R78*Dados!$N$60,R78),2)</f>
        <v>2.5</v>
      </c>
    </row>
    <row r="79" spans="1:19" ht="30" x14ac:dyDescent="0.25">
      <c r="A79" s="90">
        <v>22</v>
      </c>
      <c r="B79" s="222" t="s">
        <v>495</v>
      </c>
      <c r="C79" s="224" t="s">
        <v>375</v>
      </c>
      <c r="D79" s="224" t="s">
        <v>496</v>
      </c>
      <c r="E79" s="225">
        <v>4</v>
      </c>
      <c r="F79" s="224" t="s">
        <v>377</v>
      </c>
      <c r="G79" s="227">
        <v>8.23</v>
      </c>
      <c r="H79" s="243"/>
      <c r="I79" s="68"/>
      <c r="J79" s="74">
        <f>'Ocorrências Mensais - FAT'!G98</f>
        <v>4</v>
      </c>
      <c r="K79" s="229">
        <f t="shared" si="2"/>
        <v>32.92</v>
      </c>
      <c r="L79" s="39">
        <f t="shared" si="3"/>
        <v>1</v>
      </c>
      <c r="N79" s="244">
        <v>4.0999999999999996</v>
      </c>
      <c r="O79" s="39">
        <f>ROUND(IF(Dados!$J$56="SIM",N79*Dados!$N$56,N79),2)</f>
        <v>4.0999999999999996</v>
      </c>
      <c r="P79" s="39">
        <f>ROUND(IF(Dados!$J$57="SIM",O79*Dados!$N$57,O79),2)</f>
        <v>4.0999999999999996</v>
      </c>
      <c r="Q79" s="39">
        <f>ROUND(IF(Dados!$J$58="SIM",P79*Dados!$N$58,P79),2)</f>
        <v>4.0999999999999996</v>
      </c>
      <c r="R79" s="39">
        <f>ROUND(IF(Dados!$J$59="SIM",Q79*Dados!$N$59,Q79),2)</f>
        <v>4.0999999999999996</v>
      </c>
      <c r="S79" s="81">
        <f>ROUND(IF(Dados!$J$60="SIM",R79*Dados!$N$60,R79),2)</f>
        <v>4.0999999999999996</v>
      </c>
    </row>
    <row r="80" spans="1:19" ht="15.75" x14ac:dyDescent="0.25">
      <c r="A80" s="625"/>
      <c r="B80" s="625"/>
      <c r="C80" s="625"/>
      <c r="D80" s="625"/>
      <c r="E80" s="625"/>
      <c r="F80" s="625"/>
      <c r="G80" s="625"/>
      <c r="H80" s="245"/>
      <c r="I80" s="68"/>
      <c r="J80" s="246" t="s">
        <v>189</v>
      </c>
      <c r="K80" s="247">
        <f>SUM(K58:K79)</f>
        <v>347.63916666666665</v>
      </c>
      <c r="L80" s="68"/>
      <c r="N80" s="5"/>
      <c r="O80" s="5"/>
      <c r="P80" s="5"/>
      <c r="Q80" s="5"/>
      <c r="R80" s="5"/>
      <c r="S80" s="5"/>
    </row>
    <row r="81" spans="1:19" ht="31.5" x14ac:dyDescent="0.25">
      <c r="A81" s="237"/>
      <c r="J81" s="239" t="s">
        <v>463</v>
      </c>
      <c r="K81" s="235">
        <f>Dados!B8</f>
        <v>1</v>
      </c>
      <c r="N81" s="5"/>
      <c r="O81" s="5"/>
      <c r="P81" s="5"/>
      <c r="Q81" s="5"/>
      <c r="R81" s="5"/>
      <c r="S81" s="5"/>
    </row>
    <row r="82" spans="1:19" ht="31.5" x14ac:dyDescent="0.25">
      <c r="J82" s="239" t="s">
        <v>464</v>
      </c>
      <c r="K82" s="235">
        <f>K80/K81</f>
        <v>347.63916666666665</v>
      </c>
    </row>
  </sheetData>
  <sheetProtection algorithmName="SHA-512" hashValue="5042M/iSHL2DPGC/zqy3lq0HS2lbA6cvcLQLFYyNzWXjte0+RR9CGe/DKX/L5y9skLXa5q1+mNURvBio1XkbtQ==" saltValue="FSB11+49CRfV610UF/uXSA==" spinCount="100000" sheet="1" objects="1" scenarios="1"/>
  <mergeCells count="15">
    <mergeCell ref="A4:H4"/>
    <mergeCell ref="A5:H5"/>
    <mergeCell ref="N5:S6"/>
    <mergeCell ref="A6:A7"/>
    <mergeCell ref="B6:G6"/>
    <mergeCell ref="H6:H7"/>
    <mergeCell ref="J6:L6"/>
    <mergeCell ref="A80:G80"/>
    <mergeCell ref="A51:G51"/>
    <mergeCell ref="A54:H54"/>
    <mergeCell ref="N54:S56"/>
    <mergeCell ref="A56:A57"/>
    <mergeCell ref="B56:D56"/>
    <mergeCell ref="H56:H57"/>
    <mergeCell ref="J56:L56"/>
  </mergeCells>
  <dataValidations count="1">
    <dataValidation type="list" allowBlank="1" showInputMessage="1" showErrorMessage="1" sqref="F8:F50 F58:F79" xr:uid="{00000000-0002-0000-0400-000000000000}">
      <formula1>"Mensal,Bimestral,Trimestral,Quadrimestral,Semestral,Anual,Bienal"</formula1>
      <formula2>0</formula2>
    </dataValidation>
  </dataValidations>
  <printOptions horizontalCentered="1" verticalCentered="1"/>
  <pageMargins left="0.51180555555555596" right="0.51180555555555596" top="0.78749999999999998" bottom="0.78749999999999998" header="0.511811023622047" footer="0.511811023622047"/>
  <pageSetup paperSize="9" scale="34" fitToHeight="2"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7"/>
  <sheetViews>
    <sheetView showGridLines="0" view="pageBreakPreview" zoomScale="140" zoomScaleNormal="100" zoomScalePageLayoutView="140" workbookViewId="0"/>
  </sheetViews>
  <sheetFormatPr defaultColWidth="8.7109375" defaultRowHeight="15" x14ac:dyDescent="0.25"/>
  <cols>
    <col min="1" max="1" width="5.5703125" style="68" customWidth="1"/>
    <col min="2" max="2" width="64.7109375" style="68" customWidth="1"/>
    <col min="3" max="3" width="7.85546875" style="68" customWidth="1"/>
    <col min="4" max="6" width="13.7109375" style="68" customWidth="1"/>
    <col min="7" max="255" width="9" customWidth="1"/>
    <col min="256" max="256" width="5.5703125" customWidth="1"/>
    <col min="257" max="257" width="45.140625" customWidth="1"/>
    <col min="258" max="258" width="6.28515625" customWidth="1"/>
    <col min="259" max="262" width="13.7109375" customWidth="1"/>
    <col min="263" max="511" width="9" customWidth="1"/>
    <col min="512" max="512" width="5.5703125" customWidth="1"/>
    <col min="513" max="513" width="45.140625" customWidth="1"/>
    <col min="514" max="514" width="6.28515625" customWidth="1"/>
    <col min="515" max="518" width="13.7109375" customWidth="1"/>
    <col min="519" max="767" width="9" customWidth="1"/>
    <col min="768" max="768" width="5.5703125" customWidth="1"/>
    <col min="769" max="769" width="45.140625" customWidth="1"/>
    <col min="770" max="770" width="6.28515625" customWidth="1"/>
    <col min="771" max="774" width="13.7109375" customWidth="1"/>
    <col min="775" max="1024" width="9" customWidth="1"/>
  </cols>
  <sheetData>
    <row r="1" spans="1:6" s="68" customFormat="1" ht="11.25" customHeight="1" x14ac:dyDescent="0.25">
      <c r="A1" s="164"/>
      <c r="B1" s="98" t="str">
        <f>INSTRUÇÕES!B1</f>
        <v>Tribunal Regional Federal da 6ª Região</v>
      </c>
      <c r="C1" s="248"/>
      <c r="D1" s="249"/>
      <c r="E1" s="249"/>
      <c r="F1" s="250"/>
    </row>
    <row r="2" spans="1:6" s="68" customFormat="1" ht="11.25" customHeight="1" x14ac:dyDescent="0.25">
      <c r="A2" s="166"/>
      <c r="B2" s="100" t="str">
        <f>INSTRUÇÕES!B2</f>
        <v>Seção Judiciária de Minas Gerais</v>
      </c>
      <c r="C2" s="251"/>
      <c r="D2" s="252"/>
      <c r="E2" s="252"/>
      <c r="F2" s="253"/>
    </row>
    <row r="3" spans="1:6" s="68" customFormat="1" ht="10.5" customHeight="1" x14ac:dyDescent="0.25">
      <c r="A3" s="168"/>
      <c r="B3" s="100" t="str">
        <f>INSTRUÇÕES!B3</f>
        <v>Subseção Judiciária de Poços de Caldas</v>
      </c>
      <c r="C3" s="251"/>
      <c r="D3" s="252"/>
      <c r="E3" s="252"/>
      <c r="F3" s="253"/>
    </row>
    <row r="4" spans="1:6" s="68" customFormat="1" ht="21.75" customHeight="1" x14ac:dyDescent="0.2">
      <c r="A4" s="636" t="s">
        <v>497</v>
      </c>
      <c r="B4" s="636"/>
      <c r="C4" s="636"/>
      <c r="D4" s="636"/>
      <c r="E4" s="636"/>
      <c r="F4" s="636"/>
    </row>
    <row r="5" spans="1:6" s="68" customFormat="1" ht="26.25" customHeight="1" x14ac:dyDescent="0.2">
      <c r="A5" s="637" t="s">
        <v>366</v>
      </c>
      <c r="B5" s="637"/>
      <c r="C5" s="637"/>
      <c r="D5" s="637"/>
      <c r="E5" s="637"/>
      <c r="F5" s="637"/>
    </row>
    <row r="6" spans="1:6" s="68" customFormat="1" ht="15.75" x14ac:dyDescent="0.2">
      <c r="A6" s="254"/>
      <c r="B6" s="101"/>
      <c r="C6" s="101"/>
      <c r="D6" s="101" t="s">
        <v>498</v>
      </c>
      <c r="E6" s="101"/>
      <c r="F6" s="255"/>
    </row>
    <row r="7" spans="1:6" s="68" customFormat="1" ht="12.75" x14ac:dyDescent="0.2">
      <c r="A7" s="256" t="s">
        <v>499</v>
      </c>
      <c r="B7" s="214" t="s">
        <v>500</v>
      </c>
      <c r="C7" s="214" t="s">
        <v>501</v>
      </c>
      <c r="D7" s="257" t="s">
        <v>502</v>
      </c>
      <c r="E7" s="257" t="s">
        <v>503</v>
      </c>
      <c r="F7" s="258" t="s">
        <v>504</v>
      </c>
    </row>
    <row r="8" spans="1:6" s="68" customFormat="1" ht="12.75" x14ac:dyDescent="0.2">
      <c r="A8" s="638" t="s">
        <v>505</v>
      </c>
      <c r="B8" s="638"/>
      <c r="C8" s="638"/>
      <c r="D8" s="638"/>
      <c r="E8" s="638"/>
      <c r="F8" s="638"/>
    </row>
    <row r="9" spans="1:6" s="68" customFormat="1" ht="12.75" x14ac:dyDescent="0.2">
      <c r="A9" s="259">
        <v>1</v>
      </c>
      <c r="B9" s="260" t="s">
        <v>506</v>
      </c>
      <c r="C9" s="261">
        <v>1</v>
      </c>
      <c r="D9" s="262">
        <v>257.08</v>
      </c>
      <c r="E9" s="263">
        <f>ROUND((D9*C9),2)</f>
        <v>257.08</v>
      </c>
      <c r="F9" s="264">
        <f>ROUND(E9/12,2)</f>
        <v>21.42</v>
      </c>
    </row>
    <row r="10" spans="1:6" s="68" customFormat="1" ht="12.75" x14ac:dyDescent="0.2">
      <c r="A10" s="259">
        <v>2</v>
      </c>
      <c r="B10" s="260" t="s">
        <v>507</v>
      </c>
      <c r="C10" s="261">
        <v>1</v>
      </c>
      <c r="D10" s="262">
        <v>168.66</v>
      </c>
      <c r="E10" s="263">
        <f>ROUND((D10*C10),2)</f>
        <v>168.66</v>
      </c>
      <c r="F10" s="264">
        <f>ROUND(E10/12,2)</f>
        <v>14.06</v>
      </c>
    </row>
    <row r="11" spans="1:6" s="68" customFormat="1" ht="14.25" customHeight="1" x14ac:dyDescent="0.25">
      <c r="A11" s="632" t="s">
        <v>508</v>
      </c>
      <c r="B11" s="632"/>
      <c r="C11" s="632"/>
      <c r="D11" s="632"/>
      <c r="E11" s="632"/>
      <c r="F11" s="264">
        <f>F10+F9</f>
        <v>35.480000000000004</v>
      </c>
    </row>
    <row r="12" spans="1:6" s="68" customFormat="1" ht="14.25" customHeight="1" x14ac:dyDescent="0.25">
      <c r="A12" s="632" t="s">
        <v>509</v>
      </c>
      <c r="B12" s="632"/>
      <c r="C12" s="632"/>
      <c r="D12" s="632"/>
      <c r="E12" s="632"/>
      <c r="F12" s="264">
        <f>Dados!B9</f>
        <v>1</v>
      </c>
    </row>
    <row r="13" spans="1:6" s="68" customFormat="1" ht="15" customHeight="1" x14ac:dyDescent="0.25">
      <c r="A13" s="632" t="s">
        <v>510</v>
      </c>
      <c r="B13" s="632"/>
      <c r="C13" s="632"/>
      <c r="D13" s="632"/>
      <c r="E13" s="632"/>
      <c r="F13" s="265">
        <f>F11/F12</f>
        <v>35.480000000000004</v>
      </c>
    </row>
    <row r="14" spans="1:6" s="68" customFormat="1" ht="25.5" x14ac:dyDescent="0.2">
      <c r="A14" s="266">
        <v>1</v>
      </c>
      <c r="B14" s="267" t="s">
        <v>511</v>
      </c>
      <c r="C14" s="261">
        <v>6</v>
      </c>
      <c r="D14" s="268">
        <v>59.29</v>
      </c>
      <c r="E14" s="269">
        <f>ROUND((D14*C14),2)</f>
        <v>355.74</v>
      </c>
      <c r="F14" s="270">
        <f>ROUND(E14/12,2)</f>
        <v>29.65</v>
      </c>
    </row>
    <row r="15" spans="1:6" s="68" customFormat="1" ht="15.75" customHeight="1" x14ac:dyDescent="0.2">
      <c r="A15" s="633" t="s">
        <v>512</v>
      </c>
      <c r="B15" s="633"/>
      <c r="C15" s="633"/>
      <c r="D15" s="633"/>
      <c r="E15" s="633"/>
      <c r="F15" s="271">
        <f>F14</f>
        <v>29.65</v>
      </c>
    </row>
    <row r="16" spans="1:6" ht="14.25" customHeight="1" x14ac:dyDescent="0.25">
      <c r="A16" s="634" t="s">
        <v>509</v>
      </c>
      <c r="B16" s="634"/>
      <c r="C16" s="634"/>
      <c r="D16" s="634"/>
      <c r="E16" s="634"/>
      <c r="F16" s="272">
        <f>Dados!B7+Dados!B8+Dados!B9</f>
        <v>3</v>
      </c>
    </row>
    <row r="17" spans="1:6" ht="15" customHeight="1" x14ac:dyDescent="0.25">
      <c r="A17" s="635" t="s">
        <v>510</v>
      </c>
      <c r="B17" s="635"/>
      <c r="C17" s="635"/>
      <c r="D17" s="635"/>
      <c r="E17" s="635"/>
      <c r="F17" s="273">
        <f>F15/F16</f>
        <v>9.8833333333333329</v>
      </c>
    </row>
  </sheetData>
  <sheetProtection algorithmName="SHA-512" hashValue="Ki7JcU8jTU9kq7DGlDLPrG+ryqk6B78EGBIn2SP/5vb3cROMyrV7hekORn7ThGwh4iuGz4aj+20Fq+PLX5weTw==" saltValue="NNdAzPfmZhzW7b9kOx2Eng==" spinCount="100000" sheet="1" objects="1" scenarios="1"/>
  <mergeCells count="9">
    <mergeCell ref="A13:E13"/>
    <mergeCell ref="A15:E15"/>
    <mergeCell ref="A16:E16"/>
    <mergeCell ref="A17:E17"/>
    <mergeCell ref="A4:F4"/>
    <mergeCell ref="A5:F5"/>
    <mergeCell ref="A8:F8"/>
    <mergeCell ref="A11:E11"/>
    <mergeCell ref="A12:E12"/>
  </mergeCells>
  <printOptions horizontalCentered="1" verticalCentered="1"/>
  <pageMargins left="0.51180555555555596" right="0.51180555555555596" top="0.78749999999999998" bottom="0.78749999999999998" header="0.511811023622047" footer="0.511811023622047"/>
  <pageSetup paperSize="9" scale="77" fitToHeight="2"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8"/>
  <sheetViews>
    <sheetView showGridLines="0" view="pageBreakPreview" zoomScaleNormal="100" workbookViewId="0"/>
  </sheetViews>
  <sheetFormatPr defaultColWidth="8.7109375" defaultRowHeight="15" x14ac:dyDescent="0.25"/>
  <cols>
    <col min="1" max="1" width="5.5703125" style="68" customWidth="1"/>
    <col min="2" max="2" width="64.7109375" style="68" customWidth="1"/>
    <col min="3" max="3" width="7.85546875" style="68" customWidth="1"/>
    <col min="4" max="7" width="13.7109375" style="68" customWidth="1"/>
    <col min="8" max="256" width="9" customWidth="1"/>
    <col min="257" max="257" width="5.5703125" customWidth="1"/>
    <col min="258" max="258" width="45.140625" customWidth="1"/>
    <col min="259" max="259" width="6.28515625" customWidth="1"/>
    <col min="260" max="263" width="13.7109375" customWidth="1"/>
    <col min="264" max="512" width="9" customWidth="1"/>
    <col min="513" max="513" width="5.5703125" customWidth="1"/>
    <col min="514" max="514" width="45.140625" customWidth="1"/>
    <col min="515" max="515" width="6.28515625" customWidth="1"/>
    <col min="516" max="519" width="13.7109375" customWidth="1"/>
    <col min="520" max="768" width="9" customWidth="1"/>
    <col min="769" max="769" width="5.5703125" customWidth="1"/>
    <col min="770" max="770" width="45.140625" customWidth="1"/>
    <col min="771" max="771" width="6.28515625" customWidth="1"/>
    <col min="772" max="775" width="13.7109375" customWidth="1"/>
    <col min="776" max="1025" width="9" customWidth="1"/>
  </cols>
  <sheetData>
    <row r="1" spans="1:7" s="68" customFormat="1" ht="11.25" customHeight="1" x14ac:dyDescent="0.25">
      <c r="A1" s="164"/>
      <c r="B1" s="98" t="str">
        <f>INSTRUÇÕES!B1</f>
        <v>Tribunal Regional Federal da 6ª Região</v>
      </c>
      <c r="C1" s="248"/>
      <c r="D1" s="249"/>
      <c r="E1" s="249"/>
      <c r="F1" s="249"/>
      <c r="G1" s="250"/>
    </row>
    <row r="2" spans="1:7" s="68" customFormat="1" ht="11.25" customHeight="1" x14ac:dyDescent="0.25">
      <c r="A2" s="166"/>
      <c r="B2" s="100" t="str">
        <f>INSTRUÇÕES!B2</f>
        <v>Seção Judiciária de Minas Gerais</v>
      </c>
      <c r="C2" s="251"/>
      <c r="D2" s="252"/>
      <c r="E2" s="252"/>
      <c r="F2" s="252"/>
      <c r="G2" s="253"/>
    </row>
    <row r="3" spans="1:7" s="68" customFormat="1" ht="10.5" customHeight="1" x14ac:dyDescent="0.25">
      <c r="A3" s="168"/>
      <c r="B3" s="100" t="str">
        <f>INSTRUÇÕES!B3</f>
        <v>Subseção Judiciária de Poços de Caldas</v>
      </c>
      <c r="C3" s="251"/>
      <c r="D3" s="252"/>
      <c r="E3" s="252"/>
      <c r="F3" s="252"/>
      <c r="G3" s="253"/>
    </row>
    <row r="4" spans="1:7" s="68" customFormat="1" ht="21.75" customHeight="1" x14ac:dyDescent="0.2">
      <c r="A4" s="636" t="s">
        <v>513</v>
      </c>
      <c r="B4" s="636"/>
      <c r="C4" s="636"/>
      <c r="D4" s="636"/>
      <c r="E4" s="636"/>
      <c r="F4" s="636"/>
      <c r="G4" s="636"/>
    </row>
    <row r="5" spans="1:7" s="68" customFormat="1" ht="26.25" customHeight="1" x14ac:dyDescent="0.2">
      <c r="A5" s="637" t="s">
        <v>366</v>
      </c>
      <c r="B5" s="637"/>
      <c r="C5" s="637"/>
      <c r="D5" s="637"/>
      <c r="E5" s="637"/>
      <c r="F5" s="637"/>
      <c r="G5" s="637"/>
    </row>
    <row r="6" spans="1:7" s="68" customFormat="1" ht="15.75" x14ac:dyDescent="0.2">
      <c r="A6" s="254"/>
      <c r="B6" s="101"/>
      <c r="C6" s="101"/>
      <c r="D6" s="101" t="s">
        <v>498</v>
      </c>
      <c r="E6" s="101"/>
      <c r="G6" s="255">
        <v>0.1</v>
      </c>
    </row>
    <row r="7" spans="1:7" s="68" customFormat="1" ht="25.5" x14ac:dyDescent="0.2">
      <c r="A7" s="256" t="s">
        <v>499</v>
      </c>
      <c r="B7" s="214" t="s">
        <v>500</v>
      </c>
      <c r="C7" s="214" t="s">
        <v>501</v>
      </c>
      <c r="D7" s="257" t="s">
        <v>502</v>
      </c>
      <c r="E7" s="257" t="s">
        <v>503</v>
      </c>
      <c r="F7" s="257" t="s">
        <v>514</v>
      </c>
      <c r="G7" s="258" t="s">
        <v>504</v>
      </c>
    </row>
    <row r="8" spans="1:7" s="68" customFormat="1" ht="12.75" x14ac:dyDescent="0.2">
      <c r="A8" s="638" t="s">
        <v>515</v>
      </c>
      <c r="B8" s="638"/>
      <c r="C8" s="638"/>
      <c r="D8" s="638"/>
      <c r="E8" s="638"/>
      <c r="F8" s="638"/>
      <c r="G8" s="638"/>
    </row>
    <row r="9" spans="1:7" s="68" customFormat="1" ht="39" customHeight="1" x14ac:dyDescent="0.2">
      <c r="A9" s="259">
        <v>1</v>
      </c>
      <c r="B9" s="83" t="s">
        <v>516</v>
      </c>
      <c r="C9" s="261">
        <v>1</v>
      </c>
      <c r="D9" s="262">
        <v>598.49</v>
      </c>
      <c r="E9" s="263">
        <f t="shared" ref="E9:E15" si="0">ROUND((D9*C9),2)</f>
        <v>598.49</v>
      </c>
      <c r="F9" s="263">
        <f t="shared" ref="F9:F15" si="1">ROUND(E9*$G$6,2)</f>
        <v>59.85</v>
      </c>
      <c r="G9" s="264">
        <f t="shared" ref="G9:G15" si="2">ROUND(F9/12,2)</f>
        <v>4.99</v>
      </c>
    </row>
    <row r="10" spans="1:7" s="68" customFormat="1" ht="38.25" x14ac:dyDescent="0.2">
      <c r="A10" s="259">
        <v>2</v>
      </c>
      <c r="B10" s="83" t="s">
        <v>517</v>
      </c>
      <c r="C10" s="261">
        <v>1</v>
      </c>
      <c r="D10" s="262">
        <v>834.47</v>
      </c>
      <c r="E10" s="263">
        <f t="shared" si="0"/>
        <v>834.47</v>
      </c>
      <c r="F10" s="263">
        <f t="shared" si="1"/>
        <v>83.45</v>
      </c>
      <c r="G10" s="264">
        <f t="shared" si="2"/>
        <v>6.95</v>
      </c>
    </row>
    <row r="11" spans="1:7" s="68" customFormat="1" ht="15" customHeight="1" x14ac:dyDescent="0.2">
      <c r="A11" s="259">
        <v>3</v>
      </c>
      <c r="B11" s="274" t="s">
        <v>518</v>
      </c>
      <c r="C11" s="261">
        <v>1</v>
      </c>
      <c r="D11" s="275">
        <v>557.5</v>
      </c>
      <c r="E11" s="263">
        <f t="shared" si="0"/>
        <v>557.5</v>
      </c>
      <c r="F11" s="263">
        <f t="shared" si="1"/>
        <v>55.75</v>
      </c>
      <c r="G11" s="264">
        <f t="shared" si="2"/>
        <v>4.6500000000000004</v>
      </c>
    </row>
    <row r="12" spans="1:7" s="68" customFormat="1" ht="12.75" x14ac:dyDescent="0.2">
      <c r="A12" s="259">
        <v>4</v>
      </c>
      <c r="B12" s="260" t="s">
        <v>519</v>
      </c>
      <c r="C12" s="261">
        <v>1</v>
      </c>
      <c r="D12" s="276">
        <v>28.72</v>
      </c>
      <c r="E12" s="263">
        <f t="shared" si="0"/>
        <v>28.72</v>
      </c>
      <c r="F12" s="263">
        <f t="shared" si="1"/>
        <v>2.87</v>
      </c>
      <c r="G12" s="264">
        <f t="shared" si="2"/>
        <v>0.24</v>
      </c>
    </row>
    <row r="13" spans="1:7" s="68" customFormat="1" ht="12.75" x14ac:dyDescent="0.2">
      <c r="A13" s="259">
        <v>5</v>
      </c>
      <c r="B13" s="277" t="s">
        <v>520</v>
      </c>
      <c r="C13" s="278">
        <v>1</v>
      </c>
      <c r="D13" s="276">
        <v>57.33</v>
      </c>
      <c r="E13" s="263">
        <f t="shared" si="0"/>
        <v>57.33</v>
      </c>
      <c r="F13" s="263">
        <f t="shared" si="1"/>
        <v>5.73</v>
      </c>
      <c r="G13" s="264">
        <f t="shared" si="2"/>
        <v>0.48</v>
      </c>
    </row>
    <row r="14" spans="1:7" s="68" customFormat="1" ht="51" x14ac:dyDescent="0.2">
      <c r="A14" s="259">
        <v>6</v>
      </c>
      <c r="B14" s="277" t="s">
        <v>521</v>
      </c>
      <c r="C14" s="278">
        <v>1</v>
      </c>
      <c r="D14" s="276">
        <v>264.2</v>
      </c>
      <c r="E14" s="263">
        <f t="shared" si="0"/>
        <v>264.2</v>
      </c>
      <c r="F14" s="263">
        <f t="shared" si="1"/>
        <v>26.42</v>
      </c>
      <c r="G14" s="264">
        <f t="shared" si="2"/>
        <v>2.2000000000000002</v>
      </c>
    </row>
    <row r="15" spans="1:7" s="68" customFormat="1" ht="25.5" x14ac:dyDescent="0.2">
      <c r="A15" s="259">
        <v>7</v>
      </c>
      <c r="B15" s="277" t="s">
        <v>522</v>
      </c>
      <c r="C15" s="278">
        <v>1</v>
      </c>
      <c r="D15" s="276">
        <v>735.76</v>
      </c>
      <c r="E15" s="263">
        <f t="shared" si="0"/>
        <v>735.76</v>
      </c>
      <c r="F15" s="263">
        <f t="shared" si="1"/>
        <v>73.58</v>
      </c>
      <c r="G15" s="264">
        <f t="shared" si="2"/>
        <v>6.13</v>
      </c>
    </row>
    <row r="16" spans="1:7" s="68" customFormat="1" ht="15" customHeight="1" x14ac:dyDescent="0.2">
      <c r="A16" s="639" t="s">
        <v>523</v>
      </c>
      <c r="B16" s="639"/>
      <c r="C16" s="639"/>
      <c r="D16" s="639"/>
      <c r="E16" s="639"/>
      <c r="F16" s="639"/>
      <c r="G16" s="270">
        <f>SUM(G9:G15)</f>
        <v>25.64</v>
      </c>
    </row>
    <row r="17" spans="1:7" s="68" customFormat="1" ht="15" customHeight="1" x14ac:dyDescent="0.2">
      <c r="A17" s="639" t="s">
        <v>524</v>
      </c>
      <c r="B17" s="639"/>
      <c r="C17" s="639"/>
      <c r="D17" s="639"/>
      <c r="E17" s="639"/>
      <c r="F17" s="639"/>
      <c r="G17" s="270">
        <f>Dados!B9</f>
        <v>1</v>
      </c>
    </row>
    <row r="18" spans="1:7" s="68" customFormat="1" ht="15.75" customHeight="1" x14ac:dyDescent="0.2">
      <c r="A18" s="639" t="s">
        <v>523</v>
      </c>
      <c r="B18" s="639"/>
      <c r="C18" s="639"/>
      <c r="D18" s="639"/>
      <c r="E18" s="639"/>
      <c r="F18" s="639"/>
      <c r="G18" s="279">
        <f>G16/G17</f>
        <v>25.64</v>
      </c>
    </row>
  </sheetData>
  <sheetProtection algorithmName="SHA-512" hashValue="LFN3DzR54A7H6xf8dAMkPaLy1tkfR5xajRjG9fg4CLSRVlw1dLTcQoIZgJ/DJCgL9/g0n6xmyWUPQ91xmJZIZA==" saltValue="e0Y/fgBPcqddck/+K1uZhA==" spinCount="100000" sheet="1" objects="1" scenarios="1"/>
  <mergeCells count="6">
    <mergeCell ref="A18:F18"/>
    <mergeCell ref="A4:G4"/>
    <mergeCell ref="A5:G5"/>
    <mergeCell ref="A8:G8"/>
    <mergeCell ref="A16:F16"/>
    <mergeCell ref="A17:F17"/>
  </mergeCells>
  <printOptions horizontalCentered="1" verticalCentered="1"/>
  <pageMargins left="0.51180555555555596" right="0.51180555555555596" top="0.78749999999999998" bottom="0.78749999999999998" header="0.511811023622047" footer="0.511811023622047"/>
  <pageSetup paperSize="9" scale="69" fitToHeight="2"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6"/>
  <sheetViews>
    <sheetView showGridLines="0" view="pageBreakPreview" zoomScale="140" zoomScaleNormal="100" zoomScalePageLayoutView="140" workbookViewId="0"/>
  </sheetViews>
  <sheetFormatPr defaultColWidth="8.7109375" defaultRowHeight="15" x14ac:dyDescent="0.25"/>
  <cols>
    <col min="1" max="1" width="13.28515625" style="5" customWidth="1"/>
    <col min="2" max="2" width="10.140625" style="4" customWidth="1"/>
    <col min="3" max="3" width="7.28515625" style="280" customWidth="1"/>
    <col min="4" max="4" width="56.140625" style="3" customWidth="1"/>
    <col min="5" max="5" width="9.28515625" style="3" customWidth="1"/>
    <col min="6" max="6" width="14.85546875" style="280" customWidth="1"/>
    <col min="7" max="7" width="12.42578125" style="281" customWidth="1"/>
    <col min="8" max="8" width="10.85546875" style="282" customWidth="1"/>
    <col min="9" max="9" width="9" customWidth="1"/>
    <col min="10" max="10" width="16.42578125" style="283" hidden="1" customWidth="1"/>
    <col min="11" max="15" width="11.28515625" style="283" hidden="1" customWidth="1"/>
    <col min="16" max="254" width="9" customWidth="1"/>
    <col min="255" max="255" width="13.28515625" customWidth="1"/>
    <col min="256" max="256" width="7.7109375" customWidth="1"/>
    <col min="257" max="257" width="6.140625" customWidth="1"/>
    <col min="258" max="258" width="56.140625" customWidth="1"/>
    <col min="259" max="259" width="9.28515625" customWidth="1"/>
    <col min="260" max="261" width="12.42578125" customWidth="1"/>
    <col min="262" max="262" width="10.85546875" customWidth="1"/>
    <col min="263" max="265" width="9" customWidth="1"/>
    <col min="266" max="266" width="11.42578125" customWidth="1"/>
    <col min="267" max="271" width="11.28515625" customWidth="1"/>
    <col min="272" max="510" width="9" customWidth="1"/>
    <col min="511" max="511" width="13.28515625" customWidth="1"/>
    <col min="512" max="512" width="7.7109375" customWidth="1"/>
    <col min="513" max="513" width="6.140625" customWidth="1"/>
    <col min="514" max="514" width="56.140625" customWidth="1"/>
    <col min="515" max="515" width="9.28515625" customWidth="1"/>
    <col min="516" max="517" width="12.42578125" customWidth="1"/>
    <col min="518" max="518" width="10.85546875" customWidth="1"/>
    <col min="519" max="521" width="9" customWidth="1"/>
    <col min="522" max="522" width="11.42578125" customWidth="1"/>
    <col min="523" max="527" width="11.28515625" customWidth="1"/>
    <col min="528" max="766" width="9" customWidth="1"/>
    <col min="767" max="767" width="13.28515625" customWidth="1"/>
    <col min="768" max="768" width="7.7109375" customWidth="1"/>
    <col min="769" max="769" width="6.140625" customWidth="1"/>
    <col min="770" max="770" width="56.140625" customWidth="1"/>
    <col min="771" max="771" width="9.28515625" customWidth="1"/>
    <col min="772" max="773" width="12.42578125" customWidth="1"/>
    <col min="774" max="774" width="10.85546875" customWidth="1"/>
    <col min="775" max="777" width="9" customWidth="1"/>
    <col min="778" max="778" width="11.42578125" customWidth="1"/>
    <col min="779" max="783" width="11.28515625" customWidth="1"/>
    <col min="784" max="1022" width="9" customWidth="1"/>
    <col min="1023" max="1023" width="13.28515625" customWidth="1"/>
    <col min="1024" max="1025" width="7.7109375" customWidth="1"/>
  </cols>
  <sheetData>
    <row r="1" spans="1:16" s="3" customFormat="1" ht="12.75" customHeight="1" x14ac:dyDescent="0.25">
      <c r="A1" s="284"/>
      <c r="B1" s="285" t="str">
        <f>INSTRUÇÕES!B1</f>
        <v>Tribunal Regional Federal da 6ª Região</v>
      </c>
      <c r="C1" s="286"/>
      <c r="D1" s="287"/>
      <c r="E1" s="288"/>
      <c r="F1" s="289"/>
      <c r="G1" s="290"/>
      <c r="H1" s="291"/>
      <c r="J1" s="647" t="s">
        <v>367</v>
      </c>
      <c r="K1" s="647"/>
      <c r="L1" s="647"/>
      <c r="M1" s="647"/>
      <c r="N1" s="647"/>
      <c r="O1" s="647"/>
    </row>
    <row r="2" spans="1:16" s="3" customFormat="1" ht="12.75" customHeight="1" x14ac:dyDescent="0.25">
      <c r="A2" s="292"/>
      <c r="B2" s="293" t="str">
        <f>INSTRUÇÕES!B2</f>
        <v>Seção Judiciária de Minas Gerais</v>
      </c>
      <c r="C2" s="294"/>
      <c r="D2" s="295"/>
      <c r="F2" s="280"/>
      <c r="G2" s="281"/>
      <c r="H2" s="296"/>
      <c r="J2" s="647"/>
      <c r="K2" s="647"/>
      <c r="L2" s="647"/>
      <c r="M2" s="647"/>
      <c r="N2" s="647"/>
      <c r="O2" s="647"/>
    </row>
    <row r="3" spans="1:16" s="116" customFormat="1" x14ac:dyDescent="0.25">
      <c r="A3" s="292"/>
      <c r="B3" s="297" t="str">
        <f>INSTRUÇÕES!B3</f>
        <v>Subseção Judiciária de Poços de Caldas</v>
      </c>
      <c r="C3" s="298"/>
      <c r="D3" s="299"/>
      <c r="F3" s="300"/>
      <c r="G3" s="301"/>
      <c r="H3" s="302"/>
      <c r="J3" s="647"/>
      <c r="K3" s="647"/>
      <c r="L3" s="647"/>
      <c r="M3" s="647"/>
      <c r="N3" s="647"/>
      <c r="O3" s="647"/>
    </row>
    <row r="4" spans="1:16" s="252" customFormat="1" ht="15.75" x14ac:dyDescent="0.25">
      <c r="A4" s="648" t="s">
        <v>525</v>
      </c>
      <c r="B4" s="648"/>
      <c r="C4" s="648"/>
      <c r="D4" s="648"/>
      <c r="E4" s="648"/>
      <c r="F4" s="648"/>
      <c r="G4" s="648"/>
      <c r="H4" s="648"/>
      <c r="J4" s="647"/>
      <c r="K4" s="647"/>
      <c r="L4" s="647"/>
      <c r="M4" s="647"/>
      <c r="N4" s="647"/>
      <c r="O4" s="647"/>
    </row>
    <row r="5" spans="1:16" s="3" customFormat="1" ht="27" customHeight="1" x14ac:dyDescent="0.25">
      <c r="A5" s="649" t="s">
        <v>366</v>
      </c>
      <c r="B5" s="649"/>
      <c r="C5" s="649"/>
      <c r="D5" s="649"/>
      <c r="E5" s="649"/>
      <c r="F5" s="649"/>
      <c r="G5" s="649"/>
      <c r="H5" s="649"/>
      <c r="J5" s="650" t="s">
        <v>373</v>
      </c>
      <c r="K5" s="570" t="s">
        <v>274</v>
      </c>
      <c r="L5" s="570" t="s">
        <v>275</v>
      </c>
      <c r="M5" s="570" t="s">
        <v>276</v>
      </c>
      <c r="N5" s="570" t="s">
        <v>277</v>
      </c>
      <c r="O5" s="570" t="s">
        <v>278</v>
      </c>
    </row>
    <row r="6" spans="1:16" s="3" customFormat="1" ht="15.75" customHeight="1" x14ac:dyDescent="0.25">
      <c r="A6" s="651" t="s">
        <v>526</v>
      </c>
      <c r="B6" s="651"/>
      <c r="C6" s="651"/>
      <c r="D6" s="651"/>
      <c r="E6" s="651"/>
      <c r="F6" s="651"/>
      <c r="G6" s="651"/>
      <c r="H6" s="651"/>
      <c r="J6" s="650"/>
      <c r="K6" s="570"/>
      <c r="L6" s="570"/>
      <c r="M6" s="570"/>
      <c r="N6" s="570"/>
      <c r="O6" s="570"/>
    </row>
    <row r="7" spans="1:16" s="3" customFormat="1" ht="15.75" customHeight="1" x14ac:dyDescent="0.25">
      <c r="A7" s="303"/>
      <c r="B7" s="304"/>
      <c r="C7" s="305"/>
      <c r="D7" s="304"/>
      <c r="E7" s="304"/>
      <c r="F7" s="305"/>
      <c r="G7" s="306"/>
      <c r="H7" s="307"/>
      <c r="J7" s="650"/>
      <c r="K7" s="570"/>
      <c r="L7" s="570"/>
      <c r="M7" s="570"/>
      <c r="N7" s="570"/>
      <c r="O7" s="570"/>
    </row>
    <row r="8" spans="1:16" s="3" customFormat="1" ht="25.5" x14ac:dyDescent="0.25">
      <c r="A8" s="308" t="s">
        <v>527</v>
      </c>
      <c r="B8" s="308" t="s">
        <v>252</v>
      </c>
      <c r="C8" s="308" t="s">
        <v>528</v>
      </c>
      <c r="D8" s="308" t="s">
        <v>529</v>
      </c>
      <c r="E8" s="308" t="s">
        <v>530</v>
      </c>
      <c r="F8" s="308" t="s">
        <v>531</v>
      </c>
      <c r="G8" s="308" t="s">
        <v>532</v>
      </c>
      <c r="H8" s="308" t="s">
        <v>189</v>
      </c>
      <c r="J8" s="650"/>
      <c r="K8" s="570"/>
      <c r="L8" s="570"/>
      <c r="M8" s="570"/>
      <c r="N8" s="570"/>
      <c r="O8" s="570"/>
      <c r="P8" s="160"/>
    </row>
    <row r="9" spans="1:16" s="116" customFormat="1" ht="108.75" customHeight="1" x14ac:dyDescent="0.25">
      <c r="A9" s="642" t="s">
        <v>533</v>
      </c>
      <c r="B9" s="39" t="s">
        <v>534</v>
      </c>
      <c r="C9" s="309">
        <v>2</v>
      </c>
      <c r="D9" s="310" t="s">
        <v>535</v>
      </c>
      <c r="E9" s="224" t="s">
        <v>536</v>
      </c>
      <c r="F9" s="311">
        <f>C9*$A$12</f>
        <v>4</v>
      </c>
      <c r="G9" s="312">
        <v>74.099999999999994</v>
      </c>
      <c r="H9" s="313">
        <f>ROUND(F9*G9,2)</f>
        <v>296.39999999999998</v>
      </c>
      <c r="J9" s="314">
        <v>25.8</v>
      </c>
      <c r="K9" s="39">
        <f>ROUND(IF(Dados!$I$60="SIM",J9*Dados!$N$60,J9),2)</f>
        <v>25.8</v>
      </c>
      <c r="L9" s="39">
        <f>ROUND(IF(Dados!$I$61="SIM",K9*Dados!$N$61,K9),2)</f>
        <v>25.8</v>
      </c>
      <c r="M9" s="39">
        <f>ROUND(IF(Dados!$I$62="SIM",L9*Dados!$N$62,L9),2)</f>
        <v>25.8</v>
      </c>
      <c r="N9" s="39">
        <f>ROUND(IF(Dados!$I$63="SIM",M9*Dados!$N$63,M9),2)</f>
        <v>25.8</v>
      </c>
      <c r="O9" s="39">
        <f>ROUND(IF(Dados!$I$64="SIM",N9*Dados!$N$64,N9),2)</f>
        <v>25.8</v>
      </c>
    </row>
    <row r="10" spans="1:16" s="116" customFormat="1" ht="102" x14ac:dyDescent="0.2">
      <c r="A10" s="642"/>
      <c r="B10" s="39" t="s">
        <v>537</v>
      </c>
      <c r="C10" s="309">
        <v>3</v>
      </c>
      <c r="D10" s="260" t="s">
        <v>538</v>
      </c>
      <c r="E10" s="74" t="s">
        <v>539</v>
      </c>
      <c r="F10" s="311">
        <f>C10*$A$12</f>
        <v>6</v>
      </c>
      <c r="G10" s="312">
        <v>32.65</v>
      </c>
      <c r="H10" s="313">
        <f>ROUND(F10*G10,2)</f>
        <v>195.9</v>
      </c>
      <c r="J10" s="314">
        <v>19.989999999999998</v>
      </c>
      <c r="K10" s="39">
        <f>ROUND(IF(Dados!$I$60="SIM",J10*Dados!$N$60,J10),2)</f>
        <v>19.989999999999998</v>
      </c>
      <c r="L10" s="39">
        <f>ROUND(IF(Dados!$I$61="SIM",K10*Dados!$N$61,K10),2)</f>
        <v>19.989999999999998</v>
      </c>
      <c r="M10" s="39">
        <f>ROUND(IF(Dados!$I$62="SIM",L10*Dados!$N$62,L10),2)</f>
        <v>19.989999999999998</v>
      </c>
      <c r="N10" s="39">
        <f>ROUND(IF(Dados!$I$63="SIM",M10*Dados!$N$63,M10),2)</f>
        <v>19.989999999999998</v>
      </c>
      <c r="O10" s="39">
        <f>ROUND(IF(Dados!$I$64="SIM",N10*Dados!$N$64,N10),2)</f>
        <v>19.989999999999998</v>
      </c>
    </row>
    <row r="11" spans="1:16" s="116" customFormat="1" ht="114.75" x14ac:dyDescent="0.2">
      <c r="A11" s="315" t="s">
        <v>540</v>
      </c>
      <c r="B11" s="41" t="s">
        <v>541</v>
      </c>
      <c r="C11" s="309">
        <v>2</v>
      </c>
      <c r="D11" s="316" t="s">
        <v>542</v>
      </c>
      <c r="E11" s="224" t="s">
        <v>539</v>
      </c>
      <c r="F11" s="311">
        <f>C11*$A$12</f>
        <v>4</v>
      </c>
      <c r="G11" s="312">
        <v>66.540000000000006</v>
      </c>
      <c r="H11" s="313">
        <f>ROUND(F11*G11,2)</f>
        <v>266.16000000000003</v>
      </c>
      <c r="J11" s="314">
        <v>39.9</v>
      </c>
      <c r="K11" s="39">
        <f>ROUND(IF(Dados!$I$60="SIM",J11*Dados!$N$60,J11),2)</f>
        <v>39.9</v>
      </c>
      <c r="L11" s="39">
        <f>ROUND(IF(Dados!$I$61="SIM",K11*Dados!$N$61,K11),2)</f>
        <v>39.9</v>
      </c>
      <c r="M11" s="39">
        <f>ROUND(IF(Dados!$I$62="SIM",L11*Dados!$N$62,L11),2)</f>
        <v>39.9</v>
      </c>
      <c r="N11" s="39">
        <f>ROUND(IF(Dados!$I$63="SIM",M11*Dados!$N$63,M11),2)</f>
        <v>39.9</v>
      </c>
      <c r="O11" s="39">
        <f>ROUND(IF(Dados!$I$64="SIM",N11*Dados!$N$64,N11),2)</f>
        <v>39.9</v>
      </c>
    </row>
    <row r="12" spans="1:16" s="116" customFormat="1" ht="127.5" x14ac:dyDescent="0.25">
      <c r="A12" s="317">
        <f>Dados!B7+Dados!B8</f>
        <v>2</v>
      </c>
      <c r="B12" s="39" t="s">
        <v>543</v>
      </c>
      <c r="C12" s="309">
        <v>1</v>
      </c>
      <c r="D12" s="318" t="s">
        <v>544</v>
      </c>
      <c r="E12" s="224" t="s">
        <v>539</v>
      </c>
      <c r="F12" s="311">
        <f>C12*$A$12</f>
        <v>2</v>
      </c>
      <c r="G12" s="312">
        <v>275.89999999999998</v>
      </c>
      <c r="H12" s="313">
        <f>ROUND(F12*G12,2)</f>
        <v>551.79999999999995</v>
      </c>
      <c r="J12" s="314">
        <v>45</v>
      </c>
      <c r="K12" s="39">
        <f>ROUND(IF(Dados!$I$60="SIM",J12*Dados!$N$60,J12),2)</f>
        <v>45</v>
      </c>
      <c r="L12" s="39">
        <f>ROUND(IF(Dados!$I$61="SIM",K12*Dados!$N$61,K12),2)</f>
        <v>45</v>
      </c>
      <c r="M12" s="39">
        <f>ROUND(IF(Dados!$I$62="SIM",L12*Dados!$N$62,L12),2)</f>
        <v>45</v>
      </c>
      <c r="N12" s="39">
        <f>ROUND(IF(Dados!$I$63="SIM",M12*Dados!$N$63,M12),2)</f>
        <v>45</v>
      </c>
      <c r="O12" s="39">
        <f>ROUND(IF(Dados!$I$64="SIM",N12*Dados!$N$64,N12),2)</f>
        <v>45</v>
      </c>
    </row>
    <row r="13" spans="1:16" s="116" customFormat="1" x14ac:dyDescent="0.25">
      <c r="A13" s="646" t="s">
        <v>545</v>
      </c>
      <c r="B13" s="646"/>
      <c r="C13" s="646"/>
      <c r="D13" s="646"/>
      <c r="E13" s="646"/>
      <c r="F13" s="646"/>
      <c r="G13" s="646"/>
      <c r="H13" s="319">
        <f>SUM(H9:H12)</f>
        <v>1310.26</v>
      </c>
      <c r="J13" s="5"/>
      <c r="K13" s="5"/>
      <c r="L13" s="5"/>
      <c r="M13" s="5"/>
      <c r="N13" s="5"/>
      <c r="O13" s="5"/>
    </row>
    <row r="14" spans="1:16" s="116" customFormat="1" ht="15.75" x14ac:dyDescent="0.25">
      <c r="A14" s="641" t="s">
        <v>546</v>
      </c>
      <c r="B14" s="641"/>
      <c r="C14" s="641"/>
      <c r="D14" s="641"/>
      <c r="E14" s="641"/>
      <c r="F14" s="641"/>
      <c r="G14" s="320"/>
      <c r="H14" s="321">
        <f>ROUND(H13/$A$12/12,2)</f>
        <v>54.59</v>
      </c>
      <c r="J14" s="5"/>
      <c r="K14" s="5"/>
      <c r="L14" s="5"/>
      <c r="M14" s="5"/>
      <c r="N14" s="5"/>
      <c r="O14" s="5"/>
    </row>
    <row r="15" spans="1:16" s="116" customFormat="1" x14ac:dyDescent="0.25">
      <c r="A15" s="322"/>
      <c r="B15" s="60"/>
      <c r="C15" s="323"/>
      <c r="D15" s="324"/>
      <c r="E15" s="324"/>
      <c r="F15" s="323"/>
      <c r="G15" s="325"/>
      <c r="H15" s="326"/>
      <c r="J15" s="5"/>
      <c r="K15" s="5"/>
      <c r="L15" s="5"/>
      <c r="M15" s="5"/>
      <c r="N15" s="5"/>
      <c r="O15" s="5"/>
    </row>
    <row r="16" spans="1:16" s="116" customFormat="1" ht="30.75" customHeight="1" x14ac:dyDescent="0.25">
      <c r="A16" s="327" t="s">
        <v>527</v>
      </c>
      <c r="B16" s="328" t="s">
        <v>252</v>
      </c>
      <c r="C16" s="329" t="s">
        <v>528</v>
      </c>
      <c r="D16" s="330" t="s">
        <v>529</v>
      </c>
      <c r="E16" s="330" t="s">
        <v>530</v>
      </c>
      <c r="F16" s="331" t="s">
        <v>531</v>
      </c>
      <c r="G16" s="308" t="s">
        <v>532</v>
      </c>
      <c r="H16" s="332" t="s">
        <v>189</v>
      </c>
      <c r="J16" s="333" t="s">
        <v>373</v>
      </c>
      <c r="K16" s="334" t="s">
        <v>274</v>
      </c>
      <c r="L16" s="334" t="s">
        <v>275</v>
      </c>
      <c r="M16" s="334" t="s">
        <v>276</v>
      </c>
      <c r="N16" s="334" t="s">
        <v>277</v>
      </c>
      <c r="O16" s="334" t="s">
        <v>278</v>
      </c>
    </row>
    <row r="17" spans="1:15" s="116" customFormat="1" ht="51" x14ac:dyDescent="0.2">
      <c r="A17" s="315" t="s">
        <v>547</v>
      </c>
      <c r="B17" s="39" t="s">
        <v>548</v>
      </c>
      <c r="C17" s="309">
        <v>1</v>
      </c>
      <c r="D17" s="316" t="s">
        <v>549</v>
      </c>
      <c r="E17" s="74" t="s">
        <v>550</v>
      </c>
      <c r="F17" s="335">
        <f>C17*A19</f>
        <v>1</v>
      </c>
      <c r="G17" s="312">
        <v>45.35</v>
      </c>
      <c r="H17" s="313">
        <f>ROUND(F17*G17,2)</f>
        <v>45.35</v>
      </c>
      <c r="J17" s="314">
        <v>29.9</v>
      </c>
      <c r="K17" s="39">
        <f>ROUND(IF(Dados!$I$60="SIM",J17*Dados!$N$60,J17),2)</f>
        <v>29.9</v>
      </c>
      <c r="L17" s="39">
        <f>ROUND(IF(Dados!$I$61="SIM",K17*Dados!$N$61,K17),2)</f>
        <v>29.9</v>
      </c>
      <c r="M17" s="39">
        <f>ROUND(IF(Dados!$I$62="SIM",L17*Dados!$N$62,L17),2)</f>
        <v>29.9</v>
      </c>
      <c r="N17" s="39">
        <f>ROUND(IF(Dados!$I$63="SIM",M17*Dados!$N$63,M17),2)</f>
        <v>29.9</v>
      </c>
      <c r="O17" s="39">
        <f>ROUND(IF(Dados!$I$64="SIM",N17*Dados!$N$64,N17),2)</f>
        <v>29.9</v>
      </c>
    </row>
    <row r="18" spans="1:15" s="116" customFormat="1" ht="25.5" x14ac:dyDescent="0.25">
      <c r="A18" s="336" t="s">
        <v>540</v>
      </c>
      <c r="B18" s="337" t="s">
        <v>551</v>
      </c>
      <c r="C18" s="338">
        <v>2</v>
      </c>
      <c r="D18" s="339" t="s">
        <v>552</v>
      </c>
      <c r="E18" s="74" t="s">
        <v>550</v>
      </c>
      <c r="F18" s="335">
        <f>C18*A19</f>
        <v>2</v>
      </c>
      <c r="G18" s="312">
        <v>9.5299999999999994</v>
      </c>
      <c r="H18" s="313">
        <f>ROUND(F18*G18,2)</f>
        <v>19.059999999999999</v>
      </c>
      <c r="J18" s="314">
        <v>5.5</v>
      </c>
      <c r="K18" s="39">
        <f>ROUND(IF(Dados!$I$60="SIM",J18*Dados!$N$60,J18),2)</f>
        <v>5.5</v>
      </c>
      <c r="L18" s="39">
        <f>ROUND(IF(Dados!$I$61="SIM",K18*Dados!$N$61,K18),2)</f>
        <v>5.5</v>
      </c>
      <c r="M18" s="39">
        <f>ROUND(IF(Dados!$I$62="SIM",L18*Dados!$N$62,L18),2)</f>
        <v>5.5</v>
      </c>
      <c r="N18" s="39">
        <f>ROUND(IF(Dados!$I$63="SIM",M18*Dados!$N$63,M18),2)</f>
        <v>5.5</v>
      </c>
      <c r="O18" s="39">
        <f>ROUND(IF(Dados!$I$64="SIM",N18*Dados!$N$64,N18),2)</f>
        <v>5.5</v>
      </c>
    </row>
    <row r="19" spans="1:15" s="116" customFormat="1" ht="36" customHeight="1" x14ac:dyDescent="0.25">
      <c r="A19" s="340">
        <f>Dados!B8</f>
        <v>1</v>
      </c>
      <c r="B19" s="643" t="s">
        <v>545</v>
      </c>
      <c r="C19" s="643"/>
      <c r="D19" s="643"/>
      <c r="E19" s="643"/>
      <c r="F19" s="643"/>
      <c r="G19" s="643"/>
      <c r="H19" s="341">
        <f>SUM(H17:H18)</f>
        <v>64.41</v>
      </c>
      <c r="J19" s="5"/>
      <c r="K19" s="5"/>
      <c r="L19" s="5"/>
      <c r="M19" s="5"/>
      <c r="N19" s="5"/>
      <c r="O19" s="5"/>
    </row>
    <row r="20" spans="1:15" s="116" customFormat="1" ht="15.75" x14ac:dyDescent="0.25">
      <c r="A20" s="641" t="s">
        <v>553</v>
      </c>
      <c r="B20" s="641"/>
      <c r="C20" s="641"/>
      <c r="D20" s="641"/>
      <c r="E20" s="641"/>
      <c r="F20" s="641"/>
      <c r="G20" s="320"/>
      <c r="H20" s="321">
        <f>ROUND(H19/A19/12,2)</f>
        <v>5.37</v>
      </c>
      <c r="J20" s="5"/>
      <c r="K20" s="5"/>
      <c r="L20" s="5"/>
      <c r="M20" s="5"/>
      <c r="N20" s="5"/>
      <c r="O20" s="5"/>
    </row>
    <row r="21" spans="1:15" s="116" customFormat="1" ht="15.75" x14ac:dyDescent="0.25">
      <c r="A21" s="254"/>
      <c r="B21" s="342"/>
      <c r="C21" s="343"/>
      <c r="D21" s="342"/>
      <c r="E21" s="342"/>
      <c r="F21" s="343"/>
      <c r="G21" s="344"/>
      <c r="H21" s="345"/>
      <c r="J21" s="5"/>
      <c r="K21" s="5"/>
      <c r="L21" s="5"/>
      <c r="M21" s="5"/>
      <c r="N21" s="5"/>
      <c r="O21" s="5"/>
    </row>
    <row r="22" spans="1:15" s="116" customFormat="1" ht="33.75" customHeight="1" x14ac:dyDescent="0.25">
      <c r="A22" s="308" t="s">
        <v>527</v>
      </c>
      <c r="B22" s="308" t="s">
        <v>252</v>
      </c>
      <c r="C22" s="308" t="s">
        <v>528</v>
      </c>
      <c r="D22" s="308" t="s">
        <v>529</v>
      </c>
      <c r="E22" s="308" t="s">
        <v>530</v>
      </c>
      <c r="F22" s="308" t="s">
        <v>531</v>
      </c>
      <c r="G22" s="308" t="s">
        <v>532</v>
      </c>
      <c r="H22" s="308" t="s">
        <v>189</v>
      </c>
      <c r="J22" s="333" t="s">
        <v>373</v>
      </c>
      <c r="K22" s="334" t="s">
        <v>274</v>
      </c>
      <c r="L22" s="334" t="s">
        <v>275</v>
      </c>
      <c r="M22" s="334" t="s">
        <v>276</v>
      </c>
      <c r="N22" s="334" t="s">
        <v>277</v>
      </c>
      <c r="O22" s="334" t="s">
        <v>278</v>
      </c>
    </row>
    <row r="23" spans="1:15" s="116" customFormat="1" ht="151.5" customHeight="1" x14ac:dyDescent="0.2">
      <c r="A23" s="642" t="s">
        <v>185</v>
      </c>
      <c r="B23" s="39" t="s">
        <v>534</v>
      </c>
      <c r="C23" s="309">
        <v>2</v>
      </c>
      <c r="D23" s="260" t="s">
        <v>554</v>
      </c>
      <c r="E23" s="74" t="s">
        <v>555</v>
      </c>
      <c r="F23" s="335">
        <f>C23*$A$26</f>
        <v>2</v>
      </c>
      <c r="G23" s="312">
        <v>79.95</v>
      </c>
      <c r="H23" s="313">
        <f>ROUND(F23*G23,2)</f>
        <v>159.9</v>
      </c>
      <c r="J23" s="314">
        <v>39.9</v>
      </c>
      <c r="K23" s="39">
        <f>ROUND(IF(Dados!$I$60="SIM",J23*Dados!$N$60,J23),2)</f>
        <v>39.9</v>
      </c>
      <c r="L23" s="39">
        <f>ROUND(IF(Dados!$I$61="SIM",K23*Dados!$N$61,K23),2)</f>
        <v>39.9</v>
      </c>
      <c r="M23" s="39">
        <f>ROUND(IF(Dados!$I$62="SIM",L23*Dados!$N$62,L23),2)</f>
        <v>39.9</v>
      </c>
      <c r="N23" s="39">
        <f>ROUND(IF(Dados!$I$63="SIM",M23*Dados!$N$63,M23),2)</f>
        <v>39.9</v>
      </c>
      <c r="O23" s="39">
        <f>ROUND(IF(Dados!$I$64="SIM",N23*Dados!$N$64,N23),2)</f>
        <v>39.9</v>
      </c>
    </row>
    <row r="24" spans="1:15" s="116" customFormat="1" ht="191.25" x14ac:dyDescent="0.25">
      <c r="A24" s="642"/>
      <c r="B24" s="39" t="s">
        <v>537</v>
      </c>
      <c r="C24" s="309">
        <v>2</v>
      </c>
      <c r="D24" s="28" t="s">
        <v>556</v>
      </c>
      <c r="E24" s="74" t="s">
        <v>539</v>
      </c>
      <c r="F24" s="335">
        <f>C24*$A$26</f>
        <v>2</v>
      </c>
      <c r="G24" s="312">
        <v>69.099999999999994</v>
      </c>
      <c r="H24" s="313">
        <f>ROUND(F24*G24,2)</f>
        <v>138.19999999999999</v>
      </c>
      <c r="J24" s="314"/>
      <c r="K24" s="39"/>
      <c r="L24" s="39"/>
      <c r="M24" s="39"/>
      <c r="N24" s="39"/>
      <c r="O24" s="39"/>
    </row>
    <row r="25" spans="1:15" s="116" customFormat="1" ht="114.75" x14ac:dyDescent="0.25">
      <c r="A25" s="315" t="s">
        <v>540</v>
      </c>
      <c r="B25" s="39" t="s">
        <v>541</v>
      </c>
      <c r="C25" s="309">
        <v>2</v>
      </c>
      <c r="D25" s="83" t="s">
        <v>542</v>
      </c>
      <c r="E25" s="224" t="s">
        <v>539</v>
      </c>
      <c r="F25" s="335">
        <f>C25*$A$26</f>
        <v>2</v>
      </c>
      <c r="G25" s="312">
        <v>66.540000000000006</v>
      </c>
      <c r="H25" s="313">
        <f>ROUND(F25*G25,2)</f>
        <v>133.08000000000001</v>
      </c>
      <c r="J25" s="314">
        <v>19.989999999999998</v>
      </c>
      <c r="K25" s="39">
        <f>ROUND(IF(Dados!$I$60="SIM",J25*Dados!$N$60,J25),2)</f>
        <v>19.989999999999998</v>
      </c>
      <c r="L25" s="39">
        <f>ROUND(IF(Dados!$I$61="SIM",K25*Dados!$N$61,K25),2)</f>
        <v>19.989999999999998</v>
      </c>
      <c r="M25" s="39">
        <f>ROUND(IF(Dados!$I$62="SIM",L25*Dados!$N$62,L25),2)</f>
        <v>19.989999999999998</v>
      </c>
      <c r="N25" s="39">
        <f>ROUND(IF(Dados!$I$63="SIM",M25*Dados!$N$63,M25),2)</f>
        <v>19.989999999999998</v>
      </c>
      <c r="O25" s="39">
        <f>ROUND(IF(Dados!$I$64="SIM",N25*Dados!$N$64,N25),2)</f>
        <v>19.989999999999998</v>
      </c>
    </row>
    <row r="26" spans="1:15" s="116" customFormat="1" ht="127.5" x14ac:dyDescent="0.25">
      <c r="A26" s="340">
        <f>Dados!B9</f>
        <v>1</v>
      </c>
      <c r="B26" s="39" t="s">
        <v>543</v>
      </c>
      <c r="C26" s="309">
        <v>1</v>
      </c>
      <c r="D26" s="318" t="s">
        <v>544</v>
      </c>
      <c r="E26" s="224" t="s">
        <v>539</v>
      </c>
      <c r="F26" s="335">
        <f>C26*$A$26</f>
        <v>1</v>
      </c>
      <c r="G26" s="312">
        <v>275.89999999999998</v>
      </c>
      <c r="H26" s="313">
        <f>ROUND(F26*G26,2)</f>
        <v>275.89999999999998</v>
      </c>
      <c r="J26" s="314">
        <v>39.9</v>
      </c>
      <c r="K26" s="39">
        <f>ROUND(IF(Dados!$I$60="SIM",J26*Dados!$N$60,J26),2)</f>
        <v>39.9</v>
      </c>
      <c r="L26" s="39">
        <f>ROUND(IF(Dados!$I$61="SIM",K26*Dados!$N$61,K26),2)</f>
        <v>39.9</v>
      </c>
      <c r="M26" s="39">
        <f>ROUND(IF(Dados!$I$62="SIM",L26*Dados!$N$62,L26),2)</f>
        <v>39.9</v>
      </c>
      <c r="N26" s="39">
        <f>ROUND(IF(Dados!$I$63="SIM",M26*Dados!$N$63,M26),2)</f>
        <v>39.9</v>
      </c>
      <c r="O26" s="39">
        <f>ROUND(IF(Dados!$I$64="SIM",N26*Dados!$N$64,N26),2)</f>
        <v>39.9</v>
      </c>
    </row>
    <row r="27" spans="1:15" s="116" customFormat="1" ht="36" customHeight="1" x14ac:dyDescent="0.25">
      <c r="A27" s="643" t="s">
        <v>545</v>
      </c>
      <c r="B27" s="643"/>
      <c r="C27" s="643"/>
      <c r="D27" s="643"/>
      <c r="E27" s="643"/>
      <c r="F27" s="643"/>
      <c r="G27" s="643"/>
      <c r="H27" s="346">
        <f>SUM(H23:H26)</f>
        <v>707.08</v>
      </c>
      <c r="J27" s="5"/>
      <c r="K27" s="5"/>
      <c r="L27" s="5"/>
      <c r="M27" s="5"/>
      <c r="N27" s="5"/>
      <c r="O27" s="5"/>
    </row>
    <row r="28" spans="1:15" s="116" customFormat="1" ht="15.75" x14ac:dyDescent="0.25">
      <c r="A28" s="641" t="s">
        <v>557</v>
      </c>
      <c r="B28" s="641"/>
      <c r="C28" s="641"/>
      <c r="D28" s="641"/>
      <c r="E28" s="641"/>
      <c r="F28" s="641"/>
      <c r="G28" s="320"/>
      <c r="H28" s="321">
        <f>ROUND(H27/A26/12,2)</f>
        <v>58.92</v>
      </c>
      <c r="J28" s="5"/>
      <c r="K28" s="5"/>
      <c r="L28" s="5"/>
      <c r="M28" s="5"/>
      <c r="N28" s="5"/>
      <c r="O28" s="5"/>
    </row>
    <row r="29" spans="1:15" s="116" customFormat="1" ht="15.75" x14ac:dyDescent="0.25">
      <c r="A29" s="644"/>
      <c r="B29" s="644"/>
      <c r="C29" s="644"/>
      <c r="D29" s="644"/>
      <c r="E29" s="644"/>
      <c r="F29" s="644"/>
      <c r="G29" s="644"/>
      <c r="H29" s="644"/>
      <c r="J29" s="5"/>
      <c r="K29" s="5"/>
      <c r="L29" s="5"/>
      <c r="M29" s="5"/>
      <c r="N29" s="5"/>
      <c r="O29" s="5"/>
    </row>
    <row r="30" spans="1:15" ht="27" customHeight="1" x14ac:dyDescent="0.25">
      <c r="A30" s="347" t="s">
        <v>527</v>
      </c>
      <c r="B30" s="347" t="s">
        <v>252</v>
      </c>
      <c r="C30" s="347" t="s">
        <v>528</v>
      </c>
      <c r="D30" s="347" t="s">
        <v>529</v>
      </c>
      <c r="E30" s="347" t="s">
        <v>530</v>
      </c>
      <c r="F30" s="347" t="s">
        <v>531</v>
      </c>
      <c r="G30" s="347" t="s">
        <v>532</v>
      </c>
      <c r="H30" s="347" t="s">
        <v>189</v>
      </c>
      <c r="J30" s="333" t="s">
        <v>373</v>
      </c>
      <c r="K30" s="334" t="s">
        <v>274</v>
      </c>
      <c r="L30" s="334" t="s">
        <v>275</v>
      </c>
      <c r="M30" s="334" t="s">
        <v>276</v>
      </c>
      <c r="N30" s="334" t="s">
        <v>277</v>
      </c>
      <c r="O30" s="334" t="s">
        <v>278</v>
      </c>
    </row>
    <row r="31" spans="1:15" ht="375.75" customHeight="1" x14ac:dyDescent="0.25">
      <c r="A31" s="645" t="s">
        <v>186</v>
      </c>
      <c r="B31" s="39" t="s">
        <v>534</v>
      </c>
      <c r="C31" s="309">
        <v>2</v>
      </c>
      <c r="D31" s="348" t="s">
        <v>558</v>
      </c>
      <c r="E31" s="74" t="s">
        <v>539</v>
      </c>
      <c r="F31" s="335">
        <f>C31*$A$34</f>
        <v>4</v>
      </c>
      <c r="G31" s="312">
        <v>94.78</v>
      </c>
      <c r="H31" s="313">
        <f>ROUND(F31*G31,2)</f>
        <v>379.12</v>
      </c>
      <c r="J31" s="314">
        <v>39.9</v>
      </c>
      <c r="K31" s="39">
        <f>ROUND(IF(Dados!$I$60="SIM",J31*Dados!$N$60,J31),2)</f>
        <v>39.9</v>
      </c>
      <c r="L31" s="39">
        <f>ROUND(IF(Dados!$I$61="SIM",K31*Dados!$N$61,K31),2)</f>
        <v>39.9</v>
      </c>
      <c r="M31" s="39">
        <f>ROUND(IF(Dados!$I$62="SIM",L31*Dados!$N$62,L31),2)</f>
        <v>39.9</v>
      </c>
      <c r="N31" s="39">
        <f>ROUND(IF(Dados!$I$63="SIM",M31*Dados!$N$63,M31),2)</f>
        <v>39.9</v>
      </c>
      <c r="O31" s="39">
        <f>ROUND(IF(Dados!$I$64="SIM",N31*Dados!$N$64,N31),2)</f>
        <v>39.9</v>
      </c>
    </row>
    <row r="32" spans="1:15" ht="191.25" x14ac:dyDescent="0.25">
      <c r="A32" s="645"/>
      <c r="B32" s="39" t="s">
        <v>537</v>
      </c>
      <c r="C32" s="309">
        <v>2</v>
      </c>
      <c r="D32" s="28" t="s">
        <v>556</v>
      </c>
      <c r="E32" s="224" t="s">
        <v>539</v>
      </c>
      <c r="F32" s="335">
        <f>C32*$A$34</f>
        <v>4</v>
      </c>
      <c r="G32" s="312">
        <v>69.099999999999994</v>
      </c>
      <c r="H32" s="313">
        <f>ROUND(F32*G32,2)</f>
        <v>276.39999999999998</v>
      </c>
      <c r="J32" s="314">
        <v>19.989999999999998</v>
      </c>
      <c r="K32" s="39">
        <f>ROUND(IF(Dados!$I$60="SIM",J32*Dados!$N$60,J32),2)</f>
        <v>19.989999999999998</v>
      </c>
      <c r="L32" s="39">
        <f>ROUND(IF(Dados!$I$61="SIM",K32*Dados!$N$61,K32),2)</f>
        <v>19.989999999999998</v>
      </c>
      <c r="M32" s="39">
        <f>ROUND(IF(Dados!$I$62="SIM",L32*Dados!$N$62,L32),2)</f>
        <v>19.989999999999998</v>
      </c>
      <c r="N32" s="39">
        <f>ROUND(IF(Dados!$I$63="SIM",M32*Dados!$N$63,M32),2)</f>
        <v>19.989999999999998</v>
      </c>
      <c r="O32" s="39">
        <f>ROUND(IF(Dados!$I$64="SIM",N32*Dados!$N$64,N32),2)</f>
        <v>19.989999999999998</v>
      </c>
    </row>
    <row r="33" spans="1:16" ht="127.5" x14ac:dyDescent="0.25">
      <c r="A33" s="315" t="s">
        <v>540</v>
      </c>
      <c r="B33" s="39" t="s">
        <v>543</v>
      </c>
      <c r="C33" s="309">
        <v>1</v>
      </c>
      <c r="D33" s="318" t="s">
        <v>544</v>
      </c>
      <c r="E33" s="224" t="s">
        <v>539</v>
      </c>
      <c r="F33" s="335">
        <f>C33*$A$34</f>
        <v>2</v>
      </c>
      <c r="G33" s="312">
        <f>G26</f>
        <v>275.89999999999998</v>
      </c>
      <c r="H33" s="313">
        <f>ROUND(F33*G33,2)</f>
        <v>551.79999999999995</v>
      </c>
      <c r="J33" s="314"/>
      <c r="K33" s="39"/>
      <c r="L33" s="39"/>
      <c r="M33" s="39"/>
      <c r="N33" s="39"/>
      <c r="O33" s="39"/>
    </row>
    <row r="34" spans="1:16" ht="89.25" x14ac:dyDescent="0.25">
      <c r="A34" s="340">
        <f>Dados!B10</f>
        <v>2</v>
      </c>
      <c r="B34" s="39" t="s">
        <v>559</v>
      </c>
      <c r="C34" s="309">
        <v>1</v>
      </c>
      <c r="D34" s="349" t="s">
        <v>560</v>
      </c>
      <c r="E34" s="39" t="s">
        <v>561</v>
      </c>
      <c r="F34" s="335">
        <f>C34*$A$34</f>
        <v>2</v>
      </c>
      <c r="G34" s="312">
        <v>102.87</v>
      </c>
      <c r="H34" s="313">
        <f>ROUND(F34*G34,2)</f>
        <v>205.74</v>
      </c>
      <c r="J34" s="314">
        <v>35.5</v>
      </c>
      <c r="K34" s="39">
        <f>ROUND(IF(Dados!$I$60="SIM",J34*Dados!$N$60,J34),2)</f>
        <v>35.5</v>
      </c>
      <c r="L34" s="39">
        <f>ROUND(IF(Dados!$I$61="SIM",K34*Dados!$N$61,K34),2)</f>
        <v>35.5</v>
      </c>
      <c r="M34" s="39">
        <f>ROUND(IF(Dados!$I$62="SIM",L34*Dados!$N$62,L34),2)</f>
        <v>35.5</v>
      </c>
      <c r="N34" s="39">
        <f>ROUND(IF(Dados!$I$63="SIM",M34*Dados!$N$63,M34),2)</f>
        <v>35.5</v>
      </c>
      <c r="O34" s="39">
        <f>ROUND(IF(Dados!$I$64="SIM",N34*Dados!$N$64,N34),2)</f>
        <v>35.5</v>
      </c>
    </row>
    <row r="35" spans="1:16" x14ac:dyDescent="0.25">
      <c r="A35" s="640" t="s">
        <v>545</v>
      </c>
      <c r="B35" s="640"/>
      <c r="C35" s="640"/>
      <c r="D35" s="640"/>
      <c r="E35" s="640"/>
      <c r="F35" s="640"/>
      <c r="G35" s="640"/>
      <c r="H35" s="350">
        <f>SUM(H31:H34)</f>
        <v>1413.06</v>
      </c>
      <c r="N35" s="5"/>
      <c r="O35" s="5"/>
      <c r="P35" s="116"/>
    </row>
    <row r="36" spans="1:16" ht="15.75" x14ac:dyDescent="0.25">
      <c r="A36" s="641" t="s">
        <v>562</v>
      </c>
      <c r="B36" s="641"/>
      <c r="C36" s="641"/>
      <c r="D36" s="641"/>
      <c r="E36" s="641"/>
      <c r="F36" s="641"/>
      <c r="G36" s="320"/>
      <c r="H36" s="321">
        <f>ROUND(H35/A34/12,2)</f>
        <v>58.88</v>
      </c>
    </row>
  </sheetData>
  <sheetProtection algorithmName="SHA-512" hashValue="Pkt217l4F9WoSIjlaFw9/ox2ueifnWAO/y8yY0ua6Tfx9eXYM+5Hw+VlhrJBMMXu5dpTza1gPEMhocoaLBg72Q==" saltValue="sgxpUy/LSB75lIjw/L0slA==" spinCount="100000" sheet="1" objects="1" scenarios="1"/>
  <mergeCells count="22">
    <mergeCell ref="J1:O4"/>
    <mergeCell ref="A4:H4"/>
    <mergeCell ref="A5:H5"/>
    <mergeCell ref="J5:J8"/>
    <mergeCell ref="K5:K8"/>
    <mergeCell ref="L5:L8"/>
    <mergeCell ref="M5:M8"/>
    <mergeCell ref="N5:N8"/>
    <mergeCell ref="O5:O8"/>
    <mergeCell ref="A6:H6"/>
    <mergeCell ref="A9:A10"/>
    <mergeCell ref="A13:G13"/>
    <mergeCell ref="A14:F14"/>
    <mergeCell ref="B19:G19"/>
    <mergeCell ref="A20:F20"/>
    <mergeCell ref="A35:G35"/>
    <mergeCell ref="A36:F36"/>
    <mergeCell ref="A23:A24"/>
    <mergeCell ref="A27:G27"/>
    <mergeCell ref="A28:F28"/>
    <mergeCell ref="A29:H29"/>
    <mergeCell ref="A31:A32"/>
  </mergeCells>
  <printOptions horizontalCentered="1" verticalCentered="1"/>
  <pageMargins left="0.51180555555555596" right="0.51180555555555596" top="0.78749999999999998" bottom="0.78749999999999998" header="0.511811023622047" footer="0.511811023622047"/>
  <pageSetup paperSize="9" scale="58"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23"/>
  <sheetViews>
    <sheetView showGridLines="0" tabSelected="1" view="pageBreakPreview" topLeftCell="D1" zoomScaleNormal="100" workbookViewId="0">
      <selection activeCell="T13" sqref="T13"/>
    </sheetView>
  </sheetViews>
  <sheetFormatPr defaultColWidth="8.7109375" defaultRowHeight="15" x14ac:dyDescent="0.25"/>
  <cols>
    <col min="1" max="1" width="12" style="3" customWidth="1"/>
    <col min="2" max="2" width="44.42578125" style="3" customWidth="1"/>
    <col min="3" max="3" width="7.140625" style="3" customWidth="1"/>
    <col min="4" max="4" width="6.7109375" style="3" customWidth="1"/>
    <col min="5" max="5" width="10.140625" style="3" customWidth="1"/>
    <col min="6" max="6" width="12.5703125" style="3" customWidth="1"/>
    <col min="7" max="7" width="12.28515625" style="3" customWidth="1"/>
    <col min="8" max="8" width="13.42578125" style="3" customWidth="1"/>
    <col min="9" max="9" width="11.85546875" style="3" customWidth="1"/>
    <col min="10" max="10" width="13.7109375" style="3" customWidth="1"/>
    <col min="11" max="11" width="11.28515625" style="3" customWidth="1"/>
    <col min="12" max="12" width="15.5703125" style="3" customWidth="1"/>
    <col min="13" max="13" width="12.28515625" style="3" customWidth="1"/>
    <col min="14" max="14" width="7.42578125" style="3" customWidth="1"/>
    <col min="15" max="15" width="13.28515625" style="3" customWidth="1"/>
    <col min="16" max="16" width="12" style="3" customWidth="1"/>
    <col min="17" max="17" width="9.5703125" style="3" customWidth="1"/>
    <col min="18" max="18" width="11.28515625" style="3" customWidth="1"/>
    <col min="19" max="19" width="16.140625" style="3" customWidth="1"/>
    <col min="20" max="20" width="12.140625" style="3" customWidth="1"/>
    <col min="21" max="22" width="10.140625" style="3" customWidth="1"/>
    <col min="23" max="23" width="16.42578125" style="3" customWidth="1"/>
    <col min="24" max="259" width="9.140625" style="3" customWidth="1"/>
    <col min="260" max="260" width="13.140625" style="3" customWidth="1"/>
    <col min="261" max="261" width="38.42578125" style="3" customWidth="1"/>
    <col min="262" max="262" width="7.140625" style="3" customWidth="1"/>
    <col min="263" max="263" width="6.7109375" style="3" customWidth="1"/>
    <col min="264" max="264" width="10.140625" style="3" customWidth="1"/>
    <col min="265" max="265" width="12.5703125" style="3" customWidth="1"/>
    <col min="266" max="266" width="12.28515625" style="3" customWidth="1"/>
    <col min="267" max="267" width="13.42578125" style="3" customWidth="1"/>
    <col min="268" max="268" width="12.140625" style="3" customWidth="1"/>
    <col min="269" max="269" width="13.7109375" style="3" customWidth="1"/>
    <col min="270" max="270" width="11.28515625" style="3" customWidth="1"/>
    <col min="271" max="271" width="15.5703125" style="3" customWidth="1"/>
    <col min="272" max="272" width="12.28515625" style="3" customWidth="1"/>
    <col min="273" max="273" width="7.42578125" style="3" customWidth="1"/>
    <col min="274" max="274" width="13.28515625" style="3" customWidth="1"/>
    <col min="275" max="275" width="14" style="3" customWidth="1"/>
    <col min="276" max="276" width="12.140625" style="3" customWidth="1"/>
    <col min="277" max="278" width="10.140625" style="3" customWidth="1"/>
    <col min="279" max="279" width="16.42578125" style="3" customWidth="1"/>
    <col min="280" max="515" width="9.140625" style="3" customWidth="1"/>
    <col min="516" max="516" width="13.140625" style="3" customWidth="1"/>
    <col min="517" max="517" width="38.42578125" style="3" customWidth="1"/>
    <col min="518" max="518" width="7.140625" style="3" customWidth="1"/>
    <col min="519" max="519" width="6.7109375" style="3" customWidth="1"/>
    <col min="520" max="520" width="10.140625" style="3" customWidth="1"/>
    <col min="521" max="521" width="12.5703125" style="3" customWidth="1"/>
    <col min="522" max="522" width="12.28515625" style="3" customWidth="1"/>
    <col min="523" max="523" width="13.42578125" style="3" customWidth="1"/>
    <col min="524" max="524" width="12.140625" style="3" customWidth="1"/>
    <col min="525" max="525" width="13.7109375" style="3" customWidth="1"/>
    <col min="526" max="526" width="11.28515625" style="3" customWidth="1"/>
    <col min="527" max="527" width="15.5703125" style="3" customWidth="1"/>
    <col min="528" max="528" width="12.28515625" style="3" customWidth="1"/>
    <col min="529" max="529" width="7.42578125" style="3" customWidth="1"/>
    <col min="530" max="530" width="13.28515625" style="3" customWidth="1"/>
    <col min="531" max="531" width="14" style="3" customWidth="1"/>
    <col min="532" max="532" width="12.140625" style="3" customWidth="1"/>
    <col min="533" max="534" width="10.140625" style="3" customWidth="1"/>
    <col min="535" max="535" width="16.42578125" style="3" customWidth="1"/>
    <col min="536" max="771" width="9.140625" style="3" customWidth="1"/>
    <col min="772" max="772" width="13.140625" style="3" customWidth="1"/>
    <col min="773" max="773" width="38.42578125" style="3" customWidth="1"/>
    <col min="774" max="774" width="7.140625" style="3" customWidth="1"/>
    <col min="775" max="775" width="6.7109375" style="3" customWidth="1"/>
    <col min="776" max="776" width="10.140625" style="3" customWidth="1"/>
    <col min="777" max="777" width="12.5703125" style="3" customWidth="1"/>
    <col min="778" max="778" width="12.28515625" style="3" customWidth="1"/>
    <col min="779" max="779" width="13.42578125" style="3" customWidth="1"/>
    <col min="780" max="780" width="12.140625" style="3" customWidth="1"/>
    <col min="781" max="781" width="13.7109375" style="3" customWidth="1"/>
    <col min="782" max="782" width="11.28515625" style="3" customWidth="1"/>
    <col min="783" max="783" width="15.5703125" style="3" customWidth="1"/>
    <col min="784" max="784" width="12.28515625" style="3" customWidth="1"/>
    <col min="785" max="785" width="7.42578125" style="3" customWidth="1"/>
    <col min="786" max="786" width="13.28515625" style="3" customWidth="1"/>
    <col min="787" max="787" width="14" style="3" customWidth="1"/>
    <col min="788" max="788" width="12.140625" style="3" customWidth="1"/>
    <col min="789" max="790" width="10.140625" style="3" customWidth="1"/>
    <col min="791" max="791" width="16.42578125" style="3" customWidth="1"/>
    <col min="792" max="1025" width="9.140625" style="3" customWidth="1"/>
  </cols>
  <sheetData>
    <row r="1" spans="1:25" x14ac:dyDescent="0.25">
      <c r="A1" s="6"/>
      <c r="B1" s="351" t="str">
        <f>INSTRUÇÕES!B1</f>
        <v>Tribunal Regional Federal da 6ª Região</v>
      </c>
      <c r="C1" s="208"/>
      <c r="D1" s="208"/>
      <c r="E1" s="208"/>
      <c r="F1" s="208"/>
      <c r="G1" s="208"/>
      <c r="H1" s="208"/>
      <c r="I1" s="208"/>
      <c r="J1" s="352"/>
      <c r="K1" s="352"/>
      <c r="L1" s="352"/>
      <c r="M1" s="352"/>
      <c r="N1" s="352"/>
      <c r="O1" s="352"/>
      <c r="P1" s="352"/>
      <c r="Q1" s="352"/>
      <c r="R1" s="352"/>
      <c r="S1" s="352"/>
      <c r="T1" s="352"/>
      <c r="U1" s="352"/>
      <c r="V1" s="352"/>
      <c r="W1" s="353"/>
    </row>
    <row r="2" spans="1:25" x14ac:dyDescent="0.25">
      <c r="A2" s="354"/>
      <c r="B2" s="114" t="str">
        <f>INSTRUÇÕES!B2</f>
        <v>Seção Judiciária de Minas Gerais</v>
      </c>
      <c r="C2" s="68"/>
      <c r="D2" s="68"/>
      <c r="E2" s="68"/>
      <c r="F2" s="68"/>
      <c r="G2" s="68"/>
      <c r="H2" s="68"/>
      <c r="I2" s="68"/>
      <c r="W2" s="355"/>
    </row>
    <row r="3" spans="1:25" x14ac:dyDescent="0.25">
      <c r="A3" s="354"/>
      <c r="B3" s="114" t="str">
        <f>INSTRUÇÕES!B3</f>
        <v>Subseção Judiciária de Poços de Caldas</v>
      </c>
      <c r="C3" s="68"/>
      <c r="D3" s="68"/>
      <c r="E3" s="68"/>
      <c r="F3" s="68"/>
      <c r="G3" s="68"/>
      <c r="H3" s="68"/>
      <c r="I3" s="68"/>
      <c r="W3" s="355"/>
    </row>
    <row r="4" spans="1:25" s="356" customFormat="1" ht="18.75" customHeight="1" x14ac:dyDescent="0.25">
      <c r="A4" s="663" t="s">
        <v>563</v>
      </c>
      <c r="B4" s="663"/>
      <c r="C4" s="663"/>
      <c r="D4" s="663"/>
      <c r="E4" s="663"/>
      <c r="F4" s="663"/>
      <c r="G4" s="663"/>
      <c r="H4" s="663"/>
      <c r="I4" s="663"/>
      <c r="J4" s="663"/>
      <c r="K4" s="663"/>
      <c r="L4" s="663"/>
      <c r="M4" s="663"/>
      <c r="N4" s="663"/>
      <c r="O4" s="663"/>
      <c r="P4" s="663"/>
      <c r="Q4" s="663"/>
      <c r="R4" s="663"/>
      <c r="S4" s="663"/>
      <c r="T4" s="663"/>
      <c r="U4" s="663"/>
      <c r="V4" s="663"/>
      <c r="W4" s="663"/>
    </row>
    <row r="5" spans="1:25" s="116" customFormat="1" ht="21" customHeight="1" x14ac:dyDescent="0.25">
      <c r="A5" s="664" t="str">
        <f>"PREÇO MENSAL GLOBAL - "&amp;B3</f>
        <v>PREÇO MENSAL GLOBAL - Subseção Judiciária de Poços de Caldas</v>
      </c>
      <c r="B5" s="664"/>
      <c r="C5" s="664"/>
      <c r="D5" s="664"/>
      <c r="E5" s="664"/>
      <c r="F5" s="664"/>
      <c r="G5" s="664"/>
      <c r="H5" s="664"/>
      <c r="I5" s="664"/>
      <c r="J5" s="664"/>
      <c r="K5" s="664"/>
      <c r="L5" s="664"/>
      <c r="M5" s="664"/>
      <c r="N5" s="664"/>
      <c r="O5" s="664"/>
      <c r="P5" s="664"/>
      <c r="Q5" s="664"/>
      <c r="R5" s="664"/>
      <c r="S5" s="664"/>
      <c r="T5" s="664"/>
      <c r="U5" s="664"/>
      <c r="V5" s="664"/>
      <c r="W5" s="664"/>
    </row>
    <row r="6" spans="1:25" s="5" customFormat="1" ht="23.25" customHeight="1" x14ac:dyDescent="0.25">
      <c r="A6" s="665" t="str">
        <f>Dados!A4</f>
        <v>Sindicato utilizado - SINSERTH x SINTAPPI. Vigência: 01/04/2025 à 31/03/2026. Sendo a data base da categoria 1 de abril. Com número de registro no MTE MG001973/2025.</v>
      </c>
      <c r="B6" s="665"/>
      <c r="C6" s="665"/>
      <c r="D6" s="665"/>
      <c r="E6" s="665"/>
      <c r="F6" s="665"/>
      <c r="G6" s="665"/>
      <c r="H6" s="665"/>
      <c r="I6" s="665"/>
      <c r="J6" s="665"/>
      <c r="K6" s="665"/>
      <c r="L6" s="665"/>
      <c r="M6" s="665"/>
      <c r="N6" s="665"/>
      <c r="O6" s="665"/>
      <c r="P6" s="665"/>
      <c r="Q6" s="665"/>
      <c r="R6" s="665"/>
      <c r="S6" s="665"/>
      <c r="T6" s="665"/>
      <c r="U6" s="665"/>
      <c r="V6" s="665"/>
      <c r="W6" s="665"/>
    </row>
    <row r="7" spans="1:25" s="19" customFormat="1" ht="18.75" customHeight="1" x14ac:dyDescent="0.25">
      <c r="A7" s="357"/>
      <c r="B7" s="358"/>
      <c r="C7" s="358"/>
      <c r="D7" s="358"/>
      <c r="E7" s="359"/>
      <c r="F7" s="359"/>
      <c r="G7" s="359"/>
      <c r="H7" s="360" t="s">
        <v>564</v>
      </c>
      <c r="I7" s="361"/>
      <c r="J7" s="361"/>
      <c r="K7" s="359"/>
      <c r="L7" s="359"/>
      <c r="M7" s="359"/>
      <c r="N7" s="359"/>
      <c r="O7" s="359"/>
      <c r="P7" s="359"/>
      <c r="Q7" s="359"/>
      <c r="R7" s="359"/>
      <c r="S7" s="666" t="s">
        <v>565</v>
      </c>
      <c r="T7" s="666"/>
      <c r="U7" s="666"/>
      <c r="V7" s="666"/>
      <c r="W7" s="666"/>
    </row>
    <row r="8" spans="1:25" s="19" customFormat="1" ht="22.5" customHeight="1" x14ac:dyDescent="0.25">
      <c r="A8" s="667" t="s">
        <v>566</v>
      </c>
      <c r="B8" s="668" t="s">
        <v>567</v>
      </c>
      <c r="C8" s="668"/>
      <c r="D8" s="669" t="s">
        <v>40</v>
      </c>
      <c r="E8" s="669"/>
      <c r="F8" s="669"/>
      <c r="G8" s="669"/>
      <c r="H8" s="669"/>
      <c r="I8" s="669"/>
      <c r="J8" s="669"/>
      <c r="K8" s="669"/>
      <c r="L8" s="669"/>
      <c r="M8" s="669"/>
      <c r="N8" s="669"/>
      <c r="O8" s="669"/>
      <c r="P8" s="669"/>
      <c r="Q8" s="669"/>
      <c r="R8" s="669"/>
      <c r="S8" s="669"/>
      <c r="T8" s="669"/>
      <c r="U8" s="669"/>
      <c r="V8" s="669"/>
      <c r="W8" s="670" t="s">
        <v>568</v>
      </c>
    </row>
    <row r="9" spans="1:25" s="19" customFormat="1" ht="20.25" customHeight="1" x14ac:dyDescent="0.25">
      <c r="A9" s="667"/>
      <c r="B9" s="668"/>
      <c r="C9" s="668"/>
      <c r="D9" s="671" t="s">
        <v>569</v>
      </c>
      <c r="E9" s="671"/>
      <c r="F9" s="671"/>
      <c r="G9" s="671" t="s">
        <v>570</v>
      </c>
      <c r="H9" s="671"/>
      <c r="I9" s="671"/>
      <c r="J9" s="672" t="s">
        <v>571</v>
      </c>
      <c r="K9" s="672"/>
      <c r="L9" s="672"/>
      <c r="M9" s="672"/>
      <c r="N9" s="672"/>
      <c r="O9" s="672"/>
      <c r="P9" s="673" t="s">
        <v>572</v>
      </c>
      <c r="Q9" s="673"/>
      <c r="R9" s="673"/>
      <c r="S9" s="362" t="s">
        <v>573</v>
      </c>
      <c r="T9" s="674" t="s">
        <v>574</v>
      </c>
      <c r="U9" s="674"/>
      <c r="V9" s="674"/>
      <c r="W9" s="670"/>
    </row>
    <row r="10" spans="1:25" s="19" customFormat="1" ht="27.75" customHeight="1" x14ac:dyDescent="0.25">
      <c r="A10" s="667"/>
      <c r="B10" s="668"/>
      <c r="C10" s="668"/>
      <c r="D10" s="675" t="s">
        <v>575</v>
      </c>
      <c r="E10" s="675"/>
      <c r="F10" s="675"/>
      <c r="G10" s="676" t="s">
        <v>576</v>
      </c>
      <c r="H10" s="677" t="s">
        <v>577</v>
      </c>
      <c r="I10" s="677"/>
      <c r="J10" s="659" t="s">
        <v>578</v>
      </c>
      <c r="K10" s="659"/>
      <c r="L10" s="659"/>
      <c r="M10" s="660" t="s">
        <v>579</v>
      </c>
      <c r="N10" s="660"/>
      <c r="O10" s="660"/>
      <c r="P10" s="661" t="s">
        <v>580</v>
      </c>
      <c r="Q10" s="661"/>
      <c r="R10" s="661"/>
      <c r="S10" s="662" t="s">
        <v>581</v>
      </c>
      <c r="T10" s="661" t="s">
        <v>582</v>
      </c>
      <c r="U10" s="661"/>
      <c r="V10" s="661"/>
      <c r="W10" s="670"/>
    </row>
    <row r="11" spans="1:25" s="19" customFormat="1" ht="63.75" x14ac:dyDescent="0.25">
      <c r="A11" s="667"/>
      <c r="B11" s="363" t="s">
        <v>22</v>
      </c>
      <c r="C11" s="364" t="s">
        <v>23</v>
      </c>
      <c r="D11" s="365" t="s">
        <v>21</v>
      </c>
      <c r="E11" s="366" t="s">
        <v>583</v>
      </c>
      <c r="F11" s="367" t="s">
        <v>584</v>
      </c>
      <c r="G11" s="676"/>
      <c r="H11" s="368" t="s">
        <v>585</v>
      </c>
      <c r="I11" s="369" t="s">
        <v>586</v>
      </c>
      <c r="J11" s="370" t="s">
        <v>587</v>
      </c>
      <c r="K11" s="368" t="s">
        <v>30</v>
      </c>
      <c r="L11" s="371" t="s">
        <v>588</v>
      </c>
      <c r="M11" s="363" t="s">
        <v>589</v>
      </c>
      <c r="N11" s="366" t="s">
        <v>31</v>
      </c>
      <c r="O11" s="372" t="s">
        <v>590</v>
      </c>
      <c r="P11" s="363" t="s">
        <v>591</v>
      </c>
      <c r="Q11" s="366" t="s">
        <v>592</v>
      </c>
      <c r="R11" s="364" t="s">
        <v>593</v>
      </c>
      <c r="S11" s="662"/>
      <c r="T11" s="363" t="s">
        <v>594</v>
      </c>
      <c r="U11" s="366" t="s">
        <v>595</v>
      </c>
      <c r="V11" s="373" t="s">
        <v>596</v>
      </c>
      <c r="W11" s="670"/>
    </row>
    <row r="12" spans="1:25" s="19" customFormat="1" ht="15.75" customHeight="1" x14ac:dyDescent="0.25">
      <c r="A12" s="655">
        <f>Dados!A7</f>
        <v>333903702</v>
      </c>
      <c r="B12" s="374" t="str">
        <f>Dados!C7</f>
        <v>Servente de Limpeza 40% Insalubridade</v>
      </c>
      <c r="C12" s="375">
        <f>Dados!D7</f>
        <v>220</v>
      </c>
      <c r="D12" s="376">
        <f>Dados!B7</f>
        <v>1</v>
      </c>
      <c r="E12" s="377">
        <f>'Servente Insalubre'!$F$46</f>
        <v>7210.61</v>
      </c>
      <c r="F12" s="378">
        <f>ROUND((D12*E12),2)</f>
        <v>7210.61</v>
      </c>
      <c r="G12" s="379">
        <f>'Servente Insalubre'!$I$46</f>
        <v>212.91</v>
      </c>
      <c r="H12" s="380">
        <f>'Ocorrências Mensais - FAT'!F11+'Ocorrências Mensais - FAT'!H11</f>
        <v>0</v>
      </c>
      <c r="I12" s="381">
        <f>(ROUND((G12/Dados!$G$34*H12)-(G12/'Ocorrências Mensais - FAT'!$E$5*'Ocorrências Mensais - FAT'!G11),2))</f>
        <v>0</v>
      </c>
      <c r="J12" s="382">
        <f>'Servente Insalubre'!$G$46</f>
        <v>6027.57</v>
      </c>
      <c r="K12" s="380">
        <f>'Ocorrências Mensais - FAT'!K11</f>
        <v>0</v>
      </c>
      <c r="L12" s="381">
        <f>J12/'Ocorrências Mensais - FAT'!$E$5*K12</f>
        <v>0</v>
      </c>
      <c r="M12" s="383">
        <f>'Custo Estimado Substituto'!$F$33</f>
        <v>5251</v>
      </c>
      <c r="N12" s="384">
        <f>'Ocorrências Mensais - FAT'!L11</f>
        <v>0</v>
      </c>
      <c r="O12" s="385">
        <f>M12/'Ocorrências Mensais - FAT'!$E$5*N12</f>
        <v>0</v>
      </c>
      <c r="P12" s="386">
        <f>'Servente Insalubre'!$H$46</f>
        <v>654.71</v>
      </c>
      <c r="Q12" s="387">
        <f>'Ocorrências Mensais - FAT'!M11</f>
        <v>0</v>
      </c>
      <c r="R12" s="385">
        <f>ROUND((P12/Dados!$G$37*Q12),2)</f>
        <v>0</v>
      </c>
      <c r="S12" s="388">
        <f>I12+L12+O12+R12</f>
        <v>0</v>
      </c>
      <c r="T12" s="389"/>
      <c r="U12" s="390"/>
      <c r="V12" s="391"/>
      <c r="W12" s="392">
        <f>ROUND((F12-S12+V12),2)</f>
        <v>7210.61</v>
      </c>
    </row>
    <row r="13" spans="1:25" s="19" customFormat="1" ht="15.75" x14ac:dyDescent="0.25">
      <c r="A13" s="655"/>
      <c r="B13" s="374" t="str">
        <f>Dados!C8</f>
        <v>Servente de Limpeza  com acúmulo Copeira</v>
      </c>
      <c r="C13" s="375">
        <f>Dados!D8</f>
        <v>220</v>
      </c>
      <c r="D13" s="376">
        <f>Dados!B8</f>
        <v>1</v>
      </c>
      <c r="E13" s="377">
        <f>'Servente acúmulo de Copa'!$F$46</f>
        <v>6400.39</v>
      </c>
      <c r="F13" s="378">
        <f>ROUND((D13*E13),2)</f>
        <v>6400.39</v>
      </c>
      <c r="G13" s="393">
        <f>'Servente acúmulo de Copa'!$I$46</f>
        <v>212.91</v>
      </c>
      <c r="H13" s="394">
        <f>'Ocorrências Mensais - FAT'!F12+'Ocorrências Mensais - FAT'!H12</f>
        <v>0</v>
      </c>
      <c r="I13" s="395">
        <f>(ROUND((G13/Dados!$G$34*H13)-(G13/'Ocorrências Mensais - FAT'!$E$5*'Ocorrências Mensais - FAT'!G12),2))</f>
        <v>0</v>
      </c>
      <c r="J13" s="396">
        <f>'Servente acúmulo de Copa'!$G$46</f>
        <v>4771.43</v>
      </c>
      <c r="K13" s="394">
        <f>'Ocorrências Mensais - FAT'!K12</f>
        <v>0</v>
      </c>
      <c r="L13" s="395">
        <f>J13/'Ocorrências Mensais - FAT'!$E$5*K13</f>
        <v>0</v>
      </c>
      <c r="M13" s="396">
        <f>'Custo Estimado Substituto'!G33</f>
        <v>4159.18</v>
      </c>
      <c r="N13" s="394">
        <f>'Ocorrências Mensais - FAT'!L12</f>
        <v>0</v>
      </c>
      <c r="O13" s="397">
        <f>M13/'Ocorrências Mensais - FAT'!$E$5*N13</f>
        <v>0</v>
      </c>
      <c r="P13" s="398">
        <f>'Servente acúmulo de Copa'!$H$46</f>
        <v>654.71</v>
      </c>
      <c r="Q13" s="399">
        <f>'Ocorrências Mensais - FAT'!M12</f>
        <v>0</v>
      </c>
      <c r="R13" s="397">
        <f>ROUND((P13/Dados!$G$37*Q13),2)</f>
        <v>0</v>
      </c>
      <c r="S13" s="400">
        <f>I13+L13+O13+R13</f>
        <v>0</v>
      </c>
      <c r="T13" s="393">
        <f>'Servente Insalubre'!$J$47</f>
        <v>45.8</v>
      </c>
      <c r="U13" s="399">
        <f>'Ocorrências Mensais - FAT'!N12</f>
        <v>0</v>
      </c>
      <c r="V13" s="401">
        <f>T13*U13</f>
        <v>0</v>
      </c>
      <c r="W13" s="392">
        <f>ROUND((F13-S13+V13),2)</f>
        <v>6400.39</v>
      </c>
    </row>
    <row r="14" spans="1:25" s="19" customFormat="1" ht="15.75" x14ac:dyDescent="0.25">
      <c r="A14" s="655"/>
      <c r="B14" s="374" t="str">
        <f>Dados!C9</f>
        <v>Zelador</v>
      </c>
      <c r="C14" s="375">
        <f>Dados!D9</f>
        <v>220</v>
      </c>
      <c r="D14" s="376">
        <f>Dados!B9</f>
        <v>1</v>
      </c>
      <c r="E14" s="377">
        <f>Zelador!$F$46</f>
        <v>6502.43</v>
      </c>
      <c r="F14" s="378">
        <f>ROUND((D14*E14),2)</f>
        <v>6502.43</v>
      </c>
      <c r="G14" s="393">
        <f>Zelador!$I$46</f>
        <v>150.76</v>
      </c>
      <c r="H14" s="394">
        <f>'Ocorrências Mensais - FAT'!F13+'Ocorrências Mensais - FAT'!H13</f>
        <v>0</v>
      </c>
      <c r="I14" s="395">
        <f>(ROUND((G14/Dados!$G$34*H14)-(G14/'Ocorrências Mensais - FAT'!$E$5*'Ocorrências Mensais - FAT'!G13),2))</f>
        <v>0</v>
      </c>
      <c r="J14" s="396">
        <f>Zelador!$G$46</f>
        <v>6502.43</v>
      </c>
      <c r="K14" s="394">
        <f>'Ocorrências Mensais - FAT'!K13</f>
        <v>0</v>
      </c>
      <c r="L14" s="395">
        <f>J14/'Ocorrências Mensais - FAT'!$E$5*K14</f>
        <v>0</v>
      </c>
      <c r="M14" s="396">
        <f>'Custo Estimado Substituto'!H33</f>
        <v>5580.43</v>
      </c>
      <c r="N14" s="394">
        <f>'Ocorrências Mensais - FAT'!L13</f>
        <v>0</v>
      </c>
      <c r="O14" s="397">
        <f>M14/'Ocorrências Mensais - FAT'!$E$5*N14</f>
        <v>0</v>
      </c>
      <c r="P14" s="398">
        <f>Zelador!$H$46</f>
        <v>654.71</v>
      </c>
      <c r="Q14" s="399">
        <f>'Ocorrências Mensais - FAT'!M13</f>
        <v>0</v>
      </c>
      <c r="R14" s="397">
        <f>ROUND((P14/Dados!$G$37*Q14),2)</f>
        <v>0</v>
      </c>
      <c r="S14" s="400">
        <f>I14+L14+O14+R14</f>
        <v>0</v>
      </c>
      <c r="T14" s="402"/>
      <c r="U14" s="403"/>
      <c r="V14" s="404"/>
      <c r="W14" s="392">
        <f>ROUND((F14-S14+V14),2)</f>
        <v>6502.43</v>
      </c>
    </row>
    <row r="15" spans="1:25" s="19" customFormat="1" ht="15.75" x14ac:dyDescent="0.25">
      <c r="A15" s="405">
        <f>Dados!A10</f>
        <v>333903701</v>
      </c>
      <c r="B15" s="406" t="str">
        <f>Dados!C10</f>
        <v>Auxiliar Administrativo</v>
      </c>
      <c r="C15" s="407">
        <f>Dados!D10</f>
        <v>150</v>
      </c>
      <c r="D15" s="408">
        <f>Dados!B10</f>
        <v>2</v>
      </c>
      <c r="E15" s="409">
        <f>'Aux Adm'!$F$46</f>
        <v>3473.05</v>
      </c>
      <c r="F15" s="410">
        <f>ROUND((D15*E15),2)</f>
        <v>6946.1</v>
      </c>
      <c r="G15" s="411">
        <f>'Aux Adm'!$I$46</f>
        <v>231.17</v>
      </c>
      <c r="H15" s="412">
        <f>'Ocorrências Mensais - FAT'!F14+'Ocorrências Mensais - FAT'!H14</f>
        <v>0</v>
      </c>
      <c r="I15" s="413">
        <f>(ROUND((G15/Dados!$G$34*H15)-(G15/'Ocorrências Mensais - FAT'!$E$5*'Ocorrências Mensais - FAT'!G14),2))</f>
        <v>0</v>
      </c>
      <c r="J15" s="414">
        <f>'Aux Adm'!$G$46</f>
        <v>3473.05</v>
      </c>
      <c r="K15" s="412">
        <f>'Ocorrências Mensais - FAT'!K14</f>
        <v>0</v>
      </c>
      <c r="L15" s="413">
        <f>J15/'Ocorrências Mensais - FAT'!$E$5*K15</f>
        <v>0</v>
      </c>
      <c r="M15" s="414">
        <f>'Custo Estimado Substituto'!I33</f>
        <v>2962.6099999999997</v>
      </c>
      <c r="N15" s="412">
        <f>'Ocorrências Mensais - FAT'!L14</f>
        <v>0</v>
      </c>
      <c r="O15" s="415">
        <f>M15/'Ocorrências Mensais - FAT'!$E$5*N15</f>
        <v>0</v>
      </c>
      <c r="P15" s="416">
        <f>'Aux Adm'!$H$46</f>
        <v>0</v>
      </c>
      <c r="Q15" s="417">
        <f>'Ocorrências Mensais - FAT'!M14</f>
        <v>0</v>
      </c>
      <c r="R15" s="415">
        <f>ROUND((P15/Dados!$G$37*Q15),2)</f>
        <v>0</v>
      </c>
      <c r="S15" s="418">
        <f>I15+L15+O15+R15</f>
        <v>0</v>
      </c>
      <c r="T15" s="419"/>
      <c r="U15" s="420"/>
      <c r="V15" s="421"/>
      <c r="W15" s="422">
        <f>ROUND((F15-S15+V15),2)</f>
        <v>6946.1</v>
      </c>
    </row>
    <row r="16" spans="1:25" s="63" customFormat="1" ht="21.75" customHeight="1" x14ac:dyDescent="0.25">
      <c r="A16" s="656" t="s">
        <v>597</v>
      </c>
      <c r="B16" s="656"/>
      <c r="C16" s="656"/>
      <c r="D16" s="423">
        <f>SUM(D12:D15)</f>
        <v>5</v>
      </c>
      <c r="E16" s="424"/>
      <c r="F16" s="425">
        <f>SUM(F12:F15)</f>
        <v>27059.53</v>
      </c>
      <c r="G16" s="426"/>
      <c r="H16" s="424">
        <f t="shared" ref="H16:O16" si="0">SUM(H12:H15)</f>
        <v>0</v>
      </c>
      <c r="I16" s="427">
        <f t="shared" si="0"/>
        <v>0</v>
      </c>
      <c r="J16" s="428">
        <f t="shared" si="0"/>
        <v>20774.48</v>
      </c>
      <c r="K16" s="424">
        <f t="shared" si="0"/>
        <v>0</v>
      </c>
      <c r="L16" s="427">
        <f t="shared" si="0"/>
        <v>0</v>
      </c>
      <c r="M16" s="429">
        <f t="shared" si="0"/>
        <v>17953.22</v>
      </c>
      <c r="N16" s="424">
        <f t="shared" si="0"/>
        <v>0</v>
      </c>
      <c r="O16" s="425">
        <f t="shared" si="0"/>
        <v>0</v>
      </c>
      <c r="P16" s="426"/>
      <c r="Q16" s="424">
        <f>SUM(Q12:Q15)</f>
        <v>0</v>
      </c>
      <c r="R16" s="425">
        <f>SUM(R12:R15)</f>
        <v>0</v>
      </c>
      <c r="S16" s="430">
        <f>SUM(S12:S15)</f>
        <v>0</v>
      </c>
      <c r="T16" s="431"/>
      <c r="U16" s="424">
        <f>SUM(U12:U15)</f>
        <v>0</v>
      </c>
      <c r="V16" s="427">
        <f>SUM(V12:V15)</f>
        <v>0</v>
      </c>
      <c r="W16" s="432">
        <f>SUM(W12:W15)</f>
        <v>27059.53</v>
      </c>
      <c r="X16" s="433" t="s">
        <v>598</v>
      </c>
      <c r="Y16" s="106"/>
    </row>
    <row r="17" spans="1:23" s="56" customFormat="1" ht="18" customHeight="1" x14ac:dyDescent="0.25">
      <c r="A17" s="657" t="s">
        <v>599</v>
      </c>
      <c r="B17" s="657"/>
      <c r="C17" s="657"/>
      <c r="D17" s="657"/>
      <c r="E17" s="657"/>
      <c r="F17" s="657"/>
      <c r="G17" s="657"/>
      <c r="H17" s="657"/>
      <c r="I17" s="657"/>
      <c r="J17" s="657"/>
      <c r="K17" s="657"/>
      <c r="L17" s="657"/>
      <c r="M17" s="657"/>
      <c r="N17" s="657"/>
      <c r="O17" s="657"/>
      <c r="P17" s="657"/>
      <c r="Q17" s="657"/>
      <c r="R17" s="657"/>
      <c r="S17" s="657"/>
      <c r="T17" s="657"/>
      <c r="U17" s="657"/>
      <c r="V17" s="657"/>
      <c r="W17" s="434">
        <f>Insumos!K51+Insumos!K80</f>
        <v>2192.2025000000003</v>
      </c>
    </row>
    <row r="18" spans="1:23" s="56" customFormat="1" ht="20.25" customHeight="1" x14ac:dyDescent="0.25">
      <c r="A18" s="657" t="s">
        <v>600</v>
      </c>
      <c r="B18" s="657"/>
      <c r="C18" s="657"/>
      <c r="D18" s="657"/>
      <c r="E18" s="657"/>
      <c r="F18" s="657"/>
      <c r="G18" s="657"/>
      <c r="H18" s="657"/>
      <c r="I18" s="657"/>
      <c r="J18" s="657"/>
      <c r="K18" s="657"/>
      <c r="L18" s="657"/>
      <c r="M18" s="657"/>
      <c r="N18" s="657"/>
      <c r="O18" s="657"/>
      <c r="P18" s="657"/>
      <c r="Q18" s="657"/>
      <c r="R18" s="657"/>
      <c r="S18" s="657"/>
      <c r="T18" s="657"/>
      <c r="U18" s="657"/>
      <c r="V18" s="657"/>
      <c r="W18" s="435">
        <f>W16*12</f>
        <v>324714.36</v>
      </c>
    </row>
    <row r="19" spans="1:23" s="68" customFormat="1" ht="24" customHeight="1" x14ac:dyDescent="0.25">
      <c r="A19" s="658" t="s">
        <v>45</v>
      </c>
      <c r="B19" s="658"/>
      <c r="C19" s="658"/>
      <c r="D19" s="658"/>
      <c r="E19" s="658"/>
      <c r="F19" s="658"/>
      <c r="G19" s="658"/>
      <c r="H19" s="658"/>
      <c r="I19" s="658"/>
      <c r="J19" s="658"/>
      <c r="K19" s="658"/>
      <c r="L19" s="658"/>
      <c r="M19" s="658"/>
      <c r="N19" s="658"/>
      <c r="O19" s="658"/>
      <c r="P19" s="658"/>
      <c r="Q19" s="658"/>
      <c r="R19" s="658"/>
      <c r="S19" s="658"/>
      <c r="T19" s="658"/>
      <c r="U19" s="658"/>
      <c r="V19" s="658"/>
      <c r="W19" s="658"/>
    </row>
    <row r="20" spans="1:23" s="56" customFormat="1" ht="12.75" x14ac:dyDescent="0.25">
      <c r="A20" s="652" t="str">
        <f>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R$45,8 por dia em que este fato ocorrer.</v>
      </c>
      <c r="B20" s="652"/>
      <c r="C20" s="652"/>
      <c r="D20" s="652"/>
      <c r="E20" s="652"/>
      <c r="F20" s="652"/>
      <c r="G20" s="652"/>
      <c r="H20" s="652"/>
      <c r="I20" s="652"/>
      <c r="J20" s="652"/>
      <c r="K20" s="652"/>
      <c r="L20" s="652"/>
      <c r="M20" s="652"/>
      <c r="N20" s="652"/>
      <c r="O20" s="652"/>
      <c r="P20" s="652"/>
      <c r="Q20" s="652"/>
      <c r="R20" s="652"/>
      <c r="S20" s="652"/>
      <c r="T20" s="652"/>
      <c r="U20" s="652"/>
      <c r="V20" s="652"/>
      <c r="W20" s="652"/>
    </row>
    <row r="21" spans="1:23" s="436" customFormat="1" ht="18.75" customHeight="1" x14ac:dyDescent="0.25">
      <c r="A21" s="653" t="s">
        <v>601</v>
      </c>
      <c r="B21" s="653"/>
      <c r="C21" s="653"/>
      <c r="D21" s="653"/>
      <c r="E21" s="653"/>
      <c r="F21" s="653"/>
      <c r="G21" s="653"/>
      <c r="H21" s="653"/>
      <c r="I21" s="653"/>
      <c r="J21" s="653"/>
      <c r="K21" s="653"/>
      <c r="L21" s="653"/>
      <c r="M21" s="653"/>
      <c r="N21" s="653"/>
      <c r="O21" s="653"/>
      <c r="P21" s="653"/>
      <c r="Q21" s="653"/>
      <c r="R21" s="653"/>
      <c r="S21" s="653"/>
      <c r="T21" s="653"/>
      <c r="U21" s="653"/>
      <c r="V21" s="653"/>
      <c r="W21" s="653"/>
    </row>
    <row r="22" spans="1:23" x14ac:dyDescent="0.25">
      <c r="A22" s="654"/>
      <c r="B22" s="654"/>
      <c r="C22" s="654"/>
      <c r="D22" s="654"/>
      <c r="E22" s="654"/>
      <c r="F22" s="654"/>
      <c r="G22" s="654"/>
      <c r="H22" s="654"/>
      <c r="I22" s="654"/>
      <c r="J22" s="654"/>
      <c r="K22" s="654"/>
      <c r="L22" s="654"/>
      <c r="M22" s="654"/>
      <c r="N22" s="654"/>
      <c r="O22" s="654"/>
      <c r="P22" s="654"/>
      <c r="Q22" s="654"/>
      <c r="R22" s="654"/>
      <c r="S22" s="654"/>
      <c r="T22" s="654"/>
      <c r="U22" s="654"/>
      <c r="V22" s="654"/>
      <c r="W22" s="654"/>
    </row>
    <row r="23" spans="1:23" x14ac:dyDescent="0.25">
      <c r="A23" s="654"/>
      <c r="B23" s="654"/>
      <c r="C23" s="654"/>
      <c r="D23" s="654"/>
      <c r="E23" s="654"/>
      <c r="F23" s="654"/>
      <c r="G23" s="654"/>
      <c r="H23" s="654"/>
      <c r="I23" s="654"/>
      <c r="J23" s="654"/>
      <c r="K23" s="654"/>
      <c r="L23" s="654"/>
      <c r="M23" s="654"/>
      <c r="N23" s="654"/>
      <c r="O23" s="654"/>
      <c r="P23" s="654"/>
      <c r="Q23" s="654"/>
      <c r="R23" s="654"/>
      <c r="S23" s="654"/>
      <c r="T23" s="654"/>
      <c r="U23" s="654"/>
      <c r="V23" s="654"/>
      <c r="W23" s="654"/>
    </row>
  </sheetData>
  <mergeCells count="30">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H10:I10"/>
    <mergeCell ref="J10:L10"/>
    <mergeCell ref="M10:O10"/>
    <mergeCell ref="P10:R10"/>
    <mergeCell ref="S10:S11"/>
    <mergeCell ref="T10:V10"/>
    <mergeCell ref="A20:W20"/>
    <mergeCell ref="A21:W21"/>
    <mergeCell ref="A22:W22"/>
    <mergeCell ref="A23:W23"/>
    <mergeCell ref="A12:A14"/>
    <mergeCell ref="A16:C16"/>
    <mergeCell ref="A17:V17"/>
    <mergeCell ref="A18:V18"/>
    <mergeCell ref="A19:W19"/>
  </mergeCells>
  <printOptions horizontalCentered="1" verticalCentered="1"/>
  <pageMargins left="0.51180555555555596" right="0.51180555555555596" top="0.78749999999999998" bottom="0.78749999999999998" header="0.511811023622047" footer="0.511811023622047"/>
  <pageSetup paperSize="9" scale="28" fitToHeight="2" orientation="portrait" horizontalDpi="300" verticalDpi="300" r:id="rId1"/>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Template/>
  <TotalTime>134</TotalTime>
  <Application>Microsoft Excel</Application>
  <DocSecurity>0</DocSecurity>
  <ScaleCrop>false</ScaleCrop>
  <HeadingPairs>
    <vt:vector size="4" baseType="variant">
      <vt:variant>
        <vt:lpstr>Planilhas</vt:lpstr>
      </vt:variant>
      <vt:variant>
        <vt:i4>15</vt:i4>
      </vt:variant>
      <vt:variant>
        <vt:lpstr>Intervalos Nomeados</vt:lpstr>
      </vt:variant>
      <vt:variant>
        <vt:i4>17</vt:i4>
      </vt:variant>
    </vt:vector>
  </HeadingPairs>
  <TitlesOfParts>
    <vt:vector size="32" baseType="lpstr">
      <vt:lpstr>Ocorrências Mensais - FAT</vt:lpstr>
      <vt:lpstr>INSTRUÇÕES</vt:lpstr>
      <vt:lpstr>Dados</vt:lpstr>
      <vt:lpstr>Encargos</vt:lpstr>
      <vt:lpstr>Insumos</vt:lpstr>
      <vt:lpstr>EPI</vt:lpstr>
      <vt:lpstr>Equip</vt:lpstr>
      <vt:lpstr>Unif</vt:lpstr>
      <vt:lpstr>Resumo</vt:lpstr>
      <vt:lpstr>Servente Insalubre</vt:lpstr>
      <vt:lpstr>Servente acúmulo de Copa</vt:lpstr>
      <vt:lpstr>Zelador</vt:lpstr>
      <vt:lpstr>Aux Adm</vt:lpstr>
      <vt:lpstr>Custo Estimado Substituto</vt:lpstr>
      <vt:lpstr>IPCA</vt:lpstr>
      <vt:lpstr>'Aux Adm'!Area_de_impressao</vt:lpstr>
      <vt:lpstr>Dados!Area_de_impressao</vt:lpstr>
      <vt:lpstr>Encargos!Area_de_impressao</vt:lpstr>
      <vt:lpstr>INSTRUÇÕES!Area_de_impressao</vt:lpstr>
      <vt:lpstr>Insumos!Area_de_impressao</vt:lpstr>
      <vt:lpstr>'Servente acúmulo de Copa'!Area_de_impressao</vt:lpstr>
      <vt:lpstr>'Servente Insalubre'!Area_de_impressao</vt:lpstr>
      <vt:lpstr>Unif!Area_de_impressao</vt:lpstr>
      <vt:lpstr>Zelador!Area_de_impressao</vt:lpstr>
      <vt:lpstr>'Aux Adm'!Print_Area_0</vt:lpstr>
      <vt:lpstr>Dados!Print_Area_0</vt:lpstr>
      <vt:lpstr>Encargos!Print_Area_0</vt:lpstr>
      <vt:lpstr>Insumos!Print_Area_0</vt:lpstr>
      <vt:lpstr>'Servente acúmulo de Copa'!Print_Area_0</vt:lpstr>
      <vt:lpstr>'Servente Insalubre'!Print_Area_0</vt:lpstr>
      <vt:lpstr>Unif!Print_Area_0</vt:lpstr>
      <vt:lpstr>Zelador!Print_Area_0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Fábio Lucas Gouveia dos Santos</dc:creator>
  <dc:description/>
  <cp:lastModifiedBy>Leonardo Queiroz Lyrio</cp:lastModifiedBy>
  <cp:revision>13</cp:revision>
  <dcterms:created xsi:type="dcterms:W3CDTF">2015-06-05T18:17:20Z</dcterms:created>
  <dcterms:modified xsi:type="dcterms:W3CDTF">2025-12-29T16:48:58Z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ProgId">
    <vt:lpwstr>Excel.Sheet</vt:lpwstr>
  </property>
  <property fmtid="{D5CDD505-2E9C-101B-9397-08002B2CF9AE}" pid="5" name="ScaleCrop">
    <vt:bool>false</vt:bool>
  </property>
  <property fmtid="{D5CDD505-2E9C-101B-9397-08002B2CF9AE}" pid="6" name="ShareDoc">
    <vt:bool>false</vt:bool>
  </property>
</Properties>
</file>