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Administrativo05\AppData\Local\Microsoft\Windows\INetCache\Content.Outlook\EJVAYAIO\"/>
    </mc:Choice>
  </mc:AlternateContent>
  <xr:revisionPtr revIDLastSave="0" documentId="13_ncr:1_{6292533B-6B3D-47DA-B90C-485E4577AF78}" xr6:coauthVersionLast="47" xr6:coauthVersionMax="47" xr10:uidLastSave="{00000000-0000-0000-0000-000000000000}"/>
  <bookViews>
    <workbookView xWindow="21480" yWindow="1875" windowWidth="15600" windowHeight="11160" tabRatio="950" firstSheet="2" activeTab="3" xr2:uid="{00000000-000D-0000-FFFF-FFFF00000000}"/>
  </bookViews>
  <sheets>
    <sheet name="Ocorrências Mensais - FAT" sheetId="1" state="hidden" r:id="rId1"/>
    <sheet name="Receita " sheetId="17" state="hidden" r:id="rId2"/>
    <sheet name="INSTRUÇÕES" sheetId="2" r:id="rId3"/>
    <sheet name="Dados" sheetId="3" r:id="rId4"/>
    <sheet name="Encargos" sheetId="4" r:id="rId5"/>
    <sheet name="Mat" sheetId="5" r:id="rId6"/>
    <sheet name="EPI" sheetId="6" r:id="rId7"/>
    <sheet name="Equip" sheetId="7" r:id="rId8"/>
    <sheet name="Unif" sheetId="8" r:id="rId9"/>
    <sheet name="Serv Ins" sheetId="9" r:id="rId10"/>
    <sheet name="Serv Copeira" sheetId="10" r:id="rId11"/>
    <sheet name="Serv" sheetId="11" r:id="rId12"/>
    <sheet name="Porteiro" sheetId="12" r:id="rId13"/>
    <sheet name="Auxiliar Adm" sheetId="13" r:id="rId14"/>
    <sheet name="Resumo" sheetId="14" r:id="rId15"/>
    <sheet name="Custo Estimado Substituto" sheetId="15" r:id="rId16"/>
    <sheet name="IPCA" sheetId="16" state="hidden" r:id="rId17"/>
  </sheets>
  <externalReferences>
    <externalReference r:id="rId18"/>
  </externalReferences>
  <definedNames>
    <definedName name="_xlnm.Print_Area" localSheetId="13">'Auxiliar Adm'!$A$1:$J$46</definedName>
    <definedName name="_xlnm.Print_Area" localSheetId="3">Dados!$A$1:$S$56</definedName>
    <definedName name="_xlnm.Print_Area" localSheetId="4">Encargos!$A$1:$H$59</definedName>
    <definedName name="_xlnm.Print_Area" localSheetId="5">Mat!$A$1:$L$54</definedName>
    <definedName name="_xlnm.Print_Area" localSheetId="12">Porteiro!$A$1:$J$46</definedName>
    <definedName name="_xlnm.Print_Area" localSheetId="14">Resumo!$A$1:$W$102</definedName>
    <definedName name="_xlnm.Print_Area" localSheetId="11">Serv!$A$1:$J$46</definedName>
    <definedName name="_xlnm.Print_Area" localSheetId="10">'Serv Copeira'!$A$1:$J$46</definedName>
    <definedName name="_xlnm.Print_Area" localSheetId="9">'Serv Ins'!$A$1:$J$46</definedName>
    <definedName name="_xlnm.Print_Area" localSheetId="8">Unif!$A$1:$H$34</definedName>
    <definedName name="BS">NA()</definedName>
    <definedName name="BT">NA()</definedName>
    <definedName name="CIDADE">NA()</definedName>
    <definedName name="CIDADES">NA()</definedName>
    <definedName name="CPMF">NA()</definedName>
    <definedName name="d">NA()</definedName>
    <definedName name="ENCARGOS">NA()</definedName>
    <definedName name="Excel_BuiltIn_Print_Area_1_1">"$#REF!.$A$2:$C$99"</definedName>
    <definedName name="Excel_BuiltIn_Print_Area_6_1">NA()</definedName>
    <definedName name="Excel_BuiltIn_Print_Area_7_1">NA()</definedName>
    <definedName name="Excel_BuiltIn_Print_Area_8_1">NA()</definedName>
    <definedName name="Excel_BuiltIn_Print_Area_9_1">NA()</definedName>
    <definedName name="ISS">NA()</definedName>
    <definedName name="Jornada">NA()</definedName>
    <definedName name="Print_Area_0" localSheetId="13">'Auxiliar Adm'!$A$1:$J$46</definedName>
    <definedName name="Print_Area_0" localSheetId="3">Dados!$A$1:$S$56</definedName>
    <definedName name="Print_Area_0" localSheetId="4">Encargos!$A$1:$H$59</definedName>
    <definedName name="Print_Area_0" localSheetId="5">Mat!$A$1:$L$54</definedName>
    <definedName name="Print_Area_0" localSheetId="12">Porteiro!$A$1:$J$46</definedName>
    <definedName name="Print_Area_0" localSheetId="11">Serv!$A$1:$J$46</definedName>
    <definedName name="Print_Area_0" localSheetId="10">'Serv Copeira'!$A$1:$J$46</definedName>
    <definedName name="Print_Area_0" localSheetId="9">'Serv Ins'!$A$1:$J$46</definedName>
    <definedName name="Print_Area_0" localSheetId="8">Unif!$A$1:$H$34</definedName>
    <definedName name="TERRIT">NA()</definedName>
    <definedName name="Tipo_de_Joranda_de_Trabalho">NA()</definedName>
    <definedName name="TP_SERV">NA()</definedName>
    <definedName name="TP_SERVPERC">NA()</definedName>
    <definedName name="VRSELEC">NA()</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C19" i="17" l="1"/>
  <c r="C5" i="17"/>
  <c r="G10" i="5" l="1"/>
  <c r="AG22" i="16"/>
  <c r="AH22" i="16" s="1"/>
  <c r="AE22" i="16"/>
  <c r="Z22" i="16"/>
  <c r="AA22" i="16" s="1"/>
  <c r="X22" i="16"/>
  <c r="S22" i="16"/>
  <c r="T22" i="16" s="1"/>
  <c r="Q22" i="16"/>
  <c r="L22" i="16"/>
  <c r="M22" i="16" s="1"/>
  <c r="J22" i="16"/>
  <c r="I22" i="16"/>
  <c r="P22" i="16" s="1"/>
  <c r="W22" i="16" s="1"/>
  <c r="AD22" i="16" s="1"/>
  <c r="F22" i="16"/>
  <c r="AH21" i="16"/>
  <c r="AE21" i="16"/>
  <c r="AA21" i="16"/>
  <c r="X21" i="16"/>
  <c r="T21" i="16"/>
  <c r="Q21" i="16"/>
  <c r="M21" i="16"/>
  <c r="J21" i="16"/>
  <c r="I21" i="16"/>
  <c r="P21" i="16" s="1"/>
  <c r="W21" i="16" s="1"/>
  <c r="AD21" i="16" s="1"/>
  <c r="F21" i="16"/>
  <c r="AH20" i="16"/>
  <c r="AE20" i="16"/>
  <c r="AA20" i="16"/>
  <c r="X20" i="16"/>
  <c r="T20" i="16"/>
  <c r="Q20" i="16"/>
  <c r="M20" i="16"/>
  <c r="J20" i="16"/>
  <c r="I20" i="16"/>
  <c r="P20" i="16" s="1"/>
  <c r="W20" i="16" s="1"/>
  <c r="AD20" i="16" s="1"/>
  <c r="F20" i="16"/>
  <c r="AH19" i="16"/>
  <c r="AE19" i="16"/>
  <c r="AA19" i="16"/>
  <c r="X19" i="16"/>
  <c r="T19" i="16"/>
  <c r="Q19" i="16"/>
  <c r="M19" i="16"/>
  <c r="J19" i="16"/>
  <c r="I19" i="16"/>
  <c r="P19" i="16" s="1"/>
  <c r="W19" i="16" s="1"/>
  <c r="AD19" i="16" s="1"/>
  <c r="F19" i="16"/>
  <c r="AH18" i="16"/>
  <c r="AE18" i="16"/>
  <c r="AA18" i="16"/>
  <c r="X18" i="16"/>
  <c r="T18" i="16"/>
  <c r="Q18" i="16"/>
  <c r="M18" i="16"/>
  <c r="J18" i="16"/>
  <c r="I18" i="16"/>
  <c r="P18" i="16" s="1"/>
  <c r="W18" i="16" s="1"/>
  <c r="AD18" i="16" s="1"/>
  <c r="F18" i="16"/>
  <c r="AH17" i="16"/>
  <c r="AE17" i="16"/>
  <c r="AA17" i="16"/>
  <c r="X17" i="16"/>
  <c r="T17" i="16"/>
  <c r="Q17" i="16"/>
  <c r="M17" i="16"/>
  <c r="J17" i="16"/>
  <c r="I17" i="16"/>
  <c r="P17" i="16" s="1"/>
  <c r="W17" i="16" s="1"/>
  <c r="AD17" i="16" s="1"/>
  <c r="F17" i="16"/>
  <c r="AH16" i="16"/>
  <c r="AE16" i="16"/>
  <c r="AA16" i="16"/>
  <c r="X16" i="16"/>
  <c r="T16" i="16"/>
  <c r="Q16" i="16"/>
  <c r="M16" i="16"/>
  <c r="J16" i="16"/>
  <c r="I16" i="16"/>
  <c r="P16" i="16" s="1"/>
  <c r="W16" i="16" s="1"/>
  <c r="AD16" i="16" s="1"/>
  <c r="F16" i="16"/>
  <c r="AH15" i="16"/>
  <c r="AE15" i="16"/>
  <c r="AA15" i="16"/>
  <c r="X15" i="16"/>
  <c r="T15" i="16"/>
  <c r="Q15" i="16"/>
  <c r="M15" i="16"/>
  <c r="J15" i="16"/>
  <c r="I15" i="16"/>
  <c r="P15" i="16" s="1"/>
  <c r="W15" i="16" s="1"/>
  <c r="AD15" i="16" s="1"/>
  <c r="F15" i="16"/>
  <c r="AH14" i="16"/>
  <c r="AE14" i="16"/>
  <c r="AA14" i="16"/>
  <c r="X14" i="16"/>
  <c r="T14" i="16"/>
  <c r="Q14" i="16"/>
  <c r="M14" i="16"/>
  <c r="J14" i="16"/>
  <c r="I14" i="16"/>
  <c r="P14" i="16" s="1"/>
  <c r="W14" i="16" s="1"/>
  <c r="AD14" i="16" s="1"/>
  <c r="F14" i="16"/>
  <c r="AH13" i="16"/>
  <c r="AE13" i="16"/>
  <c r="AA13" i="16"/>
  <c r="X13" i="16"/>
  <c r="T13" i="16"/>
  <c r="Q13" i="16"/>
  <c r="M13" i="16"/>
  <c r="J13" i="16"/>
  <c r="I13" i="16"/>
  <c r="P13" i="16" s="1"/>
  <c r="W13" i="16" s="1"/>
  <c r="AD13" i="16" s="1"/>
  <c r="F13" i="16"/>
  <c r="AH12" i="16"/>
  <c r="AE12" i="16"/>
  <c r="AA12" i="16"/>
  <c r="X12" i="16"/>
  <c r="T12" i="16"/>
  <c r="Q12" i="16"/>
  <c r="M12" i="16"/>
  <c r="J12" i="16"/>
  <c r="I12" i="16"/>
  <c r="P12" i="16" s="1"/>
  <c r="W12" i="16" s="1"/>
  <c r="AD12" i="16" s="1"/>
  <c r="F12" i="16"/>
  <c r="AH11" i="16"/>
  <c r="AE11" i="16"/>
  <c r="AA11" i="16"/>
  <c r="X11" i="16"/>
  <c r="T11" i="16"/>
  <c r="Q11" i="16"/>
  <c r="M11" i="16"/>
  <c r="J11" i="16"/>
  <c r="I11" i="16"/>
  <c r="P11" i="16" s="1"/>
  <c r="W11" i="16" s="1"/>
  <c r="AD11" i="16" s="1"/>
  <c r="F11" i="16"/>
  <c r="AG10" i="16"/>
  <c r="AH10" i="16" s="1"/>
  <c r="AI10" i="16" s="1"/>
  <c r="AE10" i="16"/>
  <c r="Z10" i="16"/>
  <c r="AA10" i="16" s="1"/>
  <c r="AB10" i="16" s="1"/>
  <c r="AB11" i="16" s="1"/>
  <c r="AB12" i="16" s="1"/>
  <c r="AB13" i="16" s="1"/>
  <c r="AB14" i="16" s="1"/>
  <c r="AB15" i="16" s="1"/>
  <c r="AB16" i="16" s="1"/>
  <c r="AB17" i="16" s="1"/>
  <c r="AB18" i="16" s="1"/>
  <c r="AB19" i="16" s="1"/>
  <c r="AB20" i="16" s="1"/>
  <c r="AB21" i="16" s="1"/>
  <c r="AB22" i="16" s="1"/>
  <c r="AB23" i="16" s="1"/>
  <c r="X10" i="16"/>
  <c r="T10" i="16"/>
  <c r="U10" i="16" s="1"/>
  <c r="S10" i="16"/>
  <c r="Q10" i="16"/>
  <c r="L10" i="16"/>
  <c r="M10" i="16" s="1"/>
  <c r="N10" i="16" s="1"/>
  <c r="N11" i="16" s="1"/>
  <c r="N12" i="16" s="1"/>
  <c r="N13" i="16" s="1"/>
  <c r="N14" i="16" s="1"/>
  <c r="N15" i="16" s="1"/>
  <c r="N16" i="16" s="1"/>
  <c r="N17" i="16" s="1"/>
  <c r="N18" i="16" s="1"/>
  <c r="N19" i="16" s="1"/>
  <c r="N20" i="16" s="1"/>
  <c r="N21" i="16" s="1"/>
  <c r="J10" i="16"/>
  <c r="I10" i="16"/>
  <c r="P10" i="16" s="1"/>
  <c r="W10" i="16" s="1"/>
  <c r="AD10" i="16" s="1"/>
  <c r="G10" i="16"/>
  <c r="G11" i="16" s="1"/>
  <c r="G12" i="16" s="1"/>
  <c r="F10" i="16"/>
  <c r="E24" i="15"/>
  <c r="B24" i="15"/>
  <c r="E23" i="15"/>
  <c r="E21" i="15"/>
  <c r="E19" i="15"/>
  <c r="E18" i="15"/>
  <c r="J5" i="15"/>
  <c r="I5" i="15"/>
  <c r="H5" i="15"/>
  <c r="G5" i="15"/>
  <c r="F5" i="15"/>
  <c r="B3" i="15"/>
  <c r="B2" i="15"/>
  <c r="B1" i="15"/>
  <c r="Q16" i="14"/>
  <c r="N16" i="14"/>
  <c r="D16" i="14"/>
  <c r="C16" i="14"/>
  <c r="B16" i="14"/>
  <c r="A16" i="14"/>
  <c r="Q15" i="14"/>
  <c r="N15" i="14"/>
  <c r="D15" i="14"/>
  <c r="C15" i="14"/>
  <c r="B15" i="14"/>
  <c r="U14" i="14"/>
  <c r="Q14" i="14"/>
  <c r="N14" i="14"/>
  <c r="N17" i="14" s="1"/>
  <c r="D14" i="14"/>
  <c r="C14" i="14"/>
  <c r="B14" i="14"/>
  <c r="U13" i="14"/>
  <c r="U17" i="14" s="1"/>
  <c r="Q13" i="14"/>
  <c r="N13" i="14"/>
  <c r="D13" i="14"/>
  <c r="D17" i="14" s="1"/>
  <c r="C13" i="14"/>
  <c r="B13" i="14"/>
  <c r="Q12" i="14"/>
  <c r="N12" i="14"/>
  <c r="D12" i="14"/>
  <c r="C12" i="14"/>
  <c r="B12" i="14"/>
  <c r="A12" i="14"/>
  <c r="B3" i="14"/>
  <c r="A5" i="14" s="1"/>
  <c r="B2" i="14"/>
  <c r="B1" i="14"/>
  <c r="A44" i="13"/>
  <c r="D42" i="13"/>
  <c r="D41" i="13"/>
  <c r="D40" i="13"/>
  <c r="D39" i="13"/>
  <c r="D35" i="13"/>
  <c r="D33" i="13"/>
  <c r="J29" i="13"/>
  <c r="F25" i="13"/>
  <c r="F24" i="13"/>
  <c r="E23" i="13"/>
  <c r="D23" i="13"/>
  <c r="E22" i="13"/>
  <c r="D22" i="13"/>
  <c r="C22" i="13"/>
  <c r="F21" i="13"/>
  <c r="G21" i="13" s="1"/>
  <c r="F20" i="13"/>
  <c r="G20" i="13" s="1"/>
  <c r="I14" i="13"/>
  <c r="I16" i="13" s="1"/>
  <c r="H14" i="13"/>
  <c r="H16" i="13" s="1"/>
  <c r="E13" i="13"/>
  <c r="D13" i="13"/>
  <c r="C13" i="13"/>
  <c r="F13" i="13" s="1"/>
  <c r="G13" i="13" s="1"/>
  <c r="E12" i="13"/>
  <c r="D12" i="13"/>
  <c r="F12" i="13" s="1"/>
  <c r="E11" i="13"/>
  <c r="F11" i="13" s="1"/>
  <c r="D11" i="13"/>
  <c r="F23" i="13" s="1"/>
  <c r="J13" i="15" s="1"/>
  <c r="A7" i="13"/>
  <c r="B11" i="13" s="1"/>
  <c r="B3" i="13"/>
  <c r="B2" i="13"/>
  <c r="B1" i="13"/>
  <c r="D42" i="12"/>
  <c r="D41" i="12"/>
  <c r="D40" i="12"/>
  <c r="D39" i="12"/>
  <c r="D35" i="12"/>
  <c r="D33" i="12"/>
  <c r="J29" i="12"/>
  <c r="F28" i="12"/>
  <c r="G28" i="12" s="1"/>
  <c r="F26" i="12"/>
  <c r="G26" i="12" s="1"/>
  <c r="F25" i="12"/>
  <c r="F24" i="12"/>
  <c r="E23" i="12"/>
  <c r="D23" i="12"/>
  <c r="E22" i="12"/>
  <c r="D22" i="12"/>
  <c r="C22" i="12"/>
  <c r="F21" i="12"/>
  <c r="G21" i="12" s="1"/>
  <c r="F20" i="12"/>
  <c r="G20" i="12" s="1"/>
  <c r="I14" i="12"/>
  <c r="I16" i="12" s="1"/>
  <c r="H14" i="12"/>
  <c r="H16" i="12" s="1"/>
  <c r="E13" i="12"/>
  <c r="F13" i="12" s="1"/>
  <c r="G13" i="12" s="1"/>
  <c r="D13" i="12"/>
  <c r="C13" i="12"/>
  <c r="E12" i="12"/>
  <c r="F12" i="12" s="1"/>
  <c r="D12" i="12"/>
  <c r="E11" i="12"/>
  <c r="F11" i="12" s="1"/>
  <c r="D11" i="12"/>
  <c r="F23" i="12" s="1"/>
  <c r="A7" i="12"/>
  <c r="B3" i="12"/>
  <c r="B2" i="12"/>
  <c r="B1" i="12"/>
  <c r="D42" i="11"/>
  <c r="D41" i="11"/>
  <c r="D40" i="11"/>
  <c r="D39" i="11"/>
  <c r="D35" i="11"/>
  <c r="D33" i="11"/>
  <c r="D36" i="11" s="1"/>
  <c r="J29" i="11"/>
  <c r="F25" i="11"/>
  <c r="E23" i="11"/>
  <c r="D23" i="11"/>
  <c r="E22" i="11"/>
  <c r="D22" i="11"/>
  <c r="C22" i="11"/>
  <c r="F21" i="11"/>
  <c r="G21" i="11" s="1"/>
  <c r="F20" i="11"/>
  <c r="G20" i="11" s="1"/>
  <c r="I16" i="11"/>
  <c r="J14" i="11"/>
  <c r="I14" i="11"/>
  <c r="H14" i="11"/>
  <c r="H16" i="11" s="1"/>
  <c r="E13" i="11"/>
  <c r="D13" i="11"/>
  <c r="C13" i="11"/>
  <c r="G12" i="11"/>
  <c r="F12" i="11"/>
  <c r="J12" i="11" s="1"/>
  <c r="E12" i="11"/>
  <c r="D12" i="11"/>
  <c r="E11" i="11"/>
  <c r="D11" i="11"/>
  <c r="A7" i="11"/>
  <c r="A44" i="11" s="1"/>
  <c r="B3" i="11"/>
  <c r="B2" i="11"/>
  <c r="B1" i="11"/>
  <c r="D42" i="10"/>
  <c r="D41" i="10"/>
  <c r="D40" i="10"/>
  <c r="D39" i="10"/>
  <c r="D35" i="10"/>
  <c r="D33" i="10"/>
  <c r="J29" i="10"/>
  <c r="F25" i="10"/>
  <c r="E23" i="10"/>
  <c r="D23" i="10"/>
  <c r="E22" i="10"/>
  <c r="D22" i="10"/>
  <c r="C22" i="10"/>
  <c r="F21" i="10"/>
  <c r="G21" i="10" s="1"/>
  <c r="G20" i="10"/>
  <c r="F20" i="10"/>
  <c r="I14" i="10"/>
  <c r="I16" i="10" s="1"/>
  <c r="H14" i="10"/>
  <c r="H16" i="10" s="1"/>
  <c r="D13" i="10"/>
  <c r="C13" i="10"/>
  <c r="E12" i="10"/>
  <c r="D12" i="10"/>
  <c r="E11" i="10"/>
  <c r="D11" i="10"/>
  <c r="A7" i="10"/>
  <c r="A44" i="10" s="1"/>
  <c r="B3" i="10"/>
  <c r="B2" i="10"/>
  <c r="B1" i="10"/>
  <c r="D42" i="9"/>
  <c r="D41" i="9"/>
  <c r="C18" i="17" s="1"/>
  <c r="D40" i="9"/>
  <c r="C16" i="17" s="1"/>
  <c r="D39" i="9"/>
  <c r="C17" i="17" s="1"/>
  <c r="D35" i="9"/>
  <c r="D33" i="9"/>
  <c r="J29" i="9"/>
  <c r="F25" i="9"/>
  <c r="E23" i="9"/>
  <c r="D23" i="9"/>
  <c r="E22" i="9"/>
  <c r="D22" i="9"/>
  <c r="C22" i="9"/>
  <c r="F21" i="9"/>
  <c r="G21" i="9" s="1"/>
  <c r="F20" i="9"/>
  <c r="D11" i="17" s="1"/>
  <c r="H16" i="9"/>
  <c r="I14" i="9"/>
  <c r="I16" i="9" s="1"/>
  <c r="H14" i="9"/>
  <c r="E13" i="9"/>
  <c r="F13" i="9" s="1"/>
  <c r="G13" i="9" s="1"/>
  <c r="D13" i="9"/>
  <c r="C13" i="9"/>
  <c r="E12" i="9"/>
  <c r="D12" i="9"/>
  <c r="E11" i="9"/>
  <c r="D11" i="9"/>
  <c r="F23" i="9" s="1"/>
  <c r="A7" i="9"/>
  <c r="B11" i="9" s="1"/>
  <c r="B3" i="9"/>
  <c r="B2" i="9"/>
  <c r="B1" i="9"/>
  <c r="A32" i="8"/>
  <c r="K31" i="8"/>
  <c r="L31" i="8" s="1"/>
  <c r="M31" i="8" s="1"/>
  <c r="N31" i="8" s="1"/>
  <c r="O31" i="8" s="1"/>
  <c r="K30" i="8"/>
  <c r="L30" i="8" s="1"/>
  <c r="M30" i="8" s="1"/>
  <c r="N30" i="8" s="1"/>
  <c r="O30" i="8" s="1"/>
  <c r="A25" i="8"/>
  <c r="F25" i="8" s="1"/>
  <c r="H25" i="8" s="1"/>
  <c r="L23" i="8"/>
  <c r="M23" i="8" s="1"/>
  <c r="N23" i="8" s="1"/>
  <c r="O23" i="8" s="1"/>
  <c r="K23" i="8"/>
  <c r="A19" i="8"/>
  <c r="K18" i="8"/>
  <c r="L18" i="8" s="1"/>
  <c r="M18" i="8" s="1"/>
  <c r="N18" i="8" s="1"/>
  <c r="O18" i="8" s="1"/>
  <c r="H18" i="8"/>
  <c r="F18" i="8"/>
  <c r="F17" i="8"/>
  <c r="H17" i="8" s="1"/>
  <c r="L16" i="8"/>
  <c r="M16" i="8" s="1"/>
  <c r="N16" i="8" s="1"/>
  <c r="O16" i="8" s="1"/>
  <c r="K16" i="8"/>
  <c r="H16" i="8"/>
  <c r="F16" i="8"/>
  <c r="L11" i="8"/>
  <c r="M11" i="8" s="1"/>
  <c r="N11" i="8" s="1"/>
  <c r="O11" i="8" s="1"/>
  <c r="K11" i="8"/>
  <c r="A11" i="8"/>
  <c r="L10" i="8"/>
  <c r="M10" i="8" s="1"/>
  <c r="N10" i="8" s="1"/>
  <c r="O10" i="8" s="1"/>
  <c r="K10" i="8"/>
  <c r="K9" i="8"/>
  <c r="L9" i="8" s="1"/>
  <c r="M9" i="8" s="1"/>
  <c r="N9" i="8" s="1"/>
  <c r="O9" i="8" s="1"/>
  <c r="B3" i="8"/>
  <c r="B2" i="8"/>
  <c r="B1" i="8"/>
  <c r="E9" i="7"/>
  <c r="F9" i="7" s="1"/>
  <c r="G9" i="7" s="1"/>
  <c r="G11" i="7" s="1"/>
  <c r="B3" i="7"/>
  <c r="B2" i="7"/>
  <c r="B1" i="7"/>
  <c r="E8" i="6"/>
  <c r="F8" i="6" s="1"/>
  <c r="B3" i="6"/>
  <c r="B2" i="6"/>
  <c r="B1" i="6"/>
  <c r="L52" i="5"/>
  <c r="L51" i="5"/>
  <c r="L50" i="5"/>
  <c r="O49" i="5"/>
  <c r="P49" i="5" s="1"/>
  <c r="Q49" i="5" s="1"/>
  <c r="R49" i="5" s="1"/>
  <c r="S49" i="5" s="1"/>
  <c r="L49" i="5"/>
  <c r="O48" i="5"/>
  <c r="P48" i="5" s="1"/>
  <c r="Q48" i="5" s="1"/>
  <c r="R48" i="5" s="1"/>
  <c r="S48" i="5" s="1"/>
  <c r="L48" i="5"/>
  <c r="P47" i="5"/>
  <c r="Q47" i="5" s="1"/>
  <c r="R47" i="5" s="1"/>
  <c r="S47" i="5" s="1"/>
  <c r="O47" i="5"/>
  <c r="L47" i="5"/>
  <c r="O46" i="5"/>
  <c r="P46" i="5" s="1"/>
  <c r="Q46" i="5" s="1"/>
  <c r="R46" i="5" s="1"/>
  <c r="S46" i="5" s="1"/>
  <c r="L46" i="5"/>
  <c r="O39" i="5"/>
  <c r="P39" i="5" s="1"/>
  <c r="Q39" i="5" s="1"/>
  <c r="R39" i="5" s="1"/>
  <c r="S39" i="5" s="1"/>
  <c r="L39" i="5"/>
  <c r="O37" i="5"/>
  <c r="P37" i="5" s="1"/>
  <c r="Q37" i="5" s="1"/>
  <c r="R37" i="5" s="1"/>
  <c r="S37" i="5" s="1"/>
  <c r="L37" i="5"/>
  <c r="O36" i="5"/>
  <c r="P36" i="5" s="1"/>
  <c r="Q36" i="5" s="1"/>
  <c r="R36" i="5" s="1"/>
  <c r="S36" i="5" s="1"/>
  <c r="L36" i="5"/>
  <c r="O35" i="5"/>
  <c r="P35" i="5" s="1"/>
  <c r="Q35" i="5" s="1"/>
  <c r="R35" i="5" s="1"/>
  <c r="S35" i="5" s="1"/>
  <c r="L35" i="5"/>
  <c r="O34" i="5"/>
  <c r="P34" i="5" s="1"/>
  <c r="Q34" i="5" s="1"/>
  <c r="R34" i="5" s="1"/>
  <c r="S34" i="5" s="1"/>
  <c r="L34" i="5"/>
  <c r="O33" i="5"/>
  <c r="P33" i="5" s="1"/>
  <c r="Q33" i="5" s="1"/>
  <c r="R33" i="5" s="1"/>
  <c r="S33" i="5" s="1"/>
  <c r="L33" i="5"/>
  <c r="O32" i="5"/>
  <c r="P32" i="5" s="1"/>
  <c r="Q32" i="5" s="1"/>
  <c r="R32" i="5" s="1"/>
  <c r="S32" i="5" s="1"/>
  <c r="L32" i="5"/>
  <c r="O31" i="5"/>
  <c r="P31" i="5" s="1"/>
  <c r="Q31" i="5" s="1"/>
  <c r="R31" i="5" s="1"/>
  <c r="S31" i="5" s="1"/>
  <c r="L31" i="5"/>
  <c r="O30" i="5"/>
  <c r="P30" i="5" s="1"/>
  <c r="Q30" i="5" s="1"/>
  <c r="R30" i="5" s="1"/>
  <c r="S30" i="5" s="1"/>
  <c r="L30" i="5"/>
  <c r="O29" i="5"/>
  <c r="P29" i="5" s="1"/>
  <c r="Q29" i="5" s="1"/>
  <c r="R29" i="5" s="1"/>
  <c r="S29" i="5" s="1"/>
  <c r="L29" i="5"/>
  <c r="O28" i="5"/>
  <c r="P28" i="5" s="1"/>
  <c r="Q28" i="5" s="1"/>
  <c r="R28" i="5" s="1"/>
  <c r="S28" i="5" s="1"/>
  <c r="L28" i="5"/>
  <c r="O27" i="5"/>
  <c r="P27" i="5" s="1"/>
  <c r="Q27" i="5" s="1"/>
  <c r="R27" i="5" s="1"/>
  <c r="S27" i="5" s="1"/>
  <c r="L27" i="5"/>
  <c r="O26" i="5"/>
  <c r="P26" i="5" s="1"/>
  <c r="Q26" i="5" s="1"/>
  <c r="R26" i="5" s="1"/>
  <c r="S26" i="5" s="1"/>
  <c r="L26" i="5"/>
  <c r="O25" i="5"/>
  <c r="P25" i="5" s="1"/>
  <c r="Q25" i="5" s="1"/>
  <c r="R25" i="5" s="1"/>
  <c r="S25" i="5" s="1"/>
  <c r="L25" i="5"/>
  <c r="O24" i="5"/>
  <c r="P24" i="5" s="1"/>
  <c r="Q24" i="5" s="1"/>
  <c r="R24" i="5" s="1"/>
  <c r="S24" i="5" s="1"/>
  <c r="L24" i="5"/>
  <c r="O23" i="5"/>
  <c r="P23" i="5" s="1"/>
  <c r="Q23" i="5" s="1"/>
  <c r="R23" i="5" s="1"/>
  <c r="S23" i="5" s="1"/>
  <c r="L23" i="5"/>
  <c r="O22" i="5"/>
  <c r="P22" i="5" s="1"/>
  <c r="Q22" i="5" s="1"/>
  <c r="R22" i="5" s="1"/>
  <c r="S22" i="5" s="1"/>
  <c r="L22" i="5"/>
  <c r="O21" i="5"/>
  <c r="P21" i="5" s="1"/>
  <c r="Q21" i="5" s="1"/>
  <c r="R21" i="5" s="1"/>
  <c r="S21" i="5" s="1"/>
  <c r="L21" i="5"/>
  <c r="O20" i="5"/>
  <c r="P20" i="5" s="1"/>
  <c r="Q20" i="5" s="1"/>
  <c r="R20" i="5" s="1"/>
  <c r="S20" i="5" s="1"/>
  <c r="L20" i="5"/>
  <c r="O19" i="5"/>
  <c r="P19" i="5" s="1"/>
  <c r="Q19" i="5" s="1"/>
  <c r="R19" i="5" s="1"/>
  <c r="S19" i="5" s="1"/>
  <c r="L19" i="5"/>
  <c r="L18" i="5"/>
  <c r="O17" i="5"/>
  <c r="P17" i="5" s="1"/>
  <c r="Q17" i="5" s="1"/>
  <c r="R17" i="5" s="1"/>
  <c r="S17" i="5" s="1"/>
  <c r="L17" i="5"/>
  <c r="O16" i="5"/>
  <c r="P16" i="5" s="1"/>
  <c r="Q16" i="5" s="1"/>
  <c r="R16" i="5" s="1"/>
  <c r="S16" i="5" s="1"/>
  <c r="L16" i="5"/>
  <c r="O15" i="5"/>
  <c r="P15" i="5" s="1"/>
  <c r="Q15" i="5" s="1"/>
  <c r="R15" i="5" s="1"/>
  <c r="S15" i="5" s="1"/>
  <c r="L15" i="5"/>
  <c r="L14" i="5"/>
  <c r="O13" i="5"/>
  <c r="P13" i="5" s="1"/>
  <c r="Q13" i="5" s="1"/>
  <c r="R13" i="5" s="1"/>
  <c r="S13" i="5" s="1"/>
  <c r="L13" i="5"/>
  <c r="O11" i="5"/>
  <c r="P11" i="5" s="1"/>
  <c r="Q11" i="5" s="1"/>
  <c r="R11" i="5" s="1"/>
  <c r="S11" i="5" s="1"/>
  <c r="L11" i="5"/>
  <c r="O10" i="5"/>
  <c r="P10" i="5" s="1"/>
  <c r="Q10" i="5" s="1"/>
  <c r="R10" i="5" s="1"/>
  <c r="S10" i="5" s="1"/>
  <c r="L10" i="5"/>
  <c r="B3" i="5"/>
  <c r="B2" i="5"/>
  <c r="B1" i="5"/>
  <c r="F51" i="4"/>
  <c r="H51" i="4" s="1"/>
  <c r="C48" i="4"/>
  <c r="C49" i="4" s="1"/>
  <c r="C56" i="4" s="1"/>
  <c r="C43" i="4"/>
  <c r="C42" i="4"/>
  <c r="C41" i="4"/>
  <c r="C39" i="4"/>
  <c r="E8" i="15" s="1"/>
  <c r="C36" i="4"/>
  <c r="C34" i="4"/>
  <c r="C33" i="4"/>
  <c r="H56" i="4" s="1"/>
  <c r="C31" i="4"/>
  <c r="C32" i="4" s="1"/>
  <c r="C27" i="4"/>
  <c r="C21" i="4"/>
  <c r="C22" i="4" s="1"/>
  <c r="B3" i="4"/>
  <c r="B2" i="4"/>
  <c r="B1" i="4"/>
  <c r="F74" i="3"/>
  <c r="G74" i="3" s="1"/>
  <c r="H74" i="3" s="1"/>
  <c r="I74" i="3" s="1"/>
  <c r="J74" i="3" s="1"/>
  <c r="D64" i="3"/>
  <c r="N64" i="3" s="1"/>
  <c r="G56" i="3"/>
  <c r="G75" i="1" s="1"/>
  <c r="B48" i="3"/>
  <c r="G38" i="3"/>
  <c r="G23" i="3"/>
  <c r="C16" i="4" s="1"/>
  <c r="H50" i="4" s="1"/>
  <c r="F11" i="3"/>
  <c r="M11" i="3" s="1"/>
  <c r="F10" i="3"/>
  <c r="M10" i="3" s="1"/>
  <c r="F9" i="3"/>
  <c r="M9" i="3" s="1"/>
  <c r="F8" i="3"/>
  <c r="K8" i="3" s="1"/>
  <c r="E13" i="10" s="1"/>
  <c r="F13" i="10" s="1"/>
  <c r="G13" i="10" s="1"/>
  <c r="H7" i="3"/>
  <c r="F7" i="3"/>
  <c r="P6" i="3"/>
  <c r="O6" i="3"/>
  <c r="A4" i="3"/>
  <c r="B3" i="3"/>
  <c r="B2" i="3"/>
  <c r="B1" i="3"/>
  <c r="G74" i="1"/>
  <c r="G73" i="1"/>
  <c r="N71" i="1"/>
  <c r="O71" i="1" s="1"/>
  <c r="M71" i="1"/>
  <c r="E71" i="1"/>
  <c r="B71" i="1"/>
  <c r="N70" i="1"/>
  <c r="O70" i="1" s="1"/>
  <c r="L70" i="1" s="1"/>
  <c r="G70" i="1" s="1"/>
  <c r="M70" i="1"/>
  <c r="F70" i="1"/>
  <c r="E70" i="1"/>
  <c r="B70" i="1"/>
  <c r="N69" i="1"/>
  <c r="O69" i="1" s="1"/>
  <c r="M69" i="1"/>
  <c r="F69" i="1"/>
  <c r="E69" i="1"/>
  <c r="B69" i="1"/>
  <c r="N68" i="1"/>
  <c r="O68" i="1" s="1"/>
  <c r="L68" i="1" s="1"/>
  <c r="G68" i="1" s="1"/>
  <c r="M68" i="1"/>
  <c r="F68" i="1"/>
  <c r="E68" i="1"/>
  <c r="B68" i="1"/>
  <c r="N67" i="1"/>
  <c r="O67" i="1" s="1"/>
  <c r="M67" i="1"/>
  <c r="F67" i="1"/>
  <c r="E67" i="1"/>
  <c r="B67" i="1"/>
  <c r="O66" i="1"/>
  <c r="L66" i="1" s="1"/>
  <c r="G66" i="1" s="1"/>
  <c r="N66" i="1"/>
  <c r="M66" i="1"/>
  <c r="F66" i="1"/>
  <c r="E66" i="1"/>
  <c r="B66" i="1"/>
  <c r="N65" i="1"/>
  <c r="O65" i="1" s="1"/>
  <c r="M65" i="1"/>
  <c r="L65" i="1" s="1"/>
  <c r="G65" i="1" s="1"/>
  <c r="E65" i="1"/>
  <c r="B65" i="1"/>
  <c r="G59" i="1"/>
  <c r="G58" i="1"/>
  <c r="N56" i="1"/>
  <c r="O56" i="1" s="1"/>
  <c r="M56" i="1"/>
  <c r="F56" i="1"/>
  <c r="E56" i="1"/>
  <c r="B56" i="1"/>
  <c r="N55" i="1"/>
  <c r="O55" i="1" s="1"/>
  <c r="L55" i="1" s="1"/>
  <c r="G55" i="1" s="1"/>
  <c r="M55" i="1"/>
  <c r="F55" i="1"/>
  <c r="E55" i="1"/>
  <c r="B55" i="1"/>
  <c r="N54" i="1"/>
  <c r="O54" i="1" s="1"/>
  <c r="M54" i="1"/>
  <c r="F54" i="1"/>
  <c r="E54" i="1"/>
  <c r="B54" i="1"/>
  <c r="O53" i="1"/>
  <c r="N53" i="1"/>
  <c r="M53" i="1"/>
  <c r="L53" i="1"/>
  <c r="G53" i="1" s="1"/>
  <c r="F53" i="1"/>
  <c r="E53" i="1"/>
  <c r="B53" i="1"/>
  <c r="N52" i="1"/>
  <c r="O52" i="1" s="1"/>
  <c r="M52" i="1"/>
  <c r="L52" i="1" s="1"/>
  <c r="G52" i="1" s="1"/>
  <c r="F52" i="1"/>
  <c r="E52" i="1"/>
  <c r="B52" i="1"/>
  <c r="N51" i="1"/>
  <c r="O51" i="1" s="1"/>
  <c r="M51" i="1"/>
  <c r="F51" i="1"/>
  <c r="E51" i="1"/>
  <c r="B51" i="1"/>
  <c r="N50" i="1"/>
  <c r="O50" i="1" s="1"/>
  <c r="L50" i="1" s="1"/>
  <c r="G50" i="1" s="1"/>
  <c r="M50" i="1"/>
  <c r="E50" i="1"/>
  <c r="B50" i="1"/>
  <c r="N49" i="1"/>
  <c r="O49" i="1" s="1"/>
  <c r="L49" i="1" s="1"/>
  <c r="G49" i="1" s="1"/>
  <c r="M49" i="1"/>
  <c r="E49" i="1"/>
  <c r="B49" i="1"/>
  <c r="N48" i="1"/>
  <c r="O48" i="1" s="1"/>
  <c r="M48" i="1"/>
  <c r="F48" i="1"/>
  <c r="E48" i="1"/>
  <c r="B48" i="1"/>
  <c r="N47" i="1"/>
  <c r="O47" i="1" s="1"/>
  <c r="M47" i="1"/>
  <c r="E47" i="1"/>
  <c r="B47" i="1"/>
  <c r="O46" i="1"/>
  <c r="L46" i="1" s="1"/>
  <c r="G46" i="1" s="1"/>
  <c r="N46" i="1"/>
  <c r="M46" i="1"/>
  <c r="E46" i="1"/>
  <c r="B46" i="1"/>
  <c r="N45" i="1"/>
  <c r="O45" i="1" s="1"/>
  <c r="M45" i="1"/>
  <c r="F45" i="1"/>
  <c r="E45" i="1"/>
  <c r="B45" i="1"/>
  <c r="N44" i="1"/>
  <c r="O44" i="1" s="1"/>
  <c r="L44" i="1" s="1"/>
  <c r="G44" i="1" s="1"/>
  <c r="M44" i="1"/>
  <c r="E44" i="1"/>
  <c r="B44" i="1"/>
  <c r="O43" i="1"/>
  <c r="L43" i="1" s="1"/>
  <c r="G43" i="1" s="1"/>
  <c r="N43" i="1"/>
  <c r="M43" i="1"/>
  <c r="F43" i="1"/>
  <c r="E43" i="1"/>
  <c r="B43" i="1"/>
  <c r="N42" i="1"/>
  <c r="O42" i="1" s="1"/>
  <c r="M42" i="1"/>
  <c r="L42" i="1" s="1"/>
  <c r="G42" i="1" s="1"/>
  <c r="F42" i="1"/>
  <c r="E42" i="1"/>
  <c r="B42" i="1"/>
  <c r="O41" i="1"/>
  <c r="N41" i="1"/>
  <c r="M41" i="1"/>
  <c r="L41" i="1" s="1"/>
  <c r="G41" i="1" s="1"/>
  <c r="F41" i="1"/>
  <c r="E41" i="1"/>
  <c r="B41" i="1"/>
  <c r="N40" i="1"/>
  <c r="O40" i="1" s="1"/>
  <c r="M40" i="1"/>
  <c r="E40" i="1"/>
  <c r="B40" i="1"/>
  <c r="N39" i="1"/>
  <c r="O39" i="1" s="1"/>
  <c r="M39" i="1"/>
  <c r="F39" i="1"/>
  <c r="E39" i="1"/>
  <c r="B39" i="1"/>
  <c r="O38" i="1"/>
  <c r="N38" i="1"/>
  <c r="M38" i="1"/>
  <c r="F38" i="1"/>
  <c r="E38" i="1"/>
  <c r="B38" i="1"/>
  <c r="O37" i="1"/>
  <c r="N37" i="1"/>
  <c r="M37" i="1"/>
  <c r="F37" i="1"/>
  <c r="E37" i="1"/>
  <c r="B37" i="1"/>
  <c r="O36" i="1"/>
  <c r="N36" i="1"/>
  <c r="M36" i="1"/>
  <c r="F36" i="1"/>
  <c r="E36" i="1"/>
  <c r="B36" i="1"/>
  <c r="N35" i="1"/>
  <c r="O35" i="1" s="1"/>
  <c r="M35" i="1"/>
  <c r="E35" i="1"/>
  <c r="B35" i="1"/>
  <c r="N34" i="1"/>
  <c r="O34" i="1" s="1"/>
  <c r="M34" i="1"/>
  <c r="L34" i="1" s="1"/>
  <c r="G34" i="1" s="1"/>
  <c r="F34" i="1"/>
  <c r="E34" i="1"/>
  <c r="B34" i="1"/>
  <c r="N33" i="1"/>
  <c r="O33" i="1" s="1"/>
  <c r="M33" i="1"/>
  <c r="L33" i="1" s="1"/>
  <c r="G33" i="1" s="1"/>
  <c r="F33" i="1"/>
  <c r="E33" i="1"/>
  <c r="B33" i="1"/>
  <c r="N32" i="1"/>
  <c r="O32" i="1" s="1"/>
  <c r="M32" i="1"/>
  <c r="L32" i="1" s="1"/>
  <c r="G32" i="1" s="1"/>
  <c r="E32" i="1"/>
  <c r="B32" i="1"/>
  <c r="O31" i="1"/>
  <c r="N31" i="1"/>
  <c r="M31" i="1"/>
  <c r="L31" i="1" s="1"/>
  <c r="G31" i="1" s="1"/>
  <c r="F31" i="1"/>
  <c r="E31" i="1"/>
  <c r="B31" i="1"/>
  <c r="O30" i="1"/>
  <c r="N30" i="1"/>
  <c r="M30" i="1"/>
  <c r="F30" i="1"/>
  <c r="E30" i="1"/>
  <c r="B30" i="1"/>
  <c r="N29" i="1"/>
  <c r="O29" i="1" s="1"/>
  <c r="M29" i="1"/>
  <c r="F29" i="1"/>
  <c r="E29" i="1"/>
  <c r="B29" i="1"/>
  <c r="N28" i="1"/>
  <c r="O28" i="1" s="1"/>
  <c r="L28" i="1" s="1"/>
  <c r="G28" i="1" s="1"/>
  <c r="M28" i="1"/>
  <c r="F28" i="1"/>
  <c r="E28" i="1"/>
  <c r="B28" i="1"/>
  <c r="N27" i="1"/>
  <c r="O27" i="1" s="1"/>
  <c r="M27" i="1"/>
  <c r="E27" i="1"/>
  <c r="B27" i="1"/>
  <c r="F20" i="1"/>
  <c r="S15" i="1"/>
  <c r="R15" i="1"/>
  <c r="P15" i="1"/>
  <c r="K15" i="1"/>
  <c r="K16" i="14" s="1"/>
  <c r="F15" i="1"/>
  <c r="H16" i="14" s="1"/>
  <c r="C15" i="1"/>
  <c r="B15" i="1"/>
  <c r="A15" i="1"/>
  <c r="S14" i="1"/>
  <c r="R14" i="1"/>
  <c r="P14" i="1"/>
  <c r="K14" i="1"/>
  <c r="K15" i="14" s="1"/>
  <c r="F14" i="1"/>
  <c r="H15" i="14" s="1"/>
  <c r="C14" i="1"/>
  <c r="B14" i="1"/>
  <c r="A14" i="1"/>
  <c r="K13" i="1"/>
  <c r="K14" i="14" s="1"/>
  <c r="F13" i="1"/>
  <c r="H14" i="14" s="1"/>
  <c r="C13" i="1"/>
  <c r="B13" i="1"/>
  <c r="A13" i="1"/>
  <c r="S12" i="1"/>
  <c r="W15" i="1" s="1"/>
  <c r="K12" i="1"/>
  <c r="K13" i="14" s="1"/>
  <c r="F12" i="1"/>
  <c r="H13" i="14" s="1"/>
  <c r="C12" i="1"/>
  <c r="B12" i="1"/>
  <c r="A12" i="1"/>
  <c r="S11" i="1"/>
  <c r="P11" i="1"/>
  <c r="K11" i="1"/>
  <c r="K12" i="14" s="1"/>
  <c r="F11" i="1"/>
  <c r="H12" i="14" s="1"/>
  <c r="C11" i="1"/>
  <c r="B11" i="1"/>
  <c r="A11" i="1"/>
  <c r="F5" i="1"/>
  <c r="E5" i="1"/>
  <c r="B3" i="1"/>
  <c r="B2" i="1"/>
  <c r="B1" i="1"/>
  <c r="L51" i="1" l="1"/>
  <c r="G51" i="1" s="1"/>
  <c r="N22" i="16"/>
  <c r="N23" i="16" s="1"/>
  <c r="D62" i="3" s="1"/>
  <c r="N62" i="3" s="1"/>
  <c r="B11" i="11"/>
  <c r="Q17" i="14"/>
  <c r="L69" i="1"/>
  <c r="G69" i="1" s="1"/>
  <c r="J50" i="5" s="1"/>
  <c r="K50" i="5" s="1"/>
  <c r="F24" i="8"/>
  <c r="H24" i="8" s="1"/>
  <c r="H26" i="8" s="1"/>
  <c r="H27" i="8" s="1"/>
  <c r="N10" i="3" s="1"/>
  <c r="F19" i="12" s="1"/>
  <c r="G19" i="12" s="1"/>
  <c r="L38" i="1"/>
  <c r="G38" i="1" s="1"/>
  <c r="L47" i="1"/>
  <c r="G47" i="1" s="1"/>
  <c r="V14" i="1"/>
  <c r="L27" i="1"/>
  <c r="G27" i="1" s="1"/>
  <c r="I27" i="1" s="1"/>
  <c r="L30" i="1"/>
  <c r="G30" i="1" s="1"/>
  <c r="J12" i="5" s="1"/>
  <c r="K12" i="5" s="1"/>
  <c r="L56" i="1"/>
  <c r="G56" i="1" s="1"/>
  <c r="J39" i="5" s="1"/>
  <c r="K39" i="5" s="1"/>
  <c r="M7" i="3"/>
  <c r="F7" i="15" s="1"/>
  <c r="A45" i="10"/>
  <c r="A44" i="9"/>
  <c r="G20" i="9"/>
  <c r="G13" i="16"/>
  <c r="G14" i="16" s="1"/>
  <c r="G15" i="16" s="1"/>
  <c r="G16" i="16" s="1"/>
  <c r="G17" i="16" s="1"/>
  <c r="G18" i="16" s="1"/>
  <c r="G19" i="16" s="1"/>
  <c r="G20" i="16" s="1"/>
  <c r="G21" i="16" s="1"/>
  <c r="G22" i="16" s="1"/>
  <c r="G23" i="16" s="1"/>
  <c r="D61" i="3" s="1"/>
  <c r="N61" i="3" s="1"/>
  <c r="L36" i="1"/>
  <c r="G36" i="1" s="1"/>
  <c r="L48" i="1"/>
  <c r="G48" i="1" s="1"/>
  <c r="L54" i="1"/>
  <c r="G54" i="1" s="1"/>
  <c r="L39" i="1"/>
  <c r="G39" i="1" s="1"/>
  <c r="J21" i="5" s="1"/>
  <c r="K21" i="5" s="1"/>
  <c r="L71" i="1"/>
  <c r="G71" i="1" s="1"/>
  <c r="H71" i="1" s="1"/>
  <c r="B11" i="10"/>
  <c r="F11" i="11"/>
  <c r="G11" i="11" s="1"/>
  <c r="L35" i="1"/>
  <c r="G35" i="1" s="1"/>
  <c r="H35" i="1" s="1"/>
  <c r="L37" i="1"/>
  <c r="G37" i="1" s="1"/>
  <c r="J19" i="5" s="1"/>
  <c r="K19" i="5" s="1"/>
  <c r="F23" i="8"/>
  <c r="H23" i="8" s="1"/>
  <c r="F11" i="10"/>
  <c r="G11" i="10" s="1"/>
  <c r="L45" i="1"/>
  <c r="G45" i="1" s="1"/>
  <c r="H45" i="1" s="1"/>
  <c r="L40" i="1"/>
  <c r="G40" i="1" s="1"/>
  <c r="J22" i="5" s="1"/>
  <c r="K22" i="5" s="1"/>
  <c r="F12" i="10"/>
  <c r="D36" i="9"/>
  <c r="D43" i="10"/>
  <c r="D43" i="13"/>
  <c r="F9" i="6"/>
  <c r="Q7" i="3" s="1"/>
  <c r="F24" i="9" s="1"/>
  <c r="G24" i="9" s="1"/>
  <c r="D14" i="17"/>
  <c r="R8" i="3"/>
  <c r="F28" i="10" s="1"/>
  <c r="G28" i="10" s="1"/>
  <c r="R7" i="3"/>
  <c r="F28" i="9" s="1"/>
  <c r="G28" i="9" s="1"/>
  <c r="R9" i="3"/>
  <c r="F28" i="11" s="1"/>
  <c r="G28" i="11" s="1"/>
  <c r="D36" i="10"/>
  <c r="D36" i="12"/>
  <c r="D36" i="13"/>
  <c r="Q9" i="3"/>
  <c r="F24" i="11" s="1"/>
  <c r="G24" i="11" s="1"/>
  <c r="D43" i="11"/>
  <c r="D43" i="12"/>
  <c r="H23" i="13"/>
  <c r="H29" i="13" s="1"/>
  <c r="F22" i="11"/>
  <c r="I22" i="11" s="1"/>
  <c r="I29" i="11" s="1"/>
  <c r="I30" i="11" s="1"/>
  <c r="H30" i="1"/>
  <c r="I30" i="1"/>
  <c r="H69" i="1"/>
  <c r="J7" i="15"/>
  <c r="J17" i="5"/>
  <c r="K17" i="5" s="1"/>
  <c r="I35" i="1"/>
  <c r="H37" i="1"/>
  <c r="H39" i="1"/>
  <c r="H43" i="1"/>
  <c r="J25" i="5"/>
  <c r="K25" i="5" s="1"/>
  <c r="I43" i="1"/>
  <c r="J26" i="5"/>
  <c r="K26" i="5" s="1"/>
  <c r="I44" i="1"/>
  <c r="H44" i="1"/>
  <c r="H49" i="1"/>
  <c r="J31" i="5"/>
  <c r="K31" i="5" s="1"/>
  <c r="I49" i="1"/>
  <c r="J32" i="5"/>
  <c r="K32" i="5" s="1"/>
  <c r="I50" i="1"/>
  <c r="H50" i="1"/>
  <c r="I51" i="1"/>
  <c r="J33" i="5"/>
  <c r="K33" i="5" s="1"/>
  <c r="H51" i="1"/>
  <c r="I53" i="1"/>
  <c r="J35" i="5"/>
  <c r="K35" i="5" s="1"/>
  <c r="H53" i="1"/>
  <c r="J37" i="5"/>
  <c r="K37" i="5" s="1"/>
  <c r="I55" i="1"/>
  <c r="H55" i="1"/>
  <c r="J38" i="5"/>
  <c r="K38" i="5" s="1"/>
  <c r="H66" i="1"/>
  <c r="J47" i="5"/>
  <c r="K47" i="5" s="1"/>
  <c r="I66" i="1"/>
  <c r="L67" i="1"/>
  <c r="G67" i="1" s="1"/>
  <c r="F53" i="4"/>
  <c r="C23" i="4"/>
  <c r="J34" i="5"/>
  <c r="K34" i="5" s="1"/>
  <c r="I52" i="1"/>
  <c r="H52" i="1"/>
  <c r="J46" i="5"/>
  <c r="K46" i="5" s="1"/>
  <c r="I65" i="1"/>
  <c r="H65" i="1"/>
  <c r="I48" i="1"/>
  <c r="J30" i="5"/>
  <c r="K30" i="5" s="1"/>
  <c r="H48" i="1"/>
  <c r="I54" i="1"/>
  <c r="J36" i="5"/>
  <c r="K36" i="5" s="1"/>
  <c r="H54" i="1"/>
  <c r="J49" i="5"/>
  <c r="K49" i="5" s="1"/>
  <c r="H68" i="1"/>
  <c r="I68" i="1"/>
  <c r="H7" i="15"/>
  <c r="I31" i="1"/>
  <c r="H31" i="1"/>
  <c r="J13" i="5"/>
  <c r="K13" i="5" s="1"/>
  <c r="J15" i="5"/>
  <c r="K15" i="5" s="1"/>
  <c r="I33" i="1"/>
  <c r="H33" i="1"/>
  <c r="J24" i="5"/>
  <c r="K24" i="5" s="1"/>
  <c r="I42" i="1"/>
  <c r="H42" i="1"/>
  <c r="J10" i="5"/>
  <c r="K10" i="5" s="1"/>
  <c r="H28" i="1"/>
  <c r="I28" i="1"/>
  <c r="L29" i="1"/>
  <c r="G29" i="1" s="1"/>
  <c r="H32" i="1"/>
  <c r="J14" i="5"/>
  <c r="K14" i="5" s="1"/>
  <c r="I32" i="1"/>
  <c r="J16" i="5"/>
  <c r="K16" i="5" s="1"/>
  <c r="H34" i="1"/>
  <c r="I34" i="1"/>
  <c r="J18" i="5"/>
  <c r="K18" i="5" s="1"/>
  <c r="I36" i="1"/>
  <c r="H36" i="1"/>
  <c r="I38" i="1"/>
  <c r="J20" i="5"/>
  <c r="K20" i="5" s="1"/>
  <c r="H38" i="1"/>
  <c r="H41" i="1"/>
  <c r="J23" i="5"/>
  <c r="K23" i="5" s="1"/>
  <c r="I41" i="1"/>
  <c r="H46" i="1"/>
  <c r="J28" i="5"/>
  <c r="K28" i="5" s="1"/>
  <c r="I46" i="1"/>
  <c r="J29" i="5"/>
  <c r="K29" i="5" s="1"/>
  <c r="I47" i="1"/>
  <c r="H47" i="1"/>
  <c r="J51" i="5"/>
  <c r="K51" i="5" s="1"/>
  <c r="H70" i="1"/>
  <c r="I70" i="1"/>
  <c r="I7" i="15"/>
  <c r="W14" i="1"/>
  <c r="V15" i="1"/>
  <c r="I13" i="15"/>
  <c r="G23" i="12"/>
  <c r="H23" i="12"/>
  <c r="H29" i="12" s="1"/>
  <c r="A6" i="14"/>
  <c r="A6" i="11"/>
  <c r="A6" i="10"/>
  <c r="A6" i="12"/>
  <c r="A6" i="9"/>
  <c r="A6" i="13"/>
  <c r="L8" i="3"/>
  <c r="M8" i="3" s="1"/>
  <c r="C18" i="4"/>
  <c r="C44" i="4"/>
  <c r="F52" i="4"/>
  <c r="F9" i="8"/>
  <c r="H9" i="8" s="1"/>
  <c r="F11" i="8"/>
  <c r="H11" i="8" s="1"/>
  <c r="G11" i="12"/>
  <c r="F14" i="12"/>
  <c r="F22" i="12"/>
  <c r="H30" i="12"/>
  <c r="G11" i="13"/>
  <c r="F14" i="13"/>
  <c r="F22" i="13"/>
  <c r="G51" i="4"/>
  <c r="F10" i="8"/>
  <c r="H10" i="8" s="1"/>
  <c r="F30" i="8"/>
  <c r="H30" i="8" s="1"/>
  <c r="F32" i="8"/>
  <c r="H32" i="8" s="1"/>
  <c r="F31" i="8"/>
  <c r="H31" i="8" s="1"/>
  <c r="H17" i="14"/>
  <c r="K17" i="14"/>
  <c r="W13" i="1"/>
  <c r="G60" i="1"/>
  <c r="C23" i="12"/>
  <c r="C23" i="11"/>
  <c r="F23" i="11" s="1"/>
  <c r="C23" i="10"/>
  <c r="F23" i="10" s="1"/>
  <c r="C23" i="9"/>
  <c r="C23" i="13"/>
  <c r="H19" i="8"/>
  <c r="H20" i="8" s="1"/>
  <c r="F13" i="15"/>
  <c r="H23" i="9"/>
  <c r="H29" i="9" s="1"/>
  <c r="H30" i="9" s="1"/>
  <c r="G23" i="9"/>
  <c r="F14" i="10"/>
  <c r="J12" i="12"/>
  <c r="J14" i="12" s="1"/>
  <c r="G12" i="12"/>
  <c r="F11" i="9"/>
  <c r="F22" i="9" s="1"/>
  <c r="G12" i="13"/>
  <c r="J12" i="13"/>
  <c r="J14" i="13" s="1"/>
  <c r="F12" i="9"/>
  <c r="D43" i="9"/>
  <c r="F13" i="11"/>
  <c r="A45" i="11"/>
  <c r="A45" i="12"/>
  <c r="A44" i="12"/>
  <c r="B11" i="12"/>
  <c r="H30" i="13"/>
  <c r="A45" i="9"/>
  <c r="G23" i="13"/>
  <c r="U11" i="16"/>
  <c r="U12" i="16" s="1"/>
  <c r="U13" i="16" s="1"/>
  <c r="U14" i="16" s="1"/>
  <c r="U15" i="16" s="1"/>
  <c r="U16" i="16" s="1"/>
  <c r="U17" i="16" s="1"/>
  <c r="U18" i="16" s="1"/>
  <c r="U19" i="16" s="1"/>
  <c r="U20" i="16" s="1"/>
  <c r="U21" i="16" s="1"/>
  <c r="U22" i="16" s="1"/>
  <c r="U23" i="16" s="1"/>
  <c r="D63" i="3" s="1"/>
  <c r="N63" i="3" s="1"/>
  <c r="AI11" i="16"/>
  <c r="AI12" i="16" s="1"/>
  <c r="AI13" i="16" s="1"/>
  <c r="AI14" i="16" s="1"/>
  <c r="AI15" i="16" s="1"/>
  <c r="AI16" i="16" s="1"/>
  <c r="AI17" i="16" s="1"/>
  <c r="AI18" i="16" s="1"/>
  <c r="AI19" i="16" s="1"/>
  <c r="AI20" i="16" s="1"/>
  <c r="AI21" i="16" s="1"/>
  <c r="AI22" i="16" s="1"/>
  <c r="AI23" i="16" s="1"/>
  <c r="D65" i="3" s="1"/>
  <c r="N65" i="3" s="1"/>
  <c r="A45" i="13"/>
  <c r="E20" i="15"/>
  <c r="F22" i="10" l="1"/>
  <c r="I71" i="1"/>
  <c r="J52" i="5"/>
  <c r="K52" i="5" s="1"/>
  <c r="J12" i="10"/>
  <c r="J14" i="10" s="1"/>
  <c r="G12" i="10"/>
  <c r="G14" i="10" s="1"/>
  <c r="J27" i="5"/>
  <c r="K27" i="5" s="1"/>
  <c r="I69" i="1"/>
  <c r="I45" i="1"/>
  <c r="H40" i="1"/>
  <c r="H56" i="1"/>
  <c r="I40" i="1"/>
  <c r="I56" i="1"/>
  <c r="D10" i="17"/>
  <c r="I39" i="1"/>
  <c r="I37" i="1"/>
  <c r="J9" i="5"/>
  <c r="K9" i="5" s="1"/>
  <c r="H27" i="1"/>
  <c r="D9" i="17"/>
  <c r="Q8" i="3"/>
  <c r="F24" i="10" s="1"/>
  <c r="G24" i="10" s="1"/>
  <c r="H33" i="8"/>
  <c r="H34" i="8" s="1"/>
  <c r="N11" i="3" s="1"/>
  <c r="F19" i="13" s="1"/>
  <c r="G19" i="13" s="1"/>
  <c r="H14" i="15"/>
  <c r="G22" i="11"/>
  <c r="H23" i="10"/>
  <c r="H29" i="10" s="1"/>
  <c r="H30" i="10" s="1"/>
  <c r="G23" i="10"/>
  <c r="G13" i="15"/>
  <c r="F14" i="15"/>
  <c r="F16" i="15" s="1"/>
  <c r="F30" i="15" s="1"/>
  <c r="I22" i="9"/>
  <c r="I29" i="9" s="1"/>
  <c r="I30" i="9" s="1"/>
  <c r="G22" i="9"/>
  <c r="G12" i="9"/>
  <c r="J12" i="9"/>
  <c r="J14" i="9" s="1"/>
  <c r="I22" i="12"/>
  <c r="I29" i="12" s="1"/>
  <c r="I30" i="12" s="1"/>
  <c r="G22" i="12"/>
  <c r="I14" i="15"/>
  <c r="I16" i="15" s="1"/>
  <c r="I30" i="15" s="1"/>
  <c r="H52" i="4"/>
  <c r="G52" i="4"/>
  <c r="H49" i="4"/>
  <c r="C45" i="4"/>
  <c r="C24" i="4"/>
  <c r="C51" i="4"/>
  <c r="C28" i="4"/>
  <c r="C29" i="4" s="1"/>
  <c r="C53" i="4" s="1"/>
  <c r="J48" i="5"/>
  <c r="K48" i="5" s="1"/>
  <c r="K53" i="5" s="1"/>
  <c r="P8" i="3" s="1"/>
  <c r="F27" i="10" s="1"/>
  <c r="I67" i="1"/>
  <c r="H67" i="1"/>
  <c r="H72" i="1" s="1"/>
  <c r="G7" i="15"/>
  <c r="H33" i="13"/>
  <c r="H34" i="13" s="1"/>
  <c r="H35" i="13" s="1"/>
  <c r="I33" i="11"/>
  <c r="G13" i="11"/>
  <c r="G14" i="11" s="1"/>
  <c r="F14" i="11"/>
  <c r="G14" i="15"/>
  <c r="G22" i="10"/>
  <c r="I22" i="10"/>
  <c r="I29" i="10" s="1"/>
  <c r="I30" i="10" s="1"/>
  <c r="G14" i="13"/>
  <c r="G14" i="12"/>
  <c r="H12" i="8"/>
  <c r="H13" i="8" s="1"/>
  <c r="G29" i="12"/>
  <c r="H53" i="4"/>
  <c r="G53" i="4"/>
  <c r="G54" i="4" s="1"/>
  <c r="G11" i="9"/>
  <c r="F14" i="9"/>
  <c r="D3" i="17" s="1"/>
  <c r="I22" i="13"/>
  <c r="I29" i="13" s="1"/>
  <c r="I30" i="13" s="1"/>
  <c r="G22" i="13"/>
  <c r="J14" i="15"/>
  <c r="J16" i="15" s="1"/>
  <c r="J30" i="15" s="1"/>
  <c r="I29" i="1"/>
  <c r="J11" i="5"/>
  <c r="K11" i="5" s="1"/>
  <c r="H29" i="1"/>
  <c r="H8" i="15"/>
  <c r="C35" i="4"/>
  <c r="C37" i="4" s="1"/>
  <c r="C54" i="4" s="1"/>
  <c r="J8" i="15"/>
  <c r="H13" i="15"/>
  <c r="H23" i="11"/>
  <c r="H29" i="11" s="1"/>
  <c r="H30" i="11" s="1"/>
  <c r="G23" i="11"/>
  <c r="C46" i="4"/>
  <c r="C55" i="4" s="1"/>
  <c r="C25" i="4"/>
  <c r="C52" i="4" s="1"/>
  <c r="M12" i="3"/>
  <c r="H33" i="9"/>
  <c r="H34" i="9" s="1"/>
  <c r="H35" i="9" s="1"/>
  <c r="H33" i="12"/>
  <c r="F54" i="4"/>
  <c r="E9" i="15"/>
  <c r="E10" i="15" s="1"/>
  <c r="I8" i="15"/>
  <c r="F29" i="12"/>
  <c r="F8" i="15"/>
  <c r="G14" i="9" l="1"/>
  <c r="H57" i="1"/>
  <c r="H58" i="1" s="1"/>
  <c r="H59" i="1" s="1"/>
  <c r="K40" i="5"/>
  <c r="O7" i="3" s="1"/>
  <c r="H54" i="4"/>
  <c r="H16" i="15"/>
  <c r="H30" i="15" s="1"/>
  <c r="D8" i="17"/>
  <c r="D5" i="17"/>
  <c r="D6" i="17"/>
  <c r="D7" i="17"/>
  <c r="F29" i="13"/>
  <c r="F9" i="15"/>
  <c r="F10" i="15" s="1"/>
  <c r="F11" i="15" s="1"/>
  <c r="F29" i="15" s="1"/>
  <c r="F31" i="15" s="1"/>
  <c r="I9" i="15"/>
  <c r="I10" i="15" s="1"/>
  <c r="I11" i="15" s="1"/>
  <c r="I29" i="15" s="1"/>
  <c r="I31" i="15" s="1"/>
  <c r="I33" i="13"/>
  <c r="H73" i="1"/>
  <c r="H74" i="1" s="1"/>
  <c r="H76" i="1" s="1"/>
  <c r="H75" i="1" s="1"/>
  <c r="G55" i="4"/>
  <c r="G57" i="4" s="1"/>
  <c r="G59" i="4" s="1"/>
  <c r="C57" i="4"/>
  <c r="I33" i="12"/>
  <c r="J9" i="15"/>
  <c r="J10" i="15" s="1"/>
  <c r="J11" i="15" s="1"/>
  <c r="J29" i="15" s="1"/>
  <c r="J31" i="15" s="1"/>
  <c r="H9" i="15"/>
  <c r="H10" i="15" s="1"/>
  <c r="H11" i="15" s="1"/>
  <c r="H29" i="15" s="1"/>
  <c r="H31" i="15" s="1"/>
  <c r="N8" i="3"/>
  <c r="F19" i="10" s="1"/>
  <c r="N7" i="3"/>
  <c r="F19" i="9" s="1"/>
  <c r="N9" i="3"/>
  <c r="F19" i="11" s="1"/>
  <c r="I33" i="10"/>
  <c r="I34" i="10" s="1"/>
  <c r="I35" i="10" s="1"/>
  <c r="H55" i="4"/>
  <c r="H57" i="4"/>
  <c r="H59" i="4" s="1"/>
  <c r="G29" i="13"/>
  <c r="G16" i="15"/>
  <c r="G30" i="15" s="1"/>
  <c r="F55" i="4"/>
  <c r="F57" i="4" s="1"/>
  <c r="F59" i="4" s="1"/>
  <c r="H33" i="11"/>
  <c r="H34" i="11" s="1"/>
  <c r="H35" i="11" s="1"/>
  <c r="H36" i="13"/>
  <c r="H37" i="13" s="1"/>
  <c r="H44" i="13" s="1"/>
  <c r="H45" i="13" s="1"/>
  <c r="H34" i="12"/>
  <c r="H35" i="12" s="1"/>
  <c r="H36" i="12" s="1"/>
  <c r="H37" i="12" s="1"/>
  <c r="H44" i="12" s="1"/>
  <c r="H45" i="12" s="1"/>
  <c r="H36" i="9"/>
  <c r="H37" i="9" s="1"/>
  <c r="H44" i="9" s="1"/>
  <c r="H45" i="9" s="1"/>
  <c r="I34" i="11"/>
  <c r="I35" i="11" s="1"/>
  <c r="I36" i="11" s="1"/>
  <c r="I37" i="11" s="1"/>
  <c r="I44" i="11" s="1"/>
  <c r="I45" i="11" s="1"/>
  <c r="G8" i="15"/>
  <c r="G9" i="15"/>
  <c r="I33" i="9"/>
  <c r="I34" i="9" s="1"/>
  <c r="I35" i="9" s="1"/>
  <c r="H33" i="10"/>
  <c r="O8" i="3" l="1"/>
  <c r="F26" i="10" s="1"/>
  <c r="F29" i="10" s="1"/>
  <c r="O9" i="3"/>
  <c r="F26" i="11" s="1"/>
  <c r="F29" i="11" s="1"/>
  <c r="W18" i="14"/>
  <c r="D13" i="17"/>
  <c r="D12" i="17"/>
  <c r="H61" i="1"/>
  <c r="H60" i="1" s="1"/>
  <c r="I42" i="11"/>
  <c r="I40" i="11"/>
  <c r="G14" i="14"/>
  <c r="I14" i="14" s="1"/>
  <c r="I41" i="11"/>
  <c r="I39" i="11"/>
  <c r="J18" i="15"/>
  <c r="H18" i="15"/>
  <c r="G19" i="11"/>
  <c r="G29" i="11" s="1"/>
  <c r="H36" i="11"/>
  <c r="H37" i="11" s="1"/>
  <c r="H44" i="11" s="1"/>
  <c r="H45" i="11" s="1"/>
  <c r="F18" i="15"/>
  <c r="H42" i="9"/>
  <c r="H40" i="9"/>
  <c r="P12" i="14"/>
  <c r="R12" i="14" s="1"/>
  <c r="H41" i="9"/>
  <c r="H39" i="9"/>
  <c r="H42" i="13"/>
  <c r="H40" i="13"/>
  <c r="P16" i="14"/>
  <c r="R16" i="14" s="1"/>
  <c r="H39" i="13"/>
  <c r="H41" i="13"/>
  <c r="T15" i="1"/>
  <c r="W11" i="1" s="1"/>
  <c r="T13" i="1"/>
  <c r="T11" i="1"/>
  <c r="T14" i="1"/>
  <c r="T12" i="1"/>
  <c r="I36" i="10"/>
  <c r="I37" i="10" s="1"/>
  <c r="I44" i="10" s="1"/>
  <c r="I45" i="10" s="1"/>
  <c r="G19" i="10"/>
  <c r="G29" i="10" s="1"/>
  <c r="I34" i="13"/>
  <c r="I35" i="13" s="1"/>
  <c r="I36" i="13" s="1"/>
  <c r="I37" i="13" s="1"/>
  <c r="I44" i="13" s="1"/>
  <c r="I45" i="13" s="1"/>
  <c r="I18" i="15"/>
  <c r="R12" i="1"/>
  <c r="H42" i="12"/>
  <c r="H40" i="12"/>
  <c r="H41" i="12"/>
  <c r="P15" i="14"/>
  <c r="R15" i="14" s="1"/>
  <c r="H39" i="12"/>
  <c r="G19" i="9"/>
  <c r="G29" i="9" s="1"/>
  <c r="E15" i="13"/>
  <c r="E15" i="9"/>
  <c r="E15" i="12"/>
  <c r="E15" i="10"/>
  <c r="G21" i="3"/>
  <c r="E15" i="11"/>
  <c r="G10" i="15"/>
  <c r="G11" i="15" s="1"/>
  <c r="G29" i="15" s="1"/>
  <c r="G31" i="15" s="1"/>
  <c r="H34" i="10"/>
  <c r="H35" i="10" s="1"/>
  <c r="H36" i="10" s="1"/>
  <c r="H37" i="10" s="1"/>
  <c r="H44" i="10" s="1"/>
  <c r="H45" i="10" s="1"/>
  <c r="I36" i="9"/>
  <c r="I37" i="9" s="1"/>
  <c r="I44" i="9" s="1"/>
  <c r="I45" i="9" s="1"/>
  <c r="I34" i="12"/>
  <c r="I35" i="12" s="1"/>
  <c r="I36" i="12" s="1"/>
  <c r="I37" i="12" s="1"/>
  <c r="I44" i="12" s="1"/>
  <c r="I45" i="12" s="1"/>
  <c r="R11" i="1"/>
  <c r="F26" i="9"/>
  <c r="F29" i="9" s="1"/>
  <c r="R13" i="1" l="1"/>
  <c r="R16" i="1" s="1"/>
  <c r="H43" i="13"/>
  <c r="H43" i="9"/>
  <c r="G15" i="14"/>
  <c r="I15" i="14" s="1"/>
  <c r="I40" i="12"/>
  <c r="I42" i="12"/>
  <c r="I39" i="12"/>
  <c r="I41" i="12"/>
  <c r="H41" i="10"/>
  <c r="H39" i="10"/>
  <c r="P13" i="14"/>
  <c r="R13" i="14" s="1"/>
  <c r="H40" i="10"/>
  <c r="H42" i="10"/>
  <c r="G16" i="14"/>
  <c r="I16" i="14" s="1"/>
  <c r="I41" i="13"/>
  <c r="I39" i="13"/>
  <c r="I42" i="13"/>
  <c r="I40" i="13"/>
  <c r="G18" i="15"/>
  <c r="F15" i="11"/>
  <c r="J15" i="11"/>
  <c r="J16" i="11" s="1"/>
  <c r="J30" i="11" s="1"/>
  <c r="J15" i="9"/>
  <c r="J16" i="9" s="1"/>
  <c r="J30" i="9" s="1"/>
  <c r="F15" i="9"/>
  <c r="H43" i="12"/>
  <c r="G13" i="14"/>
  <c r="I13" i="14" s="1"/>
  <c r="I42" i="10"/>
  <c r="I40" i="10"/>
  <c r="I39" i="10"/>
  <c r="I41" i="10"/>
  <c r="P14" i="14"/>
  <c r="R14" i="14" s="1"/>
  <c r="H41" i="11"/>
  <c r="H39" i="11"/>
  <c r="H42" i="11"/>
  <c r="H40" i="11"/>
  <c r="H19" i="15"/>
  <c r="H20" i="15" s="1"/>
  <c r="J19" i="15"/>
  <c r="J20" i="15" s="1"/>
  <c r="I41" i="9"/>
  <c r="I39" i="9"/>
  <c r="I40" i="9"/>
  <c r="I42" i="9"/>
  <c r="G12" i="14"/>
  <c r="I12" i="14" s="1"/>
  <c r="J15" i="13"/>
  <c r="J16" i="13" s="1"/>
  <c r="J30" i="13" s="1"/>
  <c r="F15" i="13"/>
  <c r="F19" i="15"/>
  <c r="F20" i="15" s="1"/>
  <c r="F15" i="12"/>
  <c r="J15" i="12"/>
  <c r="J16" i="12" s="1"/>
  <c r="J30" i="12" s="1"/>
  <c r="I19" i="15"/>
  <c r="T16" i="1"/>
  <c r="W12" i="1"/>
  <c r="W16" i="1" s="1"/>
  <c r="J15" i="10"/>
  <c r="J16" i="10" s="1"/>
  <c r="J30" i="10" s="1"/>
  <c r="F15" i="10"/>
  <c r="I43" i="11"/>
  <c r="R17" i="14" l="1"/>
  <c r="M16" i="1" s="1"/>
  <c r="I43" i="12"/>
  <c r="H43" i="11"/>
  <c r="H43" i="10"/>
  <c r="I43" i="10"/>
  <c r="G15" i="12"/>
  <c r="G16" i="12" s="1"/>
  <c r="G30" i="12" s="1"/>
  <c r="F16" i="12"/>
  <c r="F30" i="12" s="1"/>
  <c r="H25" i="15"/>
  <c r="H32" i="15" s="1"/>
  <c r="H33" i="15" s="1"/>
  <c r="G15" i="9"/>
  <c r="G16" i="9" s="1"/>
  <c r="G30" i="9" s="1"/>
  <c r="F16" i="9"/>
  <c r="F30" i="9" s="1"/>
  <c r="I17" i="14"/>
  <c r="H16" i="1" s="1"/>
  <c r="G15" i="10"/>
  <c r="G16" i="10" s="1"/>
  <c r="G30" i="10" s="1"/>
  <c r="F16" i="10"/>
  <c r="F30" i="10" s="1"/>
  <c r="G15" i="13"/>
  <c r="G16" i="13" s="1"/>
  <c r="G30" i="13" s="1"/>
  <c r="F16" i="13"/>
  <c r="F30" i="13" s="1"/>
  <c r="J33" i="9"/>
  <c r="G19" i="15"/>
  <c r="G20" i="15" s="1"/>
  <c r="I43" i="13"/>
  <c r="I20" i="15"/>
  <c r="I25" i="15" s="1"/>
  <c r="I32" i="15" s="1"/>
  <c r="I33" i="15" s="1"/>
  <c r="J33" i="12"/>
  <c r="G15" i="11"/>
  <c r="G16" i="11" s="1"/>
  <c r="G30" i="11" s="1"/>
  <c r="F16" i="11"/>
  <c r="F30" i="11" s="1"/>
  <c r="J33" i="10"/>
  <c r="J34" i="10" s="1"/>
  <c r="J35" i="10" s="1"/>
  <c r="F25" i="15"/>
  <c r="F32" i="15" s="1"/>
  <c r="F33" i="15" s="1"/>
  <c r="J33" i="13"/>
  <c r="J34" i="13" s="1"/>
  <c r="J35" i="13" s="1"/>
  <c r="I43" i="9"/>
  <c r="J25" i="15"/>
  <c r="J32" i="15" s="1"/>
  <c r="J33" i="15" s="1"/>
  <c r="J33" i="11"/>
  <c r="I22" i="15" l="1"/>
  <c r="M15" i="14"/>
  <c r="O15" i="14" s="1"/>
  <c r="I23" i="15"/>
  <c r="I21" i="15"/>
  <c r="I24" i="15"/>
  <c r="F33" i="9"/>
  <c r="J36" i="13"/>
  <c r="J37" i="13" s="1"/>
  <c r="J44" i="13" s="1"/>
  <c r="J45" i="13" s="1"/>
  <c r="G33" i="10"/>
  <c r="G33" i="9"/>
  <c r="F33" i="10"/>
  <c r="G33" i="12"/>
  <c r="G34" i="12" s="1"/>
  <c r="G35" i="12" s="1"/>
  <c r="J22" i="15"/>
  <c r="J24" i="15"/>
  <c r="M16" i="14"/>
  <c r="O16" i="14" s="1"/>
  <c r="J23" i="15"/>
  <c r="J21" i="15"/>
  <c r="J34" i="11"/>
  <c r="J35" i="11" s="1"/>
  <c r="J36" i="11" s="1"/>
  <c r="J37" i="11" s="1"/>
  <c r="J44" i="11" s="1"/>
  <c r="J45" i="11" s="1"/>
  <c r="F22" i="15"/>
  <c r="M12" i="14"/>
  <c r="F24" i="15"/>
  <c r="F23" i="15"/>
  <c r="F21" i="15"/>
  <c r="F33" i="11"/>
  <c r="J34" i="12"/>
  <c r="J35" i="12" s="1"/>
  <c r="J36" i="12" s="1"/>
  <c r="J37" i="12" s="1"/>
  <c r="J44" i="12" s="1"/>
  <c r="J45" i="12" s="1"/>
  <c r="G25" i="15"/>
  <c r="G32" i="15" s="1"/>
  <c r="G33" i="15" s="1"/>
  <c r="F33" i="13"/>
  <c r="M14" i="14"/>
  <c r="O14" i="14" s="1"/>
  <c r="H22" i="15"/>
  <c r="H23" i="15"/>
  <c r="H21" i="15"/>
  <c r="H24" i="15"/>
  <c r="J36" i="10"/>
  <c r="J37" i="10" s="1"/>
  <c r="J44" i="10" s="1"/>
  <c r="J45" i="10" s="1"/>
  <c r="G33" i="11"/>
  <c r="G34" i="11" s="1"/>
  <c r="G35" i="11" s="1"/>
  <c r="J34" i="9"/>
  <c r="J35" i="9" s="1"/>
  <c r="J36" i="9" s="1"/>
  <c r="J37" i="9" s="1"/>
  <c r="J44" i="9" s="1"/>
  <c r="J45" i="9" s="1"/>
  <c r="G33" i="13"/>
  <c r="G34" i="13" s="1"/>
  <c r="G35" i="13" s="1"/>
  <c r="F33" i="12"/>
  <c r="F34" i="13" l="1"/>
  <c r="F35" i="13" s="1"/>
  <c r="H22" i="17" s="1"/>
  <c r="F34" i="9"/>
  <c r="F35" i="9" s="1"/>
  <c r="H18" i="17" s="1"/>
  <c r="F34" i="12"/>
  <c r="F35" i="12" s="1"/>
  <c r="F36" i="12" s="1"/>
  <c r="F37" i="12" s="1"/>
  <c r="F44" i="12" s="1"/>
  <c r="F45" i="12" s="1"/>
  <c r="F34" i="10"/>
  <c r="F35" i="10" s="1"/>
  <c r="H19" i="17" s="1"/>
  <c r="J41" i="12"/>
  <c r="J42" i="12"/>
  <c r="J39" i="12"/>
  <c r="J40" i="12"/>
  <c r="J42" i="11"/>
  <c r="J40" i="11"/>
  <c r="J46" i="11"/>
  <c r="J39" i="11"/>
  <c r="J41" i="11"/>
  <c r="G36" i="13"/>
  <c r="G37" i="13" s="1"/>
  <c r="G44" i="13" s="1"/>
  <c r="G45" i="13" s="1"/>
  <c r="G36" i="11"/>
  <c r="G37" i="11" s="1"/>
  <c r="G44" i="11" s="1"/>
  <c r="G45" i="11" s="1"/>
  <c r="M13" i="14"/>
  <c r="O13" i="14" s="1"/>
  <c r="G24" i="15"/>
  <c r="G22" i="15"/>
  <c r="G21" i="15"/>
  <c r="G23" i="15"/>
  <c r="O12" i="14"/>
  <c r="G36" i="12"/>
  <c r="G37" i="12" s="1"/>
  <c r="G44" i="12" s="1"/>
  <c r="G45" i="12" s="1"/>
  <c r="J41" i="13"/>
  <c r="J39" i="13"/>
  <c r="J40" i="13"/>
  <c r="J42" i="13"/>
  <c r="J41" i="9"/>
  <c r="J39" i="9"/>
  <c r="J46" i="9"/>
  <c r="J42" i="9"/>
  <c r="J40" i="9"/>
  <c r="J42" i="10"/>
  <c r="J40" i="10"/>
  <c r="J39" i="10"/>
  <c r="J41" i="10"/>
  <c r="F36" i="13"/>
  <c r="F37" i="13" s="1"/>
  <c r="F44" i="13" s="1"/>
  <c r="F45" i="13" s="1"/>
  <c r="F34" i="11"/>
  <c r="F35" i="11" s="1"/>
  <c r="F36" i="11" s="1"/>
  <c r="F37" i="11" s="1"/>
  <c r="F44" i="11" s="1"/>
  <c r="F45" i="11" s="1"/>
  <c r="G34" i="9"/>
  <c r="G35" i="9" s="1"/>
  <c r="G36" i="9" s="1"/>
  <c r="G37" i="9" s="1"/>
  <c r="G44" i="9" s="1"/>
  <c r="G45" i="9" s="1"/>
  <c r="G34" i="10"/>
  <c r="G35" i="10" s="1"/>
  <c r="G36" i="10" s="1"/>
  <c r="G37" i="10" s="1"/>
  <c r="G44" i="10" s="1"/>
  <c r="G45" i="10" s="1"/>
  <c r="H21" i="17" l="1"/>
  <c r="F36" i="10"/>
  <c r="F37" i="10" s="1"/>
  <c r="F44" i="10" s="1"/>
  <c r="F45" i="10" s="1"/>
  <c r="E13" i="14" s="1"/>
  <c r="F13" i="14" s="1"/>
  <c r="F36" i="9"/>
  <c r="F37" i="9" s="1"/>
  <c r="F44" i="9" s="1"/>
  <c r="F45" i="9" s="1"/>
  <c r="E12" i="14" s="1"/>
  <c r="F12" i="14" s="1"/>
  <c r="H20" i="17"/>
  <c r="H23" i="17" s="1"/>
  <c r="D19" i="17" s="1"/>
  <c r="M17" i="14"/>
  <c r="O17" i="14"/>
  <c r="L16" i="1" s="1"/>
  <c r="J43" i="10"/>
  <c r="J43" i="11"/>
  <c r="J12" i="14"/>
  <c r="G42" i="9"/>
  <c r="G40" i="9"/>
  <c r="G39" i="9"/>
  <c r="G41" i="9"/>
  <c r="G46" i="9"/>
  <c r="J14" i="14"/>
  <c r="L14" i="14" s="1"/>
  <c r="S14" i="14" s="1"/>
  <c r="O13" i="1" s="1"/>
  <c r="G46" i="11"/>
  <c r="G41" i="11"/>
  <c r="G39" i="11"/>
  <c r="G40" i="11"/>
  <c r="G42" i="11"/>
  <c r="T14" i="14"/>
  <c r="V14" i="14" s="1"/>
  <c r="P13" i="1" s="1"/>
  <c r="T13" i="14"/>
  <c r="J16" i="14"/>
  <c r="L16" i="14" s="1"/>
  <c r="S16" i="14" s="1"/>
  <c r="O15" i="1" s="1"/>
  <c r="G42" i="13"/>
  <c r="G40" i="13"/>
  <c r="G46" i="13"/>
  <c r="G39" i="13"/>
  <c r="G41" i="13"/>
  <c r="J43" i="12"/>
  <c r="F41" i="13"/>
  <c r="F39" i="13"/>
  <c r="F42" i="13"/>
  <c r="E16" i="14"/>
  <c r="F16" i="14" s="1"/>
  <c r="F46" i="13"/>
  <c r="F40" i="13"/>
  <c r="J43" i="9"/>
  <c r="E15" i="14"/>
  <c r="F15" i="14" s="1"/>
  <c r="F42" i="12"/>
  <c r="F41" i="12"/>
  <c r="F39" i="12"/>
  <c r="F40" i="12"/>
  <c r="F46" i="12"/>
  <c r="E14" i="14"/>
  <c r="F14" i="14" s="1"/>
  <c r="F42" i="11"/>
  <c r="F40" i="11"/>
  <c r="F46" i="11"/>
  <c r="F39" i="11"/>
  <c r="F41" i="11"/>
  <c r="J13" i="14"/>
  <c r="L13" i="14" s="1"/>
  <c r="S13" i="14" s="1"/>
  <c r="O12" i="1" s="1"/>
  <c r="G46" i="10"/>
  <c r="G41" i="10"/>
  <c r="G39" i="10"/>
  <c r="G42" i="10"/>
  <c r="G40" i="10"/>
  <c r="J43" i="13"/>
  <c r="J15" i="14"/>
  <c r="L15" i="14" s="1"/>
  <c r="S15" i="14" s="1"/>
  <c r="O14" i="1" s="1"/>
  <c r="G41" i="12"/>
  <c r="G39" i="12"/>
  <c r="G42" i="12"/>
  <c r="G46" i="12"/>
  <c r="G40" i="12"/>
  <c r="F39" i="9" l="1"/>
  <c r="F41" i="9"/>
  <c r="F46" i="9"/>
  <c r="F42" i="9"/>
  <c r="F40" i="9"/>
  <c r="F46" i="10"/>
  <c r="F40" i="10"/>
  <c r="F39" i="10"/>
  <c r="F42" i="10"/>
  <c r="F41" i="10"/>
  <c r="W14" i="14"/>
  <c r="Q13" i="1" s="1"/>
  <c r="G43" i="10"/>
  <c r="F43" i="12"/>
  <c r="G43" i="9"/>
  <c r="F43" i="13"/>
  <c r="G43" i="12"/>
  <c r="A21" i="14"/>
  <c r="V13" i="14"/>
  <c r="G43" i="11"/>
  <c r="F43" i="11"/>
  <c r="G43" i="13"/>
  <c r="W15" i="14"/>
  <c r="Q14" i="1" s="1"/>
  <c r="W16" i="14"/>
  <c r="Q15" i="1" s="1"/>
  <c r="V11" i="1" s="1"/>
  <c r="F17" i="14"/>
  <c r="J17" i="14"/>
  <c r="L12" i="14"/>
  <c r="F43" i="9" l="1"/>
  <c r="F43" i="10"/>
  <c r="L17" i="14"/>
  <c r="K16" i="1" s="1"/>
  <c r="O16" i="1" s="1"/>
  <c r="S12" i="14"/>
  <c r="W12" i="14" s="1"/>
  <c r="V17" i="14"/>
  <c r="P12" i="1"/>
  <c r="W13" i="14"/>
  <c r="W17" i="14" l="1"/>
  <c r="Y20" i="14" s="1"/>
  <c r="Q12" i="1"/>
  <c r="N16" i="1"/>
  <c r="P16" i="1"/>
  <c r="S17" i="14"/>
  <c r="O11" i="1"/>
  <c r="W19" i="14" l="1"/>
  <c r="C23" i="17"/>
  <c r="Q11" i="1"/>
  <c r="D23" i="17" l="1"/>
  <c r="Q16" i="1"/>
  <c r="V12" i="1"/>
  <c r="V16" i="1" s="1"/>
  <c r="D18" i="17" l="1"/>
  <c r="D15" i="17"/>
  <c r="D16" i="17"/>
  <c r="D20" i="17"/>
  <c r="D17" i="17"/>
  <c r="D21" i="17" l="1"/>
  <c r="C24" i="17" s="1"/>
  <c r="D24" i="17" s="1"/>
</calcChain>
</file>

<file path=xl/sharedStrings.xml><?xml version="1.0" encoding="utf-8"?>
<sst xmlns="http://schemas.openxmlformats.org/spreadsheetml/2006/main" count="1292" uniqueCount="691">
  <si>
    <t xml:space="preserve">OCORRÊNCIAS MENSAIS DO FATURAMENTO </t>
  </si>
  <si>
    <t>UTILIZAÇÃO DO GESTOR CONTRATUAL PARA REALIZAÇÃO DO FATURAMENTO MENSAL</t>
  </si>
  <si>
    <t>DEFINIR VERSÃO DE APRESENTAÇÃO:</t>
  </si>
  <si>
    <t>PLANILHA PARA LICITAÇÃO (PRECIFICAÇÃO)</t>
  </si>
  <si>
    <t>DEFINIR BASE DE DESCONTOS/GLOSAS:</t>
  </si>
  <si>
    <t>MÊS CONTÁBIL</t>
  </si>
  <si>
    <r>
      <rPr>
        <b/>
        <sz val="10"/>
        <rFont val="Calibri"/>
        <family val="2"/>
        <charset val="1"/>
      </rPr>
      <t xml:space="preserve">INSTRUÇÕES DE PREENCHIMENTO
UTILIZAÇÃO EXCLUSIVA FISCAL/GESTOR
PARA AUXILIAR NO VALOR DE FATURAMENTO
Preencher as células destacadas na cor </t>
    </r>
    <r>
      <rPr>
        <b/>
        <sz val="10"/>
        <color rgb="FFFF0000"/>
        <rFont val="Calibri"/>
        <family val="2"/>
        <charset val="1"/>
      </rPr>
      <t>vermelha</t>
    </r>
    <r>
      <rPr>
        <b/>
        <sz val="10"/>
        <rFont val="Calibri"/>
        <family val="2"/>
        <charset val="1"/>
      </rPr>
      <t xml:space="preserve"> para realização dos cálculos das demais abas.
Não é necessário preenchimento de outras abas.</t>
    </r>
  </si>
  <si>
    <t>Informar número de Postos que não utilizam V.T.
(Coluna "D")</t>
  </si>
  <si>
    <t>Informar se titular do posto é optante pelo recebimento de V.T.
(Coluna "E")</t>
  </si>
  <si>
    <t>Desconto automático de V.T.
(Coluna "F")</t>
  </si>
  <si>
    <t>Preencher o número de dias (corridos) que o terceirizado que não recebe vt ficou afastado por férias ou faltas
(Coluna "G")</t>
  </si>
  <si>
    <t>Preencher nº de dias úteis em que o optante de V.T realizou trabalho em Home Office OU dias de Recesso Forense / Ponto facultativo
(Coluna "H")</t>
  </si>
  <si>
    <t>Conversão das horas de ausência em dias de ausência
(Coluna "I")</t>
  </si>
  <si>
    <t>Conversão das horas de ausência em dias de ausência
(Coluna "J")</t>
  </si>
  <si>
    <t>Nº dias de faltas comuns sem substituição.
(Coluna "K")</t>
  </si>
  <si>
    <t>Informar número de dias por férias no mês (dias)
(Coluna "L")</t>
  </si>
  <si>
    <t>Desconto de V.A. por dias de recesso forense e/ou ponto facultativo.
(Coluna "M")</t>
  </si>
  <si>
    <t>Nº de dias corridos de férias sem substituição quando o adicional de insalubridade é passado para outra servente do quadro.
(Coluna "N")</t>
  </si>
  <si>
    <t>Somatório de glosas.
(Coluna "O")</t>
  </si>
  <si>
    <t>Somatório de acrésimo por substituição do posto insalubre por outro profissional do quadro.
(Coluna "P")</t>
  </si>
  <si>
    <t>Informativo sobre valor faturado por tipo de função.
(Coluna "Q")</t>
  </si>
  <si>
    <t>Valores correspondentes ao fornecimento de materiais e epis.
(incluindo impostos)
(Coluna "R")</t>
  </si>
  <si>
    <t>Informar código de elemento de despesa
(Coluna "S")</t>
  </si>
  <si>
    <t>INFORMATIVO PARA GESTÃO CONTRATUAL</t>
  </si>
  <si>
    <t>Quant</t>
  </si>
  <si>
    <t>Descrição das Categorias</t>
  </si>
  <si>
    <t>Carga Horária (horas)</t>
  </si>
  <si>
    <t>Nº Postos não optantes pelo recebimento de V.T.</t>
  </si>
  <si>
    <t>Realizar glosa por não fornecimento de V.T.?</t>
  </si>
  <si>
    <t>Dias de
Glosa V.T.
Para Não Optantes</t>
  </si>
  <si>
    <t>Ajuste de V.T para fornecimento para
postos Não Optantes</t>
  </si>
  <si>
    <t>Dias de Home Office OU Recesso para os postos Optantes de V.T.</t>
  </si>
  <si>
    <t>Dias de faltas após conversão das horas
(planilha auxiliar)</t>
  </si>
  <si>
    <t>Quant. Atrasos e Faltas</t>
  </si>
  <si>
    <t>Dias de Férias</t>
  </si>
  <si>
    <t>Dias de Glosas de V.A no Mês</t>
  </si>
  <si>
    <t>*1 Dias de Deslocamento de Insalubridade</t>
  </si>
  <si>
    <t>VALOR TOTAL GLOSADO</t>
  </si>
  <si>
    <t>VALOR TOTAL ACRESCIDO</t>
  </si>
  <si>
    <t>Valor Mensal 
Faturado com aplicação de descontos</t>
  </si>
  <si>
    <t>VALOR TOTAL INSUMOS FORNECIDOS NO MÊS.</t>
  </si>
  <si>
    <t xml:space="preserve">Elemento de Despesa </t>
  </si>
  <si>
    <t>VALOR DE RETENÇÃO CONTA VINCULADA</t>
  </si>
  <si>
    <t>CÓDIGOS ELEMENTO DE DESPESA</t>
  </si>
  <si>
    <t>FATURAMENTO MENSAL</t>
  </si>
  <si>
    <t>RETENÇÃO 
GLOSA CONTA VINCULADA
(VERIFICAR NECESSIDADE)</t>
  </si>
  <si>
    <t>SIM</t>
  </si>
  <si>
    <t>ELEMENTO 2</t>
  </si>
  <si>
    <t>ELEMENTO 1</t>
  </si>
  <si>
    <t>VALOR TOTAL GLOSADOS</t>
  </si>
  <si>
    <t>OBSERVAÇÕES:</t>
  </si>
  <si>
    <t>1. Para apoio ao lançamento de ausências de horas, sugere-se a utilização da planilha complementar abaixo. O preenchimento das horas convertidas deve ocorrer na Coluna "I".</t>
  </si>
  <si>
    <t>Planilha auxiliar para conversão de horas de ausências em dias de faltas. (preenchimento coluna "I")</t>
  </si>
  <si>
    <t>Jornada</t>
  </si>
  <si>
    <t>Total de Horas</t>
  </si>
  <si>
    <t>Total de Minutos</t>
  </si>
  <si>
    <t>Conversão em Dias</t>
  </si>
  <si>
    <t>Obs: Informar a jornada de trabalho do posto analisado. Em sequência, informar as horas completas faltantes e posteriormente os minutos. Ex: 10:25h faltantes - Lançar 10 na célula "D22" e lançar 25 na célula "E22".
Lançar o resultado convertido na coluna "H".</t>
  </si>
  <si>
    <t>2. Na célula “N15” deverá ser informado a quantidade de dias em que o trabalho insalubre foi realizado por outra servente do quadro, durante as férias da Servente de Limpeza 40% insalubre - titular.</t>
  </si>
  <si>
    <t>ITEM</t>
  </si>
  <si>
    <t>DESCRIÇÃO DO MATERIAL DE IMPEZA
SERVENTES DE LIMPEZA</t>
  </si>
  <si>
    <t>GASTO MENSAL</t>
  </si>
  <si>
    <r>
      <rPr>
        <b/>
        <u/>
        <sz val="10"/>
        <rFont val="Calibri"/>
        <family val="2"/>
        <charset val="1"/>
      </rPr>
      <t xml:space="preserve">ANÁLISE CRÍTICA </t>
    </r>
    <r>
      <rPr>
        <b/>
        <sz val="10"/>
        <rFont val="Calibri"/>
        <family val="2"/>
        <charset val="1"/>
      </rPr>
      <t>SOBRE O FORNECIMENTO DOS MATERIAIS
ESTIMATIVA MENSAL x FORNECIMENTO EFETIVO
(INFORMAÇÃO COMO PARÂMETRO DE INDICATIVO)</t>
    </r>
  </si>
  <si>
    <t>REFERÊNCIA MENSAL PARA FORNECIMENTO</t>
  </si>
  <si>
    <t>Material</t>
  </si>
  <si>
    <t>Unid.</t>
  </si>
  <si>
    <t>Marcas de Referência</t>
  </si>
  <si>
    <t>QNTDE "REAL" FORNECIDA
NO MÊS</t>
  </si>
  <si>
    <t>Custo Mensal</t>
  </si>
  <si>
    <t>Quantidade Mensal</t>
  </si>
  <si>
    <t>Quantidade Total</t>
  </si>
  <si>
    <t>Periodicidade</t>
  </si>
  <si>
    <t>Divisor</t>
  </si>
  <si>
    <t>DESPESA MENSAL</t>
  </si>
  <si>
    <t>TAXA ADMINISTRATIVA</t>
  </si>
  <si>
    <t>LUCRO</t>
  </si>
  <si>
    <t>TRIBUTOS</t>
  </si>
  <si>
    <t>VALOR TOTAL COM MATERIAIS DE LIMPEZA</t>
  </si>
  <si>
    <t>MATERIAIS DE LIMPEZA COPA
COPEIRA</t>
  </si>
  <si>
    <t>VALOR TOTAL COM MATERIAIS DE COPA</t>
  </si>
  <si>
    <t>LISTA PARA OPÇÕES DE GLOSAS</t>
  </si>
  <si>
    <t>DIAS ÚTEIS (CONTRATO)</t>
  </si>
  <si>
    <t>Obs: Desconto por dias definidos em contrato.</t>
  </si>
  <si>
    <t>Obs: Desconto atualmente aplicado (30 dias corridos).</t>
  </si>
  <si>
    <t>DIAS DO MÊS VIGENTE</t>
  </si>
  <si>
    <t>Informar</t>
  </si>
  <si>
    <t>Obs: Desconto por dias úteis mensais, ocorrência variável, devendo ser informado mensalmente.</t>
  </si>
  <si>
    <t>JORNADA DE TRABALHO</t>
  </si>
  <si>
    <t>DIVISOR DE HORAS</t>
  </si>
  <si>
    <t>LISTA PARA TOTAL DE POSTOS</t>
  </si>
  <si>
    <t>Tribunal Regional Federal da 6ª Região</t>
  </si>
  <si>
    <t>Seção Judiciária de Minas Gerais</t>
  </si>
  <si>
    <t>Subseção Judiciária de Montes Claros</t>
  </si>
  <si>
    <t>INSTRUÇÕES DE PREENCHIMENTO - ANEXO X - PLANILHAS DE COMPOSIÇÃO DE CUSTOS</t>
  </si>
  <si>
    <t>1.</t>
  </si>
  <si>
    <t>SOMENTE SERÃO ACEITAS MODIFICAÇÕES NAS CÉLULAS DESTACADAS NA COR AMARELA COMO NO EXEMPLO ABAIXO:</t>
  </si>
  <si>
    <t>Células de livre edição.</t>
  </si>
  <si>
    <t>2.</t>
  </si>
  <si>
    <r>
      <rPr>
        <sz val="10"/>
        <rFont val="Calibri"/>
        <family val="2"/>
        <charset val="1"/>
      </rPr>
      <t xml:space="preserve">As demais células estarão </t>
    </r>
    <r>
      <rPr>
        <b/>
        <sz val="10"/>
        <rFont val="Calibri"/>
        <family val="2"/>
        <charset val="1"/>
      </rPr>
      <t>bloqueadas</t>
    </r>
    <r>
      <rPr>
        <sz val="10"/>
        <rFont val="Calibri"/>
        <family val="2"/>
        <charset val="1"/>
      </rPr>
      <t xml:space="preserve"> para edição das licitantes.</t>
    </r>
  </si>
  <si>
    <t>3.</t>
  </si>
  <si>
    <t>As Abas necessárias para o preenchimento estão organizadas em uma sequência lógica, sendo Dados; Encargos; Materiais (limpeza, copa e limpeza de veículos); EPI; Equipamentos; Uniforme.</t>
  </si>
  <si>
    <t>Os nomes das abas estarão abreviados para otimização da planilha.</t>
  </si>
  <si>
    <r>
      <rPr>
        <b/>
        <sz val="10"/>
        <rFont val="Calibri"/>
        <family val="2"/>
        <charset val="1"/>
      </rPr>
      <t xml:space="preserve">Sugere-se o preenchimento das seguintes abas em sequência: </t>
    </r>
    <r>
      <rPr>
        <sz val="10"/>
        <rFont val="Calibri"/>
        <family val="2"/>
        <charset val="1"/>
      </rPr>
      <t>Dados, Encargos, Materiais, EPI, Equipamentos e Uniforme, para a realização de cálculos completa da planilha de composição de custos.</t>
    </r>
  </si>
  <si>
    <t>3.1</t>
  </si>
  <si>
    <t>Estas Abas estarão destacadas na Cor Amarela.</t>
  </si>
  <si>
    <t>3.2</t>
  </si>
  <si>
    <t>PREENCHIMENTO ABA "DADOS"</t>
  </si>
  <si>
    <t xml:space="preserve"> - Informar piso salarial de cada categoria, correspondente à jornada de 220h. (Células "E7":"E11").</t>
  </si>
  <si>
    <t xml:space="preserve"> - Informar o percentual de acúmulo de função a ser aplicado. (Célula "I8").</t>
  </si>
  <si>
    <t xml:space="preserve"> - Informar o percentual correspondente ao tempo de execução da atividade acumulada. (Célula "J8").</t>
  </si>
  <si>
    <t xml:space="preserve"> - Informar o salário base para cálculo da atividade acumulada. (Célula "K8").</t>
  </si>
  <si>
    <t xml:space="preserve"> - Informar os Dados da Apresentação da Proposta e relacionados à Convenção Coletiva de Trabalho. Tais informações não interferem na execução de cálculos, servem apenas para instruir o processo da análise da proposta. (Células "E14:E18").</t>
  </si>
  <si>
    <t xml:space="preserve"> - Informar o percentual correspondente ao RAT, conforme atividade principal da licitante. (Célula "G24").</t>
  </si>
  <si>
    <t xml:space="preserve"> - Informar o fator correspondente ao FAP, conforme extraído do relatório FapWeb. (Célula "G25").</t>
  </si>
  <si>
    <t xml:space="preserve"> - Informar o valor do salário mínimo nacional vigente (base de cálculo para a cotação de insalubridade). (Célula "G28").</t>
  </si>
  <si>
    <t xml:space="preserve"> - Informar o valor unitário do Seguro de Vida, nos casos exigidos, conforme legislação vigente. (Célula "G31").</t>
  </si>
  <si>
    <t xml:space="preserve"> - Informar o valor unitário do Programa de Assistência Familiar - PAF, nos casos exigidos, conforme legislação vigente. (Célula "G32").</t>
  </si>
  <si>
    <t xml:space="preserve"> - Informar o valor unitário da tarifa de transporte público vigente à data de apresentação da proposta, conforme legislação vigente. (Célula "G33").</t>
  </si>
  <si>
    <t xml:space="preserve"> - Informar o quantitativo unitário diário de tarifas de transporte público (ex.: 1 tarifa para ida e 1 tarifa para volta = Total de 2 tarifas). (Célula "G34").</t>
  </si>
  <si>
    <t xml:space="preserve"> - Informar o percentual de desconto à título de participação do trabalhador em relação ao fornecimento de vale transporte, nos casos exigidos, conforme legislação vigente. (Célula "G35").</t>
  </si>
  <si>
    <t xml:space="preserve"> - Informar o valor unitário do ticket de Vale Alimentação, nos casos exigidos, conforme legislação vigente. (Célula "G37").</t>
  </si>
  <si>
    <t xml:space="preserve"> - Informar o percentual de desconto à título de participação do trabalhador em relação ao fornecimento de Vale Alimentação, nos casos exigidos, conforme legislação vigente. (Célula "G39").</t>
  </si>
  <si>
    <t xml:space="preserve"> - Incluir outros custos não previstos previamente, bem como descrevê-los, em caso de previsão legal, devendo ser apresentadas justificativas para a inserção. (Células "B40" e "G40").</t>
  </si>
  <si>
    <t xml:space="preserve"> - Incluir outros custos não previstos previamente, bem como descrevê-los, em caso de previsão legal, devendo ser apresentadas justificativas para a inserção. (Células "B41" e "G41").</t>
  </si>
  <si>
    <t xml:space="preserve"> - Informar o percentual relativo às Despesas Administrativas da licitante. (Células "G44").</t>
  </si>
  <si>
    <t xml:space="preserve"> - Informar o percentual relativo ao Lucro da licitante. (Células "G45").</t>
  </si>
  <si>
    <t xml:space="preserve"> - Informar a opção tributária da licitante (Células "F51") conforme legislação vigente, OBSERVANDO as instruções contantes na Célula "B48".</t>
  </si>
  <si>
    <t xml:space="preserve"> - Informar o percentual da alíquota COFINS (Células "G52") conforme legislação vigente, OBSERVANDO as instruções contantes na Célula "B48".</t>
  </si>
  <si>
    <t xml:space="preserve"> - Informar o percentual da alíquota PIS/PASEP (Células "G53") conforme legislação vigente, OBSERVANDO as instruções contantes na Célula "B48".</t>
  </si>
  <si>
    <t xml:space="preserve"> - Informar o percentual da alíquota ISSQN (Células "G54") conforme legislação vigente, OBSERVANDO as instruções contantes na Célula "B48".</t>
  </si>
  <si>
    <t xml:space="preserve"> - Incluir outros impostos não inseridos previamente, bem como descrevê-los, em caso de previsão legal, devendo ser apresentadas justificativas para a inserção. (Células "B55" e "G55").</t>
  </si>
  <si>
    <t xml:space="preserve"> - Alterar SOMENTE aqueles destacados na COR AMARELA.</t>
  </si>
  <si>
    <t>3.3</t>
  </si>
  <si>
    <t>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</si>
  <si>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</si>
  <si>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 "B59"), com as demais instruções cabíveis aos percentuais dispostos nesta Aba.</t>
  </si>
  <si>
    <t>3.4</t>
  </si>
  <si>
    <t>PREENCHIMENTO ABA "MATERIAIS"</t>
  </si>
  <si>
    <t xml:space="preserve"> - Informar os valores unitários de cada item nas células destacadas em amarelo dispostas na "Coluna G", de acordo com sua descrição "Colunas B:E".</t>
  </si>
  <si>
    <t xml:space="preserve"> - Atentar-se para o preenchimento de todos os quadros dispostos nesta Aba, sendo:</t>
  </si>
  <si>
    <t xml:space="preserve"> - Materiais de Limpeza (Células "G9:G39)</t>
  </si>
  <si>
    <t xml:space="preserve"> - Materiais de Copa (Células "G46:G52)</t>
  </si>
  <si>
    <t xml:space="preserve"> - O preenchimento das células da Coluna "H" está permitida somente para inserção de Observações, caso necessário.</t>
  </si>
  <si>
    <t>3.5</t>
  </si>
  <si>
    <t>PREENCHIMENTO ABA "EPI"</t>
  </si>
  <si>
    <t xml:space="preserve"> - Informar os valores unitários de cada item nas células destacadas em amarelo dispostas na "Coluna D", de acordo com sua descrição "Colunas B:C".</t>
  </si>
  <si>
    <t>3.6</t>
  </si>
  <si>
    <t>PREENCHIMENTO ABA "EQUIPAMENTOS"</t>
  </si>
  <si>
    <t>3.7</t>
  </si>
  <si>
    <t>PREENCHIMENTO ABA "UNIFORMES"</t>
  </si>
  <si>
    <t xml:space="preserve"> - Informar os valores unitários de cada peça de uniforme nas células destacadas em amarelo dispostas na "Coluna G", de acordo com sua descrição "Colunas B:F".</t>
  </si>
  <si>
    <t xml:space="preserve"> - Atentar-se às descrições complementares dispostas nas "Especificações" que visam melhor entendimento dos itens de uniforme solicitados.</t>
  </si>
  <si>
    <t>4.</t>
  </si>
  <si>
    <r>
      <rPr>
        <sz val="10"/>
        <rFont val="Calibri"/>
        <family val="2"/>
        <charset val="1"/>
      </rPr>
      <t>A Aba "</t>
    </r>
    <r>
      <rPr>
        <b/>
        <sz val="10"/>
        <rFont val="Calibri"/>
        <family val="2"/>
        <charset val="1"/>
      </rPr>
      <t>Especificações</t>
    </r>
    <r>
      <rPr>
        <sz val="10"/>
        <rFont val="Calibri"/>
        <family val="2"/>
        <charset val="1"/>
      </rPr>
      <t xml:space="preserve">", corresponde ao detalhamento dos </t>
    </r>
    <r>
      <rPr>
        <b/>
        <sz val="10"/>
        <rFont val="Calibri"/>
        <family val="2"/>
        <charset val="1"/>
      </rPr>
      <t>Uniformes</t>
    </r>
    <r>
      <rPr>
        <sz val="10"/>
        <rFont val="Calibri"/>
        <family val="2"/>
        <charset val="1"/>
      </rPr>
      <t>, servindo apenas para consulta e entendimento dos tipos de uniforme solicitados para o fornecimento.</t>
    </r>
  </si>
  <si>
    <t>4.1</t>
  </si>
  <si>
    <t>Esta aba está destacada na Cor Laranja.</t>
  </si>
  <si>
    <t>5.</t>
  </si>
  <si>
    <r>
      <rPr>
        <sz val="10"/>
        <rFont val="Calibri"/>
        <family val="2"/>
        <charset val="1"/>
      </rPr>
      <t xml:space="preserve">Destaca-se que após o preenchimento destas Abas (de acordo com as instruções contidas no item 3), os preços individuais das </t>
    </r>
    <r>
      <rPr>
        <b/>
        <sz val="10"/>
        <rFont val="Calibri"/>
        <family val="2"/>
        <charset val="1"/>
      </rPr>
      <t>categorias</t>
    </r>
    <r>
      <rPr>
        <sz val="10"/>
        <rFont val="Calibri"/>
        <family val="2"/>
        <charset val="1"/>
      </rPr>
      <t xml:space="preserve"> profissionais serão refletidos automaticamente para as suas abas correspondentes (Serv Ins, Serv, Copeira, Zel ac. e Aux).</t>
    </r>
  </si>
  <si>
    <t>5.1</t>
  </si>
  <si>
    <r>
      <rPr>
        <b/>
        <sz val="10"/>
        <rFont val="Calibri"/>
        <family val="2"/>
        <charset val="1"/>
      </rPr>
      <t>Não será necessário realizar nenhuma alteração nas abas contendo o detalhamento de custos de cada categoria profissional.</t>
    </r>
    <r>
      <rPr>
        <sz val="10"/>
        <rFont val="Calibri"/>
        <family val="2"/>
        <charset val="1"/>
      </rPr>
      <t xml:space="preserve"> Estas abas conterão apenas o reflexo dos dados preenchidos nas abas anteriores (conforme explicação nº 3).</t>
    </r>
  </si>
  <si>
    <t>5.2</t>
  </si>
  <si>
    <t>Estas abas estão destacadas na Cor Cinza.</t>
  </si>
  <si>
    <t>6.</t>
  </si>
  <si>
    <r>
      <rPr>
        <sz val="10"/>
        <rFont val="Calibri"/>
        <family val="2"/>
        <charset val="1"/>
      </rPr>
      <t>A Aba "</t>
    </r>
    <r>
      <rPr>
        <b/>
        <sz val="10"/>
        <rFont val="Calibri"/>
        <family val="2"/>
        <charset val="1"/>
      </rPr>
      <t>Resumo</t>
    </r>
    <r>
      <rPr>
        <sz val="10"/>
        <rFont val="Calibri"/>
        <family val="2"/>
        <charset val="1"/>
      </rPr>
      <t>" contém o detalhamento dos custos unitários por categoria profissional, além de conter o preço final da proposta.</t>
    </r>
  </si>
  <si>
    <t>6.1</t>
  </si>
  <si>
    <r>
      <rPr>
        <sz val="10"/>
        <rFont val="Calibri"/>
        <family val="2"/>
        <charset val="1"/>
      </rPr>
      <t xml:space="preserve">Para efeitos de lance/oferta, as licitantes devem considerar o valor da célula "T17", da Aba "Resumo", correspondente ao </t>
    </r>
    <r>
      <rPr>
        <b/>
        <sz val="10"/>
        <rFont val="Calibri"/>
        <family val="2"/>
        <charset val="1"/>
      </rPr>
      <t>VALOR MENSAL.</t>
    </r>
  </si>
  <si>
    <t>6.2</t>
  </si>
  <si>
    <t>Esta aba está destacada na Cor Azul.</t>
  </si>
  <si>
    <t>7.</t>
  </si>
  <si>
    <r>
      <rPr>
        <sz val="10"/>
        <rFont val="Calibri"/>
        <family val="2"/>
        <charset val="1"/>
      </rPr>
      <t>A Aba "</t>
    </r>
    <r>
      <rPr>
        <b/>
        <sz val="10"/>
        <rFont val="Calibri"/>
        <family val="2"/>
        <charset val="1"/>
      </rPr>
      <t>Custo Estimado Substituto</t>
    </r>
    <r>
      <rPr>
        <sz val="10"/>
        <rFont val="Calibri"/>
        <family val="2"/>
        <charset val="1"/>
      </rPr>
      <t>" contém valores estimados com os profissionais substitutos do titular em férias.</t>
    </r>
  </si>
  <si>
    <t>7.1</t>
  </si>
  <si>
    <t>Não será necessário realizar nenhuma alteração nesta aba, pois conterá apenas o reflexo dos dados preenchidos nas abas anteriores (conforme explicação nº 3).</t>
  </si>
  <si>
    <t>7.2</t>
  </si>
  <si>
    <t>ANEXO X - PLANILHA DE CUSTO E FORMAÇÃO DE PREÇO MENSAL ESTIMATIVO - PLANILHA DE DADOS</t>
  </si>
  <si>
    <t>Elemento de Despesa</t>
  </si>
  <si>
    <t>Quantidade de Postos</t>
  </si>
  <si>
    <t>Carga Horária
(Horas)</t>
  </si>
  <si>
    <t>*OBS 1 -
Salário Base I (Piso Para 220h/m)
(R$)</t>
  </si>
  <si>
    <t>Salário Base II
(Conforme Jornada Contratada)
(R$)</t>
  </si>
  <si>
    <t xml:space="preserve">
Insalubridade
Grau de Risco
(%)</t>
  </si>
  <si>
    <t>Valor Insalubridade
(R$)</t>
  </si>
  <si>
    <t>*OBS 2 -
Acúmulo de Função / Acréscimo Salarial
(%)</t>
  </si>
  <si>
    <t>*OBS 3 -
Tempo de Execução de Atividades em Acúmulo
(%)</t>
  </si>
  <si>
    <t>*OBS 4 -
Base Para Cálculo de Acúmulo de Função
(R$)</t>
  </si>
  <si>
    <t>Valor Acúmulo de Função
(R$)</t>
  </si>
  <si>
    <t>Remuneração Total
(Grupo A)
(R$)</t>
  </si>
  <si>
    <t>Uniforme
(R$)</t>
  </si>
  <si>
    <t>Material de Limpeza Rateado
(R$)</t>
  </si>
  <si>
    <t>Material de Copa Rateado
(R$)</t>
  </si>
  <si>
    <t>EPI</t>
  </si>
  <si>
    <t>Depreciação Rateada
(R$)</t>
  </si>
  <si>
    <t>CÓDIGO DE ELEMENTO DE DESPESA
(CONTROLE DA CONTRATANTE)</t>
  </si>
  <si>
    <t>RATEIO
INSUMOS</t>
  </si>
  <si>
    <t>Servente de Limpeza 40% Insalubridade</t>
  </si>
  <si>
    <t>Servente de Limpeza  ac. Copeira</t>
  </si>
  <si>
    <t>Servente de Limpeza</t>
  </si>
  <si>
    <t>Porteiro</t>
  </si>
  <si>
    <t>Auxiliar Administrativo</t>
  </si>
  <si>
    <t>OBS 1: Inserir piso salarial correspondente à jornada de 220h mensais.      OBS 2: Informar % de acúmulo de função.</t>
  </si>
  <si>
    <t>OBS 3: Informar % do tempo de acúmulo de função.   OBS 4: Informar salário base.</t>
  </si>
  <si>
    <t>TOTAL</t>
  </si>
  <si>
    <t>DADOS DA PROPOSTA</t>
  </si>
  <si>
    <t>Data de apresentação da proposta</t>
  </si>
  <si>
    <t>Informar data de abertura do certame / data final para cadastro da proposta comercial.</t>
  </si>
  <si>
    <t>Sindicato utilizado</t>
  </si>
  <si>
    <t>Informar o sindicato utilizado pela Licitante.</t>
  </si>
  <si>
    <t>Número de registro da CCT - Código MTE</t>
  </si>
  <si>
    <t>Informar o número de registro da Convenção Coletiva de Tralbalho utilizada no processo licitatório, junto ao Ministério do Trabalho e Emprego.</t>
  </si>
  <si>
    <t>Vigência da CCT utilizada</t>
  </si>
  <si>
    <t>Informar a vigência da Convenção Coletiva de Trabalho utilizada no processo licitatório.</t>
  </si>
  <si>
    <t>Data base da categoria</t>
  </si>
  <si>
    <t>Informar a data base da Convenção Coletiva de Trabalho utilizada no processo licitatório.</t>
  </si>
  <si>
    <t>ENCARGOS SOCIAIS E TRABALHISTAS</t>
  </si>
  <si>
    <t>-</t>
  </si>
  <si>
    <t>Percentual de Encargos (TOTAL)</t>
  </si>
  <si>
    <t>SAT - Seguro Acidentes Trabalho</t>
  </si>
  <si>
    <t>RAT (Atividade Principal)</t>
  </si>
  <si>
    <t>Informar percentual correspondente à atividade preponderante da Licitante.</t>
  </si>
  <si>
    <t>FAP (Conforme FapWeb)</t>
  </si>
  <si>
    <t>Informar Fator extraído do documento FapWeb da Licitante.</t>
  </si>
  <si>
    <t>SALÁRIO BASE PARE CÁLCULO DE INSALUBRIDADE</t>
  </si>
  <si>
    <t xml:space="preserve">SALÁRIO MINÍMO NACIONAL </t>
  </si>
  <si>
    <t>Informar base salarial para fins de cálculo de Insalubridade.</t>
  </si>
  <si>
    <t>BENEFÍCIOS</t>
  </si>
  <si>
    <t>Seguro de Vida em Grupo</t>
  </si>
  <si>
    <t>Inserir valor unitário mensal.</t>
  </si>
  <si>
    <t>Programa de Assistência Familiar - PAF</t>
  </si>
  <si>
    <t>Vale Transporte</t>
  </si>
  <si>
    <t>Valor da tarifa</t>
  </si>
  <si>
    <t>Inserir o valor unitário da tarifa.</t>
  </si>
  <si>
    <t>Número de Tarifas por dia</t>
  </si>
  <si>
    <t>Inserir a quantidade de tarifas diárias.</t>
  </si>
  <si>
    <t>Número de dias para fornecimento</t>
  </si>
  <si>
    <t>Número de dias utilizados para a precificação. Número determinado em edital. Não será permitido alteração.</t>
  </si>
  <si>
    <t>Custeio do trabalhador (participação legal)</t>
  </si>
  <si>
    <t>Inserir percentual de participação do trabalhador.</t>
  </si>
  <si>
    <t>Vale Alimentação</t>
  </si>
  <si>
    <t>Valor Unitário do Ticket</t>
  </si>
  <si>
    <t>Inserir valor unitário do Ticket.</t>
  </si>
  <si>
    <t>Outros (inserir somente com a justificativa legal)</t>
  </si>
  <si>
    <t>Inserir valor unitário mensal, quando preenchido, e apresentar as justificativas legais para inclusão.</t>
  </si>
  <si>
    <t>MONTANTE C</t>
  </si>
  <si>
    <t>Despesas Administrativas</t>
  </si>
  <si>
    <t>Informar percentual da Licitante.</t>
  </si>
  <si>
    <t>Lucro</t>
  </si>
  <si>
    <t>MONTANTE D</t>
  </si>
  <si>
    <t>OBS:</t>
  </si>
  <si>
    <t>Opção Tributária</t>
  </si>
  <si>
    <t>LUCRO REAL</t>
  </si>
  <si>
    <t>Informar opção tributária da Licitante. Atentar-se às observações do "Montante D".</t>
  </si>
  <si>
    <t>COFINS</t>
  </si>
  <si>
    <t>Informar percentual da Licitante. Atentar-se às observações do "Montante D".</t>
  </si>
  <si>
    <t>PIS/PASEP</t>
  </si>
  <si>
    <t>ISSQN</t>
  </si>
  <si>
    <t>Informar percentual do código tributário municipal, local da execução das atividades.</t>
  </si>
  <si>
    <t>Informar o tipo de tributo e apresentar as justificativas legais para inclusão. Informar percentual da Licitante. Atentar-se às observações do "Montante D".</t>
  </si>
  <si>
    <t>Soma dos tributos</t>
  </si>
  <si>
    <t>PREVISÃO DE REAJUSTE IPCA - 12 (DOZE) MESES DE CONTRATO - INFORMATIVO PARA SER UTILIZADO DURANTE A GESTÃO CONTRATUAL</t>
  </si>
  <si>
    <t>UNIFORME</t>
  </si>
  <si>
    <t>MATERIAIS
DIVERSOS</t>
  </si>
  <si>
    <t>EPI COVID</t>
  </si>
  <si>
    <t>SEG VIDA</t>
  </si>
  <si>
    <t>FATOR DE APLICAÇÃO
(2 CASAS DECIMAIS)</t>
  </si>
  <si>
    <t>DATA DE APROVAÇÃO IPCA</t>
  </si>
  <si>
    <t>DOCUMENTO RELACIONADO ID</t>
  </si>
  <si>
    <t>1º REAJUSTE IPCA</t>
  </si>
  <si>
    <t>Percentual (%) aprovado</t>
  </si>
  <si>
    <t>Aplicar reajuste após solicitação da contratada?</t>
  </si>
  <si>
    <t>NÃO</t>
  </si>
  <si>
    <t>2º REAJUSTE IPCA</t>
  </si>
  <si>
    <t>3º REAJUSTE IPCA</t>
  </si>
  <si>
    <t>4º REAJUSTE IPCA</t>
  </si>
  <si>
    <t>5º REAJUSTE IPCA</t>
  </si>
  <si>
    <t>CONTROLE DE REAJUSTE IPCA - UNIFORME</t>
  </si>
  <si>
    <t>APLICAR
VALOR</t>
  </si>
  <si>
    <t>INICIAL</t>
  </si>
  <si>
    <t>CONTROLE DE REAJUSTE IPCA - MATERIAIS DIVERSOS</t>
  </si>
  <si>
    <t>CONTROLE DE REAJUSTE IPCA - EPI COVID</t>
  </si>
  <si>
    <t>CONTROLE DE REAJUSTE IPCA - SEGURO DE VIDA</t>
  </si>
  <si>
    <t>VALOR INICIAL DO CONTRATO</t>
  </si>
  <si>
    <t>1º REAJUSTE POR IPCA</t>
  </si>
  <si>
    <t>2º REAJUSTE POR IPCA</t>
  </si>
  <si>
    <t>3º REAJUSTE POR IPCA</t>
  </si>
  <si>
    <t>4º REAJUSTE POR IPCA</t>
  </si>
  <si>
    <t>5º REAJUSTE POR IPCA</t>
  </si>
  <si>
    <t>HISTÓRICO - CONTROLE DE CONTRATO - VERSÃO DE PLANILHA DE CUSTOS</t>
  </si>
  <si>
    <t>Planilha / Proposta comercial - Início do contrato (Licitação)</t>
  </si>
  <si>
    <t>PLANILHA - ID</t>
  </si>
  <si>
    <t>Obs: Planiha apresentada e aceita durante a fase de lances.</t>
  </si>
  <si>
    <t>1º Termo Aditivo</t>
  </si>
  <si>
    <t>Obs: Planilha ajustada com o acréscimo de 1 posto "X" - 200h.</t>
  </si>
  <si>
    <t>1º Termo de Apostilamento</t>
  </si>
  <si>
    <t>Obs: Repactuação CCT 2024 / Alteração do salário mínimo nacional.</t>
  </si>
  <si>
    <t>INFORMAR TERMO ADITIVO / APOSTILAMENTO / ALTERAÇÃO CONTRATUAL</t>
  </si>
  <si>
    <t>Obs: Descrever alerações. EX: Como é realizado no Extrato.</t>
  </si>
  <si>
    <t>Planilha de Encargos Sociais e Trabalhistas</t>
  </si>
  <si>
    <t>ANEXO X</t>
  </si>
  <si>
    <t>INSTRUÇÕES DE PREENCHIMENTO - Informar/Alterar somente as células destacadas na Cor Amarela, de acordo com o percentual da Licitante.</t>
  </si>
  <si>
    <t>QUADRO RESUMO</t>
  </si>
  <si>
    <t>DESCRIÇÃO</t>
  </si>
  <si>
    <t>PERCENTUAL</t>
  </si>
  <si>
    <t>Grupo A</t>
  </si>
  <si>
    <t>Encargos Previdenciários, FGTS e Outras Contribuições</t>
  </si>
  <si>
    <t>PREVIDÊNCIA SOCIAL - INSS</t>
  </si>
  <si>
    <t>SESI ou SESC</t>
  </si>
  <si>
    <t>SENAI ou SENAC</t>
  </si>
  <si>
    <t>INCRA</t>
  </si>
  <si>
    <t>Salário Educação</t>
  </si>
  <si>
    <t>FGTS</t>
  </si>
  <si>
    <t>SAT - Seguro Acidentes Trabalho - (RAT x FAP)</t>
  </si>
  <si>
    <t xml:space="preserve">  Alterar FAP e RAT na aba "DADOS"</t>
  </si>
  <si>
    <t>SEBRAE</t>
  </si>
  <si>
    <t>Total Grupo A - Encargos previdenciários, FGTS e Outras Contribuições</t>
  </si>
  <si>
    <t>Grupo B</t>
  </si>
  <si>
    <t>Grupo B.1</t>
  </si>
  <si>
    <t>13º Salário</t>
  </si>
  <si>
    <t>Adicional de Férias</t>
  </si>
  <si>
    <t>Subtotal</t>
  </si>
  <si>
    <t>Incidência do Grupo A sobre 13º salário e adicional de férias</t>
  </si>
  <si>
    <t>Total Grupo B.1 - 13º salário e adicional de férias</t>
  </si>
  <si>
    <t>Grupo B.2</t>
  </si>
  <si>
    <t>Afastamento Maternidade</t>
  </si>
  <si>
    <t>Licença Maternidade</t>
  </si>
  <si>
    <t>Incidência do Grupo A sobre o afastamento maternidade</t>
  </si>
  <si>
    <t>Total Grupo B.2 - Afastamento maternidade</t>
  </si>
  <si>
    <t>Grupo B.3</t>
  </si>
  <si>
    <t>Provisão para Rescisão</t>
  </si>
  <si>
    <t>Aviso Prévio Indenizado</t>
  </si>
  <si>
    <t>Incidência do FGTS sobre o Aviso Prévio Indenizado</t>
  </si>
  <si>
    <t>Multa do FGTS do Aviso Prévio Indenizado</t>
  </si>
  <si>
    <t>Aviso Prévio Trabalhado</t>
  </si>
  <si>
    <t xml:space="preserve">Incidência do Grupo A sobre o Aviso Prévio Trabalhado </t>
  </si>
  <si>
    <t xml:space="preserve">Multa do FGTS do Aviso Prévio Trabalhado </t>
  </si>
  <si>
    <t>Total Grupo B.3 - Provisão para rescisão</t>
  </si>
  <si>
    <t>Grupo B.4</t>
  </si>
  <si>
    <t>Composição do Custo de Reposição do Profissional Ausente</t>
  </si>
  <si>
    <t>Remuneração do profissional substituto</t>
  </si>
  <si>
    <t>Ausência por doença</t>
  </si>
  <si>
    <t>Licença Paternidade</t>
  </si>
  <si>
    <t>Ausências Legais</t>
  </si>
  <si>
    <t>Ausência por acidente de trabalho</t>
  </si>
  <si>
    <t>PERCENTUAIS PARA CONTINGENCIAMENTO DE ENCARGOS TRABALHISTAS A SEREM APLICADOS SOBRE A NOTA FISCAL (UTILIZAÇÃO DURANTE A VIGÊNCIA CONTRATUAL)</t>
  </si>
  <si>
    <t>Incidência do submódulo 4.1 sobre custo de reposição</t>
  </si>
  <si>
    <t>Total Grupo B.4 - Custo de reposição do profissional ausente</t>
  </si>
  <si>
    <t>Título</t>
  </si>
  <si>
    <t>VARIAÇÃO RAT AJUSTADO 0,50% A 6%</t>
  </si>
  <si>
    <t>Grupo C</t>
  </si>
  <si>
    <t>Outros (especificar)</t>
  </si>
  <si>
    <t>EMPRESAS</t>
  </si>
  <si>
    <t>Indenização Adicional</t>
  </si>
  <si>
    <t xml:space="preserve">Grupo </t>
  </si>
  <si>
    <t>Mínimo</t>
  </si>
  <si>
    <t>Máximo</t>
  </si>
  <si>
    <t>LICITANTE</t>
  </si>
  <si>
    <t>Total Grupo C - Indenização Adicional</t>
  </si>
  <si>
    <t>SUBMÓDULO E.1 - da IN 02/2008 MPOG:</t>
  </si>
  <si>
    <t>Quadro Resumo - Encargos Sociais e Trabalhistas</t>
  </si>
  <si>
    <t>SAT (RATxFAP):</t>
  </si>
  <si>
    <t>13º salário</t>
  </si>
  <si>
    <t>13º Salário + Adicional de Férias</t>
  </si>
  <si>
    <t>Férias</t>
  </si>
  <si>
    <t>1/3 constitucional</t>
  </si>
  <si>
    <t>Custo de Rescisão</t>
  </si>
  <si>
    <t>Custo de Reposição do profissional Ausente</t>
  </si>
  <si>
    <t>Incidência do Grupo A (*)</t>
  </si>
  <si>
    <t>Multa do FGTS</t>
  </si>
  <si>
    <t>Total dos Encargos Sociais Trabalhistas</t>
  </si>
  <si>
    <t>Encargos a contingenciar</t>
  </si>
  <si>
    <t>Taxa da conta-corrente vinculada (inciso II art. 2º IN 001/2013</t>
  </si>
  <si>
    <t>1. Não deverá haver alteração nos itens 9(9,09%), 10(3,03%), 13(3,49%) e 16(9,09%) dos percentuais acima, considerando que a Justiça Federal segue as diretrizes da IN 1/2016, de 20 de janeiro de 2016, do CJF, bem como o disposto no Art. 12 da Lei 13.932/2019, com vigência a partir de 01/01/2020.</t>
  </si>
  <si>
    <t>Total a contingenciar</t>
  </si>
  <si>
    <t>ANEXO X - CUSTO ESTIMATIVO DE MATERIAIS DE LIMPEZA</t>
  </si>
  <si>
    <t>INSTRUÇÕES DE PREENCHIMENTO - Informar/Alterar somente as células destacadas na Cor Amarela, de acordo com o valor unitário da Licitante.</t>
  </si>
  <si>
    <t>VALORES UNITÁRIOS DO CONTRATO, CORRIGIDOS PELO REAJUSTE DE IPCA.</t>
  </si>
  <si>
    <t>DESCRIÇÃO DO MATERIAL</t>
  </si>
  <si>
    <t>OBSERVAÇÕES</t>
  </si>
  <si>
    <t>REFERÊNCIA</t>
  </si>
  <si>
    <t>Quantidade</t>
  </si>
  <si>
    <t>Preço Unitário</t>
  </si>
  <si>
    <t>DIVISOR</t>
  </si>
  <si>
    <t>VALOR INICIAL DO CONTRATO
(Informar após o término da licitação)</t>
  </si>
  <si>
    <t>Alcool Líquido 70% - 1L</t>
  </si>
  <si>
    <t>Mensal</t>
  </si>
  <si>
    <t>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t>
  </si>
  <si>
    <t>Galão</t>
  </si>
  <si>
    <t>Facilita, Gelalcool</t>
  </si>
  <si>
    <t>Balde Material: Plástico , Material Alça: Arame Galvanizado , Capacidade: 12 L,Cor: Preta , Características Adicionais: Reforço Fundo E Borda</t>
  </si>
  <si>
    <t>Arqplast</t>
  </si>
  <si>
    <t>Anual</t>
  </si>
  <si>
    <t xml:space="preserve"> Toalha Mágica - Pano Limpeza Material: Microfibra. , Aplicação: Uso
 Geral, Comprimento: 60 CM, Tipo: Toalha , Largura: 40 CM,
 Características Adicionais: Alto Grau Absorção</t>
  </si>
  <si>
    <t>Detailer</t>
  </si>
  <si>
    <t>Desinfetante concentrado 1x25 - fragância Floral - Galão de 5 litros</t>
  </si>
  <si>
    <t>Audax</t>
  </si>
  <si>
    <t>Desodorizador de ar, neuralizador de odor, aerosol 360ml</t>
  </si>
  <si>
    <t>Glade</t>
  </si>
  <si>
    <t>Detergente líquido para louça, neutro, embalagem de 500ml, com tampa Push Pool. Deverá conter glicerina e ser testado e aprovado por dermatologistas. Com fórmula biodegradável. Deve possuir registro na Anvisa/Ministério da Saúde, o qual deverá estar impre</t>
  </si>
  <si>
    <t>Ypê ou similar</t>
  </si>
  <si>
    <t xml:space="preserve"> Esponja Para Lavagem De Louças E Limpeza Em Geral, Dupla Face
 Sintética, Um Lado Em Espuma Poliuretano E Outro Em Fibra Sintética
 Abrasiva, Antibacteriana, Embalagem Com 3(Três) Unid, Formato
 Retangular, Medindo Aproximadamente 110mm X 75mm X 20mm De
 Espessura</t>
  </si>
  <si>
    <t>Scotch-Brite</t>
  </si>
  <si>
    <t>Flanela branca 38 x 58cm</t>
  </si>
  <si>
    <t>Lã de aço pct c/ 8 unidades</t>
  </si>
  <si>
    <t>Pacte.</t>
  </si>
  <si>
    <t>Bombril, Assolan ou similar</t>
  </si>
  <si>
    <t>Limpa Vidros - 500ml</t>
  </si>
  <si>
    <t>Veja, Uau ou similar</t>
  </si>
  <si>
    <t>Trimestral</t>
  </si>
  <si>
    <t>Limpador para limpeza pesada - 500ml</t>
  </si>
  <si>
    <t>Lustra móveis - 200ml</t>
  </si>
  <si>
    <t>Facilita ou similar</t>
  </si>
  <si>
    <t>Semestral</t>
  </si>
  <si>
    <t>Luvas de Látex, forrada, de boa qualidade</t>
  </si>
  <si>
    <t xml:space="preserve"> Brilho alumínio 500 ml – serve para limpar e dar brilho aos alumínios e
 inox. formula composta basicamente por detergentes de alta
 umectação associados à componentes ácidos que lavam e eliminam
 manchas dos utensílios domésticos.</t>
  </si>
  <si>
    <t>Azulim</t>
  </si>
  <si>
    <t xml:space="preserve"> Pá p/ lixo em plástico resistente c/ cabo de madeira de 60cm de altura
 na vertical.</t>
  </si>
  <si>
    <t>Bettanin ou similar</t>
  </si>
  <si>
    <t>Papel higiênico branco, folha dupla, de alta qualidade, com dimensões 10cm X 30m, com a marca do fabricante e indicação na embalagem, absorvente e resistente, fardo com 64 rolos de 30 metros. Tipo Neve ou de melhor qualidade</t>
  </si>
  <si>
    <t>fardo</t>
  </si>
  <si>
    <t>Neve</t>
  </si>
  <si>
    <t xml:space="preserve"> Água sanitária galão de 5 litro composição do produto: hipoclorito de
 sódio 2,5%, hidróxido de sódio e veículo. teor de cloro ativo entre 2,0
 e 2,5% p/p.</t>
  </si>
  <si>
    <t>Santa Clara</t>
  </si>
  <si>
    <t xml:space="preserve">	
PAPEL TOALHA INTERFOLHADO, 2 dobras, 100% fibras celulósicas, branco extra luxo, sem pintas ou outros tipos de sujidades, boa qualidade , medindo aproximadamente 23cm x 23 cm , acondicionado em caixa c/1000 folhas</t>
  </si>
  <si>
    <t>Economy, Profi Plus</t>
  </si>
  <si>
    <t>Rodo com base de plástico e borracha dupla expandida de 40cm de
 largura, acompanha cabo de madeira plastificado de
 aproximadamente 1,26m</t>
  </si>
  <si>
    <t>Brubalar</t>
  </si>
  <si>
    <t>RODO PLÁSTICO 60cm, com borracha dupla, resistente e durável, que
 puxa e seca a água, feita em EVA e cepo em polipropileno com garras
 pontiagudas nas laterais para melhor fixar panos de chão</t>
  </si>
  <si>
    <t>Sabão em Pó – Caixa íntegra de 1,6Kg. Sabão em pó, convencional, de
 primeira linha. Para lavar roupas e limpeza em geral.</t>
  </si>
  <si>
    <t>OMO ou similar</t>
  </si>
  <si>
    <t>Sabonete Líquido Perolizado, Erva Doce, Concentrado - Galão com 5l</t>
  </si>
  <si>
    <t>Nobre</t>
  </si>
  <si>
    <t>Saco de Algodão Tipo: Alvejado , Tamanho: 60 X 80 CM, Cor: Branco,
 Características Adicionais: Dupla Face</t>
  </si>
  <si>
    <t>Santa
 Margarida</t>
  </si>
  <si>
    <t>Saco plástico reforçado para lixo 100 litros em polietileno, com capacidade de 100 litros, com estanqueidade suficiente para que não haja vazamento de lixo líquido. com espessura mínima de 10 micra, na cor preta. pacote com 100 unidades.</t>
  </si>
  <si>
    <t>cento</t>
  </si>
  <si>
    <t>Bunzl ou similar</t>
  </si>
  <si>
    <t>Saco para lixo, 09 micras, reforçado - pacote -com 100 unidades - 20 litros</t>
  </si>
  <si>
    <t>Saco de 60l, preto, resistente</t>
  </si>
  <si>
    <t xml:space="preserve">	
Vassoura Material Cerdas: Pêlo Sintético , Comprimento Cepa: 60 CM, Tipo Cabo: Reforçado, Material Cabo: Madeira</t>
  </si>
  <si>
    <t>Bettanin</t>
  </si>
  <si>
    <t>Vassoura Material Cerdas: Piaçava , Aplicação: Limpeza , Material Cepa: Madeira , Comprimento Cepa: 40 CM, Comprimento Cerdas: 13 CM, Largura Cepa: 5 CM, Altura Cepa: 4 CM, Material Cabo: Madeira</t>
  </si>
  <si>
    <t>Limpa cerâmicas e Azulejos; Embalagem com 1L. Azulim</t>
  </si>
  <si>
    <t>Start</t>
  </si>
  <si>
    <t>Vassoura redonda p/ vaso sanitário com suporte</t>
  </si>
  <si>
    <t>ANEXO X - CUSTO ESTIMATIVO DE MATERIAIS DE LIMPEZA COPA</t>
  </si>
  <si>
    <t>Marca de Referência</t>
  </si>
  <si>
    <t>COADOR DE CAFÉ. Especificação: Em pano 100%algodão, cor branca, dimensões de 20cm (diâmetro) x 30cm (profundidade), cabo 16 cm de comprimento feito de arame de aço galvanizado revestido com PVC. O rótulo do produto deve estampar o nome do fabricante.</t>
  </si>
  <si>
    <t>Unid</t>
  </si>
  <si>
    <t>Stolf</t>
  </si>
  <si>
    <t>Detergente líquido para louça, neutro, embalagem de 500ml, com tampa Push Pool. Deverá conter glicerina e ser testado e aprovado por dermatologistas. Com fórmula biodegradável. Deve possuir registro na Anvisa/Ministério da Saúde, o qual deverá estar impresso no rótulo.</t>
  </si>
  <si>
    <t>unid</t>
  </si>
  <si>
    <t>Ypê, Limpol</t>
  </si>
  <si>
    <t>Esponja Limpeza Material: Fibra Vegetal , Aplicação: Utensílios Domésticos , Abrasividade: Mínima / Média , Características Adicionais: Dupla Face, Formato: Retangular</t>
  </si>
  <si>
    <t>unid.</t>
  </si>
  <si>
    <t>Bombril, Assonlan ou similar</t>
  </si>
  <si>
    <t>FLANELA BRANCA 40 cm X 60 cm APLICAÇÃO: para limpeza de móveis, vidros e objetos. CARACTERÍSTICA(S): macia, com bainha em todas as bordas. MATERIAL(IS): 100 % algodão. MEDIDA(S): 38 cm X 58 cm, de largura x comprimento, no mínimo. GRAMATURA: 120 g/m², no mínimo. ACONDICIONAMENTO: embalagem original de fábrica, com identificação e quantidade do material. OBSERVAÇÃO(ÕES): o produto deve conter etiqueta ou vir acompanhado de declaração do fabricante que informe o material em que é fabricado.</t>
  </si>
  <si>
    <t>Kafebom</t>
  </si>
  <si>
    <t>Guardanapo de limpeza, em papel absorvente, folha simples, na cor branca, não gofrado, 4 dobras, dimensões mínimas 33cm x 30cm, 100% fibras naturais, embalado em pacote com 50 unidades, com dados do fabricante, data de fabricação e prazo de validade. Produto fabricado de acordo com as normas da ABNT/NBR. Do tipo Coquetel, Santepel, Snob ou de melhor qualidade</t>
  </si>
  <si>
    <t>pct</t>
  </si>
  <si>
    <t>Santepel</t>
  </si>
  <si>
    <t>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t>
  </si>
  <si>
    <t>Veja ou similar</t>
  </si>
  <si>
    <t>Pano de prato - branco</t>
  </si>
  <si>
    <t>ANEXO X - CUSTO ESTIMATIVO DE EPI</t>
  </si>
  <si>
    <t>Valores em R$</t>
  </si>
  <si>
    <t>Item</t>
  </si>
  <si>
    <t>Especificação</t>
  </si>
  <si>
    <t>Quant.</t>
  </si>
  <si>
    <t>Valor Unitário</t>
  </si>
  <si>
    <t>Valor Total</t>
  </si>
  <si>
    <t>Repasse Mensal</t>
  </si>
  <si>
    <t>EPI Bota Segurança Material: Pvc - Cloreto De Polivinila , Material Sola: Antiderrapante , Cor: Preta , Tipo Cano: Longo ,Características Adicionais: Com Forro, Palmilha e Biqueira De Aço.</t>
  </si>
  <si>
    <t>Total de EPI de Servente</t>
  </si>
  <si>
    <t>ANEXO X - CUSTO ESTIMATIVO DE PREÇOS DE EQUIPAMENTOS</t>
  </si>
  <si>
    <t>Depreciação 10% ao Ano</t>
  </si>
  <si>
    <t xml:space="preserve">RELAÇÃO DE MÁQUINAS E EQUIPAMENTOS </t>
  </si>
  <si>
    <t>Escada doméstica, material alumínio, número degraus 8 un, características adicionais pés antiderrapantes, trava de segurança, capacidade 120 kg, tipo dobrável.</t>
  </si>
  <si>
    <t>Total da Depreciação de Máquinas e Equipamentos</t>
  </si>
  <si>
    <t>ANEXO X - CUSTO ESTIMATIVO DE PREÇOS DOS UNIFORMES</t>
  </si>
  <si>
    <t>Serviços de Limpeza e Conservação</t>
  </si>
  <si>
    <t>CATEGORIA</t>
  </si>
  <si>
    <t>QUANT.</t>
  </si>
  <si>
    <t>DESCRIÇÃO DE UNIFORME</t>
  </si>
  <si>
    <t>CORES</t>
  </si>
  <si>
    <t>TOTAL DO QUANTITATIVO</t>
  </si>
  <si>
    <t>PREÇO UNITÁRIO</t>
  </si>
  <si>
    <t xml:space="preserve">Servente </t>
  </si>
  <si>
    <t>Calça</t>
  </si>
  <si>
    <t>Material: brim leve misto 67% Algodão / 33% Poliéster; Modelo: Unissex;  Quantidade Bolsos: 2 Laterais E 2 Traseiros; Tipo Cós: Com Elástico E Pala; Modelo: unissex;  características adicionais: com elástico e cordão na cintura, sem fecho, tamanhos PP, P, M, G, GG e EX. Cor Preta</t>
  </si>
  <si>
    <t>Preto</t>
  </si>
  <si>
    <t>TOTAL DE POSTOS</t>
  </si>
  <si>
    <t>Camisa</t>
  </si>
  <si>
    <t>Modelo unissex, confeccionado em Malha PV, de 100% poliéster, com gramatura de 180g/m² ou superior, em tecido sem transparência, com manga curta, sem punho. Gola redonda e barra reta. Logotipo da empresa em silk screenCor: bege ou creme.</t>
  </si>
  <si>
    <t>Bege ou creme</t>
  </si>
  <si>
    <t>Calçado</t>
  </si>
  <si>
    <t>Botina segurança - Material: Couro, Material Sola: Borracha, Modelo: Com Elástico nas Laterais, Características Adicionais: Biqueira Em Polipropileno, Tamanho: Sob Medida</t>
  </si>
  <si>
    <t>Soma</t>
  </si>
  <si>
    <t xml:space="preserve">CÁLCULO VALOR DO REPASSE MENSAL SERVENTE DE LIMPEZA </t>
  </si>
  <si>
    <t xml:space="preserve"> Copeira</t>
  </si>
  <si>
    <t>Avental</t>
  </si>
  <si>
    <t>Avental - Em tecido sintético (pvc forrado) revestido de pvc na face externa, medindo aproximadamente 1205mm x 665mm, proteção do usuário contra respingos de água e contra respingos de produtos químicos, sem manga, sem gola; fechamento através de tiras no mesmo material do avental, soldadas eletronicamente ou por ilhoses para ajuste cintura/pescoço.</t>
  </si>
  <si>
    <t>Branco</t>
  </si>
  <si>
    <t>Jaleco</t>
  </si>
  <si>
    <t>Jaleco modelo unissex, confeccionado em tecido oxford, 100% poliéster. Frente com dois bolsos na altura da cintura, com fechamento em botões. Modelo de gola em V padrão. Mangas curtas sem punho. Botões e aviamentos na cor do tecido. Com logotipo da empresa bordado.
Cor: Bege ou creme</t>
  </si>
  <si>
    <t>Touca</t>
  </si>
  <si>
    <t>Touca protetora tecido poliéster  e tela, lavável, cor branca</t>
  </si>
  <si>
    <t>CÁLCULO VALOR DO REPASSE MENSAL ACÚMULO COPEIRA</t>
  </si>
  <si>
    <r>
      <rPr>
        <b/>
        <sz val="10"/>
        <color rgb="FF000000"/>
        <rFont val="Calibri"/>
        <family val="2"/>
        <charset val="1"/>
      </rPr>
      <t>Feminino:</t>
    </r>
    <r>
      <rPr>
        <sz val="10"/>
        <color rgb="FF000000"/>
        <rFont val="Calibri"/>
        <family val="2"/>
        <charset val="1"/>
      </rPr>
      <t xml:space="preserve"> Modelo social, confeccionada em tecido Gabardine com elastano (lado interno acetinado), 95% poliéster, 5% elastano, 1ª qualidade. Modelo: Sem pregas, com cós alto. Frente: fechável por zíper comum de nylon fino trava automática, com 01(um) botão no cós na cor do tecido para fechamento, e gancho metálico interno. Cós no próprio tecido entretelado com 6 passadores. Traseira: 2 (dois) pences. Barra: Máquina reta. Aviamento e botões na mesma cor do tecido. Etiqueta de composição e identificação do tecido, forro, confecção, tamanho da peça e instruções de lavagem, conforme determinação do INMETRO.
</t>
    </r>
    <r>
      <rPr>
        <b/>
        <sz val="10"/>
        <color rgb="FF000000"/>
        <rFont val="Calibri"/>
        <family val="2"/>
        <charset val="1"/>
      </rPr>
      <t>Masculino:</t>
    </r>
    <r>
      <rPr>
        <sz val="10"/>
        <color rgb="FF000000"/>
        <rFont val="Calibri"/>
        <family val="2"/>
        <charset val="1"/>
      </rPr>
      <t xml:space="preserve"> Modelo social, confeccionada em Microfibra 100% poliéster maquinetada, sem pregas, 2 bolsos na frente tipo faca, 2 bolsos traseiros sendo um bolso do lado direito e um do lado esquerdo, embutidos sem portinhola, cerzidos, 1 pinchal em cada, fechamento por caseado e 1 botão. Ziper de nylon 18 cm trava automática; Cós no próprio tecido entretelado, fechável por gancho metálico e 1 botão na extensão, com 8 passantes de 1 cm; forro de bolso: 50% poliéster e 50% algodão na cor do tecido. Aviamento e botões na mesma cor do tecido. Etiqueta de composição e identificação do tecido, forro, confecção, tamanho da peça e instruções de lavagem, conforme determinação do INMETRO.</t>
    </r>
  </si>
  <si>
    <r>
      <rPr>
        <b/>
        <sz val="10"/>
        <rFont val="Calibri"/>
        <family val="2"/>
        <charset val="1"/>
      </rPr>
      <t>Feminino</t>
    </r>
    <r>
      <rPr>
        <sz val="10"/>
        <rFont val="Calibri"/>
        <family val="2"/>
        <charset val="1"/>
      </rPr>
      <t xml:space="preserve">: modelo social, confeccionada em tricoline com elastano, sendo 3% elastano e no mínimo 40% algodão, tecido não transparente. Modelo Gola: Tipo colarinho, com pé de gola, entretelado, pespontada, com um botão para fechamento. Manga longa e punho entretelado, abotoamento com 02 (dois) botões. Um bolso frontal, bainha simples modelo de bico à altura do peito, lado esquerdo, reforços, botão reserva na vista interna; fralda: recortada na direção das costuras laterais e toda embainhada. Frente: Dupla, coberta com o próprio tecido da mesma cor em toda extensão, fechável por botões, sem pence. Traseira: 2 pences. Aviamento e botões na mesma cor do tecido. Etiqueta de composição e instrução de lavagem conforme determinação do INMETRO.
</t>
    </r>
    <r>
      <rPr>
        <b/>
        <sz val="10"/>
        <rFont val="Calibri"/>
        <family val="2"/>
        <charset val="1"/>
      </rPr>
      <t>Masculino:</t>
    </r>
    <r>
      <rPr>
        <sz val="10"/>
        <rFont val="Calibri"/>
        <family val="2"/>
        <charset val="1"/>
      </rPr>
      <t xml:space="preserve"> modelo social, confeccionada em tecido tricoline 60% poliéster e 40% algodão. Modelo Gola: Tipo colarinho, com pé de gola, entretelado, pespontada, com um botão para fechamento. Manga longa e punho entretelado, abotoamento com 02 (dois) botões. Um bolso frontal, bainha simples modelo de bico à altura do peito, lado esquerdo, reforços, botão reserva na vista interna; fralda: recortada na direção das costuras laterais e toda embainhada. Frente: Dupla, coberta com o próprio tecido da mesma cor em toda extensão, fechável por botões. Aviamento e botões na mesma cor do tecido. Etiqueta de composição e instrução de lavagem conforme determinação do INMETRO.</t>
    </r>
  </si>
  <si>
    <t>Cinza</t>
  </si>
  <si>
    <r>
      <rPr>
        <b/>
        <sz val="10"/>
        <rFont val="Calibri"/>
        <family val="2"/>
        <charset val="1"/>
      </rPr>
      <t>Feminino:</t>
    </r>
    <r>
      <rPr>
        <sz val="10"/>
        <rFont val="Calibri"/>
        <family val="2"/>
        <charset val="1"/>
      </rPr>
      <t xml:space="preserve"> Sapatilha Feminina material sintético; sola antiderrapante, confeccionado em couro na cor Preto, palmilha em EVA recoberta com tecido antimicrobiano. Tamanho: Sob Medida
</t>
    </r>
    <r>
      <rPr>
        <b/>
        <sz val="10"/>
        <rFont val="Calibri"/>
        <family val="2"/>
        <charset val="1"/>
      </rPr>
      <t xml:space="preserve">Masculino: </t>
    </r>
    <r>
      <rPr>
        <sz val="10"/>
        <rFont val="Calibri"/>
        <family val="2"/>
        <charset val="1"/>
      </rPr>
      <t>modelo social de couro, tipo esporte fino masculino, cabedal em couro natural, com cadarço, palmilha almofadada acolchoado, contraforte, solado em borracha, costurado e colado, sistema anti-impacto para o joelho e antiderrapante.</t>
    </r>
  </si>
  <si>
    <t>CÁLCULO VALOR DO REPASSE MENSAL AUXILIAR ADMINISTRATIVO</t>
  </si>
  <si>
    <t>Planilha de Custo e Formação de Preço Mensal Por Categoria Profissional</t>
  </si>
  <si>
    <t>COM MATERIAL</t>
  </si>
  <si>
    <t>SEM MATERIAL</t>
  </si>
  <si>
    <t>CUSTO DE VALE ALIMENTAÇÃO</t>
  </si>
  <si>
    <t>CUSTO DE VALE-TRANSPORTE</t>
  </si>
  <si>
    <t>CUSTO INSALUBRIDADE</t>
  </si>
  <si>
    <t>33390.37.02 - Limpeza e Conservação</t>
  </si>
  <si>
    <t>MONTANTE "A" - Mão de Obra</t>
  </si>
  <si>
    <t>Função</t>
  </si>
  <si>
    <t>Carga Horária Mensal</t>
  </si>
  <si>
    <t xml:space="preserve"> Salário Base</t>
  </si>
  <si>
    <t>Adicional de Insalubridade</t>
  </si>
  <si>
    <t>Adicional Acúmulo de Função</t>
  </si>
  <si>
    <t>TOTAL DA REMUNERAÇÃO</t>
  </si>
  <si>
    <t xml:space="preserve">Encargos sociais e trabalhistas                         </t>
  </si>
  <si>
    <t>Total do Montante "A" ( Mão de Obra)</t>
  </si>
  <si>
    <t>MONTANTE "B" - INSUMOS</t>
  </si>
  <si>
    <t>Itens</t>
  </si>
  <si>
    <t>Valores Unitários</t>
  </si>
  <si>
    <t>Uniforme</t>
  </si>
  <si>
    <t xml:space="preserve">Seguro de vida  </t>
  </si>
  <si>
    <t>Material de Limpeza</t>
  </si>
  <si>
    <t>Material de Copa</t>
  </si>
  <si>
    <t>Depreciação de Equipamentos</t>
  </si>
  <si>
    <t>Total do Montante "B" (Insumos)</t>
  </si>
  <si>
    <t>Montante "A" + Montante "B"</t>
  </si>
  <si>
    <t>MONTANTE "C" - DEMAIS COMPONENTES</t>
  </si>
  <si>
    <t>ITENS</t>
  </si>
  <si>
    <t>Percentual</t>
  </si>
  <si>
    <t>Despesas administrativas/operacionais</t>
  </si>
  <si>
    <t>Base de cálculo do lucro</t>
  </si>
  <si>
    <t>Total do Montante "C" (Demais componentes)</t>
  </si>
  <si>
    <t>Montante "A" + Montante "B" + Montante "C"</t>
  </si>
  <si>
    <t>MONTANTE "D" - TRIBUTOS</t>
  </si>
  <si>
    <t>Total do Montante "D" (Tributos)</t>
  </si>
  <si>
    <t>FATOR K</t>
  </si>
  <si>
    <t>Deslocamento Insalubridade</t>
  </si>
  <si>
    <t>Valores Unitarios</t>
  </si>
  <si>
    <t>33390.37.01 - Serviços Administrativos</t>
  </si>
  <si>
    <t>ANEXO X - PLANILHA DE CUSTO E FORMAÇÃO DE PREÇO MENSAL ESTIMATIVO INTEGRAL - RESUMO</t>
  </si>
  <si>
    <t xml:space="preserve">MÊS: </t>
  </si>
  <si>
    <t>VALORES EM R$</t>
  </si>
  <si>
    <t>ELEMENTO DE DESPESA</t>
  </si>
  <si>
    <t>CATEGORIA PROFISSIONAL</t>
  </si>
  <si>
    <t>TOTAL DO FATURAMENTO MENSAL</t>
  </si>
  <si>
    <t>CUSTO MENSAL</t>
  </si>
  <si>
    <t>GLOSA VALE TRANSPORTE</t>
  </si>
  <si>
    <t>GLOSA DE ATRASOS, FALTAS E DESCONTO DO TITULAR EM FÉRIAS (sem material)</t>
  </si>
  <si>
    <t>GLOSA VALE ALIMENTAÇÃO</t>
  </si>
  <si>
    <t>TOTAL GLOSAS</t>
  </si>
  <si>
    <t>ACRÉSCIMO DE INSALUBRIDADE</t>
  </si>
  <si>
    <t>Homem-Mês</t>
  </si>
  <si>
    <t>Custo Mensal  do vale-transporte da categoria com Encargos</t>
  </si>
  <si>
    <t xml:space="preserve">GLOSA </t>
  </si>
  <si>
    <t>Glosa de Atrasos e Faltas</t>
  </si>
  <si>
    <t>Desconto Mensal do Titular em Férias sem substituição</t>
  </si>
  <si>
    <t>Desconto de Vale Alimentação em recesso forense ou ponto facultativo.</t>
  </si>
  <si>
    <t>Total da Glosa de Atrasos, Faltas, Desconto do Titular em Férias sem substituição e Desconto de V.A para recessos.</t>
  </si>
  <si>
    <t>PAGAMENTO INSALUBRIDADE EM SUBSTITUIÇÃO</t>
  </si>
  <si>
    <t>Custo Unitário da categoria</t>
  </si>
  <si>
    <t>Custo Mensal da categoria</t>
  </si>
  <si>
    <t>Dias de afastamento</t>
  </si>
  <si>
    <t>Valor da Glosa do vale transporte da categoria</t>
  </si>
  <si>
    <t>Custo Homem-Mês               (sem material)</t>
  </si>
  <si>
    <t>Valor da Glosa de Atrasos e Faltas</t>
  </si>
  <si>
    <t>Custo Unitário da categoria Planilha de Férias</t>
  </si>
  <si>
    <t xml:space="preserve">Valor do Desconto Mensal </t>
  </si>
  <si>
    <t>Custo Mensal  do vale alimentação da categoria com Encargos</t>
  </si>
  <si>
    <t>Dias de Recesso e/ou ponto facultativo</t>
  </si>
  <si>
    <t>Valor da Glosa do vale alimentação da categoria</t>
  </si>
  <si>
    <t>Valor Insalubridade por dia</t>
  </si>
  <si>
    <t>Quantidade de Dias</t>
  </si>
  <si>
    <t>Valor Devido</t>
  </si>
  <si>
    <t xml:space="preserve">TOTAL DO FATURAMENTO MENSAL </t>
  </si>
  <si>
    <t>Valor para Lance - Registro de oferta</t>
  </si>
  <si>
    <t>VALOR DO MATERIAL</t>
  </si>
  <si>
    <t>TOTAL DO FATURAMENTO ANUAL</t>
  </si>
  <si>
    <t>2. Na célula “R13 ou R14” deverá ser informado a quantidade de dias em que o trabalho insalubre foi realizado por outra servente do quadro, durante as férias da titular.</t>
  </si>
  <si>
    <t xml:space="preserve">ANEXO X - PLANILHA DE CUSTO E FORMAÇÃO DE PREÇO MENSAL ESTIMATIVO DO PROFISSIONAL SUBSTITUTO DO TITULAR EM FÉRIAS </t>
  </si>
  <si>
    <t xml:space="preserve">DESCRIÇÃO </t>
  </si>
  <si>
    <t>4.5</t>
  </si>
  <si>
    <t>Valor em R$</t>
  </si>
  <si>
    <t>Módulo 1 - Total da Remuneração</t>
  </si>
  <si>
    <t>A</t>
  </si>
  <si>
    <t>G</t>
  </si>
  <si>
    <t>Total do Custo MENSAL de Reposição do Profissional Ausente em Férias</t>
  </si>
  <si>
    <t>Total do Custo ANUAL de Reposição do Profissional Ausente em Férias</t>
  </si>
  <si>
    <t>Módulo 2 - Benefícios Mensais e Diários</t>
  </si>
  <si>
    <t>Vale-Alimentação</t>
  </si>
  <si>
    <t>B</t>
  </si>
  <si>
    <t>Vale-Transporte</t>
  </si>
  <si>
    <t>C</t>
  </si>
  <si>
    <t>Outros (sem concessão do intervalo intrajornada)</t>
  </si>
  <si>
    <t>Total de Benefícios Mensais e Diários</t>
  </si>
  <si>
    <t>Módulo 5 - Custos Indiretos, Lucros e Tributos</t>
  </si>
  <si>
    <t>Custos Indiretos (Despesas Operacionais e Administrativas)</t>
  </si>
  <si>
    <t>Tributos</t>
  </si>
  <si>
    <t>C.1</t>
  </si>
  <si>
    <t>Tributos Federais (PIS E COFINS)</t>
  </si>
  <si>
    <t>C.2</t>
  </si>
  <si>
    <t>Tributos Estaduais (especificar)</t>
  </si>
  <si>
    <t>C.3</t>
  </si>
  <si>
    <t>Tributos Municipais (ISS)</t>
  </si>
  <si>
    <t>C.4</t>
  </si>
  <si>
    <t>Total dos Custos Indiretos e Tributos</t>
  </si>
  <si>
    <t>CUSTO TOTAL DO PROFISSIONAL SUBSTITUTO</t>
  </si>
  <si>
    <t>Resumo do Custo Por Empregado Substituto do Titular em Férias</t>
  </si>
  <si>
    <t>Mão de Obra Vinculada à Execução Contratual  (Valor Por Empregado)</t>
  </si>
  <si>
    <t>Módulo 1 - Composição Remuneração * 12 (Anual)</t>
  </si>
  <si>
    <t>Subtotal (A+B)</t>
  </si>
  <si>
    <t>E</t>
  </si>
  <si>
    <t>Módulo 5 - Custos Indiretos, Tributos e Lucro</t>
  </si>
  <si>
    <t xml:space="preserve">Valor Total Mensal Por Empregado Substituto do Titular em Férias </t>
  </si>
  <si>
    <t>Subseção Judiciária de Sete Lagoas</t>
  </si>
  <si>
    <t>Período:</t>
  </si>
  <si>
    <t xml:space="preserve">ÍNDICE </t>
  </si>
  <si>
    <t>IPCA/ IBGE</t>
  </si>
  <si>
    <t>DIAS</t>
  </si>
  <si>
    <t>Pró-rata</t>
  </si>
  <si>
    <t>VALOR ATUAL</t>
  </si>
  <si>
    <t>ANO</t>
  </si>
  <si>
    <t>MÊS</t>
  </si>
  <si>
    <t>ÍNDICE %</t>
  </si>
  <si>
    <t>%</t>
  </si>
  <si>
    <t>AGO</t>
  </si>
  <si>
    <t>SET</t>
  </si>
  <si>
    <t>OUT</t>
  </si>
  <si>
    <t>NOV</t>
  </si>
  <si>
    <t>DEZ</t>
  </si>
  <si>
    <t>JAN</t>
  </si>
  <si>
    <t>FEV</t>
  </si>
  <si>
    <t>MAR</t>
  </si>
  <si>
    <t>ABR</t>
  </si>
  <si>
    <t>MAI</t>
  </si>
  <si>
    <t>JUN</t>
  </si>
  <si>
    <t>JUL</t>
  </si>
  <si>
    <t>INDICE ACUMULADO</t>
  </si>
  <si>
    <t>SINSERTH X SINTAPPI</t>
  </si>
  <si>
    <t>MG002103/2024</t>
  </si>
  <si>
    <t>01° DE ABRIL</t>
  </si>
  <si>
    <t>CÁLCULO VALOR DO REPASSE MENSAL  DE PORTEIRO</t>
  </si>
  <si>
    <t>Total da Folha de Pagamentos</t>
  </si>
  <si>
    <t>Encargos Sociais e Trabalhistas</t>
  </si>
  <si>
    <t>Multa 40%</t>
  </si>
  <si>
    <t xml:space="preserve">Uniforme </t>
  </si>
  <si>
    <t xml:space="preserve">Material </t>
  </si>
  <si>
    <t>IRRF</t>
  </si>
  <si>
    <t>PIS</t>
  </si>
  <si>
    <t>Média ISSQN</t>
  </si>
  <si>
    <t>IRPJ</t>
  </si>
  <si>
    <t>CSLL</t>
  </si>
  <si>
    <t>Faturamento mensal</t>
  </si>
  <si>
    <t>Expectativa de lucro líquido mensal</t>
  </si>
  <si>
    <t xml:space="preserve">taxa </t>
  </si>
  <si>
    <t>lucro</t>
  </si>
  <si>
    <t>Equip</t>
  </si>
  <si>
    <t>DADOS DA LICITANTE</t>
  </si>
  <si>
    <t>Razão Social</t>
  </si>
  <si>
    <t>VILLAGE ADMINISTRAÇÃO E SERVIÇOS LTDA</t>
  </si>
  <si>
    <t>CNPJ</t>
  </si>
  <si>
    <t>01.999.079/0001-79</t>
  </si>
  <si>
    <t>Endereço</t>
  </si>
  <si>
    <t xml:space="preserve">RUA VILA RICA, 843 </t>
  </si>
  <si>
    <t>Telefone</t>
  </si>
  <si>
    <t>31 25267040</t>
  </si>
  <si>
    <t>E-mail</t>
  </si>
  <si>
    <t>COMERCIAL@VILLAGESERVICOS.COM.BR</t>
  </si>
  <si>
    <t>Banco</t>
  </si>
  <si>
    <t>ITAU - AG 5435 - C/C 27.581-2</t>
  </si>
  <si>
    <t xml:space="preserve">DADOS DO REPRESENTANTE LEGAL </t>
  </si>
  <si>
    <t>Nome</t>
  </si>
  <si>
    <t>DANIEL CRHISOSTOMO DO NASCIMENTO MOREIRA</t>
  </si>
  <si>
    <t>CPF</t>
  </si>
  <si>
    <t>865.354.396-15</t>
  </si>
  <si>
    <t>RG</t>
  </si>
  <si>
    <t>M-6.049.232 SSP MG</t>
  </si>
  <si>
    <t xml:space="preserve">Cargo/Função </t>
  </si>
  <si>
    <t>SÓCIO DIRETOR</t>
  </si>
  <si>
    <t>VILLAGE ADMINISTRAÇÃO E SERVIÇOS LTDA.</t>
  </si>
  <si>
    <t>DANIEL CHRISOSTOMO DO NASCIMENTO MOREIRA</t>
  </si>
  <si>
    <t xml:space="preserve">Belo Horizonte ,  01 de dezembro de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</si>
</sst>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 #,##0.00_-;_-* \-??_-;_-@_-"/>
    <numFmt numFmtId="165" formatCode="_-&quot;R$ &quot;* #,##0.00_-;&quot;-R$ &quot;* #,##0.00_-;_-&quot;R$ &quot;* \-??_-;_-@_-"/>
    <numFmt numFmtId="166" formatCode="#,##0_ ;\-#,##0\ "/>
    <numFmt numFmtId="167" formatCode="d/m/yyyy"/>
    <numFmt numFmtId="168" formatCode="0.0000"/>
    <numFmt numFmtId="169" formatCode="_(* #,##0.00_);_(* \(#,##0.00\);_(* \-??_);_(@_)"/>
    <numFmt numFmtId="170" formatCode="* #,##0.00\ ;* \(#,##0.00\);* \-#\ ;@\ "/>
    <numFmt numFmtId="171" formatCode="[$R$-416]#,##0.00"/>
    <numFmt numFmtId="172" formatCode="_(* #,##0.00_);_(* \(#,##0.00\);_(* &quot;-&quot;??_);_(@_)"/>
    <numFmt numFmtId="173" formatCode="0.000%"/>
  </numFmts>
  <fonts count="63" x14ac:knownFonts="1">
    <font>
      <sz val="11"/>
      <color rgb="FF000000"/>
      <name val="Calibri"/>
      <family val="2"/>
      <charset val="1"/>
    </font>
    <font>
      <sz val="11"/>
      <name val="Calibri"/>
      <family val="2"/>
      <charset val="1"/>
    </font>
    <font>
      <sz val="10"/>
      <color rgb="FF333333"/>
      <name val="Calibri"/>
      <family val="2"/>
      <charset val="1"/>
    </font>
    <font>
      <b/>
      <sz val="18"/>
      <name val="Calibri"/>
      <family val="2"/>
      <charset val="1"/>
    </font>
    <font>
      <b/>
      <sz val="16"/>
      <name val="Calibri"/>
      <family val="2"/>
      <charset val="1"/>
    </font>
    <font>
      <b/>
      <sz val="11"/>
      <name val="Calibri"/>
      <family val="2"/>
      <charset val="1"/>
    </font>
    <font>
      <sz val="12"/>
      <name val="Calibri"/>
      <family val="2"/>
      <charset val="1"/>
    </font>
    <font>
      <b/>
      <sz val="10"/>
      <name val="Calibri"/>
      <family val="2"/>
      <charset val="1"/>
    </font>
    <font>
      <b/>
      <sz val="10"/>
      <color rgb="FFFF0000"/>
      <name val="Calibri"/>
      <family val="2"/>
      <charset val="1"/>
    </font>
    <font>
      <sz val="10"/>
      <name val="Calibri"/>
      <family val="2"/>
      <charset val="1"/>
    </font>
    <font>
      <sz val="9"/>
      <name val="Calibri"/>
      <family val="2"/>
      <charset val="1"/>
    </font>
    <font>
      <sz val="10"/>
      <color rgb="FFFF0000"/>
      <name val="Calibri"/>
      <family val="2"/>
      <charset val="1"/>
    </font>
    <font>
      <sz val="11"/>
      <color rgb="FF808080"/>
      <name val="Calibri"/>
      <family val="2"/>
      <charset val="1"/>
    </font>
    <font>
      <sz val="10"/>
      <color rgb="FF000000"/>
      <name val="Calibri"/>
      <family val="2"/>
      <charset val="1"/>
    </font>
    <font>
      <b/>
      <sz val="10"/>
      <color rgb="FF000000"/>
      <name val="Calibri"/>
      <family val="2"/>
      <charset val="1"/>
    </font>
    <font>
      <b/>
      <i/>
      <u/>
      <sz val="11"/>
      <name val="Calibri"/>
      <family val="2"/>
      <charset val="1"/>
    </font>
    <font>
      <sz val="11"/>
      <color rgb="FFFF0000"/>
      <name val="Calibri"/>
      <family val="2"/>
      <charset val="1"/>
    </font>
    <font>
      <b/>
      <u/>
      <sz val="10"/>
      <name val="Calibri"/>
      <family val="2"/>
      <charset val="1"/>
    </font>
    <font>
      <sz val="8"/>
      <name val="Calibri"/>
      <family val="2"/>
      <charset val="1"/>
    </font>
    <font>
      <b/>
      <sz val="12"/>
      <name val="Calibri"/>
      <family val="2"/>
      <charset val="1"/>
    </font>
    <font>
      <sz val="10"/>
      <color rgb="FFFFFFFF"/>
      <name val="Calibri"/>
      <family val="2"/>
      <charset val="1"/>
    </font>
    <font>
      <b/>
      <sz val="14"/>
      <name val="Calibri"/>
      <family val="2"/>
      <charset val="1"/>
    </font>
    <font>
      <b/>
      <sz val="11"/>
      <color rgb="FF000000"/>
      <name val="Calibri"/>
      <family val="2"/>
      <charset val="1"/>
    </font>
    <font>
      <b/>
      <sz val="11"/>
      <color rgb="FFFF0000"/>
      <name val="Calibri"/>
      <family val="2"/>
      <charset val="1"/>
    </font>
    <font>
      <b/>
      <sz val="12"/>
      <color rgb="FF333333"/>
      <name val="Calibri"/>
      <family val="2"/>
      <charset val="1"/>
    </font>
    <font>
      <b/>
      <sz val="11"/>
      <color rgb="FF333333"/>
      <name val="Calibri"/>
      <family val="2"/>
      <charset val="1"/>
    </font>
    <font>
      <b/>
      <sz val="9"/>
      <color rgb="FF333333"/>
      <name val="Calibri"/>
      <family val="2"/>
      <charset val="1"/>
    </font>
    <font>
      <b/>
      <sz val="9"/>
      <name val="Calibri"/>
      <family val="2"/>
      <charset val="1"/>
    </font>
    <font>
      <b/>
      <sz val="8"/>
      <name val="Calibri"/>
      <family val="2"/>
      <charset val="1"/>
    </font>
    <font>
      <b/>
      <sz val="9"/>
      <color rgb="FFFF0000"/>
      <name val="Calibri"/>
      <family val="2"/>
      <charset val="1"/>
    </font>
    <font>
      <b/>
      <sz val="6"/>
      <name val="Calibri"/>
      <family val="2"/>
      <charset val="1"/>
    </font>
    <font>
      <sz val="9"/>
      <color rgb="FF000000"/>
      <name val="Times New Roman"/>
      <family val="1"/>
      <charset val="1"/>
    </font>
    <font>
      <b/>
      <sz val="12"/>
      <color rgb="FFBFBFBF"/>
      <name val="Calibri"/>
      <family val="2"/>
      <charset val="1"/>
    </font>
    <font>
      <b/>
      <sz val="10"/>
      <color rgb="FFC00000"/>
      <name val="Calibri"/>
      <family val="2"/>
      <charset val="1"/>
    </font>
    <font>
      <b/>
      <sz val="7"/>
      <name val="Calibri"/>
      <family val="2"/>
      <charset val="1"/>
    </font>
    <font>
      <sz val="10"/>
      <color rgb="FFC00000"/>
      <name val="Calibri"/>
      <family val="2"/>
      <charset val="1"/>
    </font>
    <font>
      <b/>
      <sz val="12"/>
      <name val="Times New Roman"/>
      <family val="1"/>
      <charset val="1"/>
    </font>
    <font>
      <b/>
      <sz val="28"/>
      <name val="Calibri"/>
      <family val="2"/>
      <charset val="1"/>
    </font>
    <font>
      <b/>
      <sz val="12"/>
      <color rgb="FFCCFFCC"/>
      <name val="Calibri"/>
      <family val="2"/>
      <charset val="1"/>
    </font>
    <font>
      <b/>
      <sz val="26"/>
      <name val="Calibri"/>
      <family val="2"/>
      <charset val="1"/>
    </font>
    <font>
      <sz val="14"/>
      <name val="Calibri"/>
      <family val="2"/>
      <charset val="1"/>
    </font>
    <font>
      <b/>
      <sz val="12.5"/>
      <name val="Calibri"/>
      <family val="2"/>
      <charset val="1"/>
    </font>
    <font>
      <b/>
      <sz val="12"/>
      <color rgb="FF000000"/>
      <name val="Calibri"/>
      <family val="2"/>
      <charset val="1"/>
    </font>
    <font>
      <b/>
      <sz val="9"/>
      <color rgb="FF000000"/>
      <name val="Calibri"/>
      <family val="2"/>
      <charset val="1"/>
    </font>
    <font>
      <b/>
      <sz val="10"/>
      <color rgb="FFFFFFFF"/>
      <name val="Calibri"/>
      <family val="2"/>
      <charset val="1"/>
    </font>
    <font>
      <sz val="10"/>
      <name val="Times New Roman"/>
      <family val="1"/>
      <charset val="1"/>
    </font>
    <font>
      <b/>
      <sz val="8"/>
      <color rgb="FFFF0000"/>
      <name val="Calibri"/>
      <family val="2"/>
      <charset val="1"/>
    </font>
    <font>
      <sz val="11"/>
      <color rgb="FF000000"/>
      <name val="Calibri"/>
      <family val="2"/>
      <charset val="1"/>
    </font>
    <font>
      <sz val="10"/>
      <name val="Arial"/>
      <family val="2"/>
    </font>
    <font>
      <b/>
      <sz val="11"/>
      <color theme="0"/>
      <name val="Calibri"/>
      <family val="2"/>
    </font>
    <font>
      <sz val="10"/>
      <color theme="0"/>
      <name val="Arial"/>
      <family val="2"/>
    </font>
    <font>
      <sz val="12"/>
      <color theme="0"/>
      <name val="Calibri"/>
      <family val="2"/>
    </font>
    <font>
      <sz val="12"/>
      <color theme="0"/>
      <name val="Arial"/>
      <family val="2"/>
    </font>
    <font>
      <sz val="11"/>
      <color theme="0"/>
      <name val="Calibri"/>
      <family val="2"/>
    </font>
    <font>
      <b/>
      <u/>
      <sz val="12"/>
      <color theme="0"/>
      <name val="Calibri"/>
      <family val="2"/>
    </font>
    <font>
      <b/>
      <sz val="11"/>
      <color theme="0"/>
      <name val="Arial"/>
      <family val="2"/>
    </font>
    <font>
      <b/>
      <sz val="10"/>
      <color theme="0"/>
      <name val="Arial"/>
      <family val="2"/>
    </font>
    <font>
      <u/>
      <sz val="11"/>
      <color theme="10"/>
      <name val="Calibri"/>
      <family val="2"/>
      <charset val="1"/>
    </font>
    <font>
      <b/>
      <sz val="12"/>
      <color rgb="FF000000"/>
      <name val="Calibri"/>
      <family val="2"/>
    </font>
    <font>
      <sz val="12"/>
      <color rgb="FF000000"/>
      <name val="Calibri"/>
      <family val="2"/>
    </font>
    <font>
      <b/>
      <u/>
      <sz val="11"/>
      <color rgb="FF0563C1"/>
      <name val="Calibri"/>
      <family val="2"/>
    </font>
    <font>
      <b/>
      <sz val="11"/>
      <name val="Calibri"/>
      <family val="2"/>
    </font>
    <font>
      <b/>
      <i/>
      <sz val="12"/>
      <color rgb="FF000000"/>
      <name val="Calibri"/>
      <family val="2"/>
    </font>
  </fonts>
  <fills count="24">
    <fill>
      <patternFill patternType="none"/>
    </fill>
    <fill>
      <patternFill patternType="gray125"/>
    </fill>
    <fill>
      <patternFill patternType="solid">
        <fgColor rgb="FFFFFF99"/>
        <bgColor rgb="FFFFFFCC"/>
      </patternFill>
    </fill>
    <fill>
      <patternFill patternType="solid">
        <fgColor rgb="FFF8CBAD"/>
        <bgColor rgb="FFFFC7CE"/>
      </patternFill>
    </fill>
    <fill>
      <patternFill patternType="solid">
        <fgColor rgb="FFFFFFCC"/>
        <bgColor rgb="FFFFF2CC"/>
      </patternFill>
    </fill>
    <fill>
      <patternFill patternType="solid">
        <fgColor rgb="FFDCE6F2"/>
        <bgColor rgb="FFDEEBF7"/>
      </patternFill>
    </fill>
    <fill>
      <patternFill patternType="solid">
        <fgColor rgb="FFF2DCDB"/>
        <bgColor rgb="FFD9D9D9"/>
      </patternFill>
    </fill>
    <fill>
      <patternFill patternType="solid">
        <fgColor rgb="FF606060"/>
        <bgColor rgb="FF595959"/>
      </patternFill>
    </fill>
    <fill>
      <patternFill patternType="solid">
        <fgColor rgb="FFFFFFFF"/>
        <bgColor rgb="FFF2F2F2"/>
      </patternFill>
    </fill>
    <fill>
      <patternFill patternType="solid">
        <fgColor rgb="FFFFD966"/>
        <bgColor rgb="FFF8CBAD"/>
      </patternFill>
    </fill>
    <fill>
      <patternFill patternType="solid">
        <fgColor rgb="FFF2F2F2"/>
        <bgColor rgb="FFDEEBF7"/>
      </patternFill>
    </fill>
    <fill>
      <patternFill patternType="solid">
        <fgColor rgb="FF3366CC"/>
        <bgColor rgb="FF0066CC"/>
      </patternFill>
    </fill>
    <fill>
      <patternFill patternType="solid">
        <fgColor rgb="FFD9D9D9"/>
        <bgColor rgb="FFDCE6F2"/>
      </patternFill>
    </fill>
    <fill>
      <patternFill patternType="solid">
        <fgColor rgb="FF595959"/>
        <bgColor rgb="FF606060"/>
      </patternFill>
    </fill>
    <fill>
      <patternFill patternType="solid">
        <fgColor rgb="FFFFFF00"/>
        <bgColor rgb="FFFFD966"/>
      </patternFill>
    </fill>
    <fill>
      <patternFill patternType="solid">
        <fgColor rgb="FFDEEBF7"/>
        <bgColor rgb="FFDCE6F2"/>
      </patternFill>
    </fill>
    <fill>
      <patternFill patternType="solid">
        <fgColor rgb="FF10243E"/>
        <bgColor rgb="FF333333"/>
      </patternFill>
    </fill>
    <fill>
      <patternFill patternType="solid">
        <fgColor rgb="FFBDD7EE"/>
        <bgColor rgb="FFD9D9D9"/>
      </patternFill>
    </fill>
    <fill>
      <patternFill patternType="solid">
        <fgColor rgb="FFC0C0C0"/>
        <bgColor rgb="FFBFBFBF"/>
      </patternFill>
    </fill>
    <fill>
      <patternFill patternType="solid">
        <fgColor rgb="FFFFF2CC"/>
        <bgColor rgb="FFFFFFCC"/>
      </patternFill>
    </fill>
    <fill>
      <patternFill patternType="solid">
        <fgColor rgb="FFADB9CA"/>
        <bgColor rgb="FFBFBFBF"/>
      </patternFill>
    </fill>
    <fill>
      <patternFill patternType="solid">
        <fgColor rgb="FF00B0F0"/>
        <bgColor rgb="FF33CCCC"/>
      </patternFill>
    </fill>
    <fill>
      <patternFill patternType="solid">
        <fgColor rgb="FF808080"/>
        <bgColor rgb="FF606060"/>
      </patternFill>
    </fill>
    <fill>
      <patternFill patternType="solid">
        <fgColor rgb="FFADB9CA"/>
        <bgColor rgb="FFB4C7E7"/>
      </patternFill>
    </fill>
  </fills>
  <borders count="72">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medium">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bottom/>
      <diagonal/>
    </border>
    <border>
      <left/>
      <right/>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thin">
        <color auto="1"/>
      </top>
      <bottom/>
      <diagonal/>
    </border>
    <border>
      <left style="medium">
        <color auto="1"/>
      </left>
      <right/>
      <top style="thin">
        <color auto="1"/>
      </top>
      <bottom style="medium">
        <color auto="1"/>
      </bottom>
      <diagonal/>
    </border>
    <border>
      <left style="thin">
        <color auto="1"/>
      </left>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diagonal/>
    </border>
    <border>
      <left/>
      <right style="thin">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bottom/>
      <diagonal/>
    </border>
    <border>
      <left/>
      <right style="medium">
        <color indexed="64"/>
      </right>
      <top/>
      <bottom style="medium">
        <color indexed="64"/>
      </bottom>
      <diagonal/>
    </border>
  </borders>
  <cellStyleXfs count="9">
    <xf numFmtId="0" fontId="0" fillId="0" borderId="0"/>
    <xf numFmtId="164" fontId="47" fillId="0" borderId="0" applyBorder="0" applyProtection="0"/>
    <xf numFmtId="165" fontId="47" fillId="0" borderId="0" applyBorder="0" applyProtection="0"/>
    <xf numFmtId="9" fontId="47" fillId="0" borderId="0" applyBorder="0" applyProtection="0"/>
    <xf numFmtId="170" fontId="45" fillId="0" borderId="0" applyBorder="0" applyProtection="0"/>
    <xf numFmtId="0" fontId="48" fillId="0" borderId="0"/>
    <xf numFmtId="9" fontId="48" fillId="0" borderId="0" applyFont="0" applyFill="0" applyBorder="0" applyAlignment="0" applyProtection="0"/>
    <xf numFmtId="172" fontId="48" fillId="0" borderId="0" applyFont="0" applyFill="0" applyBorder="0" applyAlignment="0" applyProtection="0"/>
    <xf numFmtId="0" fontId="57" fillId="0" borderId="0" applyNumberFormat="0" applyFill="0" applyBorder="0" applyAlignment="0" applyProtection="0"/>
  </cellStyleXfs>
  <cellXfs count="773">
    <xf numFmtId="0" fontId="0" fillId="0" borderId="0" xfId="0"/>
    <xf numFmtId="0" fontId="5" fillId="2" borderId="4" xfId="0" applyFont="1" applyFill="1" applyBorder="1" applyAlignment="1">
      <alignment horizontal="center" vertical="center" wrapText="1"/>
    </xf>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1" fillId="0" borderId="1" xfId="0" applyFont="1" applyBorder="1"/>
    <xf numFmtId="0" fontId="2" fillId="0" borderId="2" xfId="0" applyFont="1" applyBorder="1" applyAlignment="1">
      <alignment horizontal="left" vertical="center"/>
    </xf>
    <xf numFmtId="0" fontId="3" fillId="0" borderId="0" xfId="0" applyFont="1" applyAlignment="1">
      <alignment vertical="center"/>
    </xf>
    <xf numFmtId="0" fontId="1" fillId="0" borderId="3" xfId="0" applyFont="1" applyBorder="1" applyAlignment="1">
      <alignment vertical="top"/>
    </xf>
    <xf numFmtId="0" fontId="2" fillId="0" borderId="0" xfId="0" applyFont="1" applyAlignment="1">
      <alignment horizontal="left" vertical="center"/>
    </xf>
    <xf numFmtId="0" fontId="3" fillId="0" borderId="0" xfId="0" applyFont="1" applyAlignment="1">
      <alignment vertical="top"/>
    </xf>
    <xf numFmtId="0" fontId="1" fillId="0" borderId="0" xfId="0" applyFont="1" applyAlignment="1">
      <alignment horizontal="center" vertical="top"/>
    </xf>
    <xf numFmtId="0" fontId="1" fillId="0" borderId="0" xfId="0" applyFont="1" applyAlignment="1">
      <alignment vertical="top"/>
    </xf>
    <xf numFmtId="0" fontId="2" fillId="0" borderId="0" xfId="0" applyFont="1" applyAlignment="1">
      <alignment horizontal="left" vertical="top"/>
    </xf>
    <xf numFmtId="0" fontId="1" fillId="0" borderId="0" xfId="0" applyFont="1" applyAlignment="1">
      <alignment horizontal="left" vertical="center"/>
    </xf>
    <xf numFmtId="0" fontId="3"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1" fillId="0" borderId="4" xfId="0" applyFont="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16" xfId="0" applyFont="1" applyFill="1" applyBorder="1" applyAlignment="1">
      <alignment horizontal="center" vertical="center" wrapText="1"/>
    </xf>
    <xf numFmtId="1" fontId="9" fillId="0" borderId="17" xfId="0" applyNumberFormat="1" applyFont="1" applyBorder="1" applyAlignment="1">
      <alignment horizontal="center" vertical="center"/>
    </xf>
    <xf numFmtId="0" fontId="9" fillId="0" borderId="4" xfId="0" applyFont="1" applyBorder="1" applyAlignment="1">
      <alignment vertical="center" wrapText="1"/>
    </xf>
    <xf numFmtId="1" fontId="9" fillId="0" borderId="4" xfId="0" applyNumberFormat="1" applyFont="1" applyBorder="1" applyAlignment="1">
      <alignment horizontal="center" vertical="center"/>
    </xf>
    <xf numFmtId="0" fontId="11" fillId="6" borderId="18" xfId="0" applyFont="1" applyFill="1" applyBorder="1" applyAlignment="1" applyProtection="1">
      <alignment horizontal="center" vertical="center"/>
      <protection locked="0"/>
    </xf>
    <xf numFmtId="0" fontId="11" fillId="6" borderId="4" xfId="0" applyFont="1" applyFill="1" applyBorder="1" applyAlignment="1" applyProtection="1">
      <alignment horizontal="center" vertical="center"/>
      <protection locked="0"/>
    </xf>
    <xf numFmtId="2" fontId="11" fillId="6" borderId="17" xfId="0" applyNumberFormat="1" applyFont="1" applyFill="1" applyBorder="1" applyAlignment="1" applyProtection="1">
      <alignment horizontal="center" vertical="center"/>
      <protection locked="0"/>
    </xf>
    <xf numFmtId="2" fontId="9" fillId="0" borderId="19" xfId="0" applyNumberFormat="1" applyFont="1" applyBorder="1" applyAlignment="1">
      <alignment horizontal="center" vertical="center"/>
    </xf>
    <xf numFmtId="0" fontId="11" fillId="6" borderId="20" xfId="0" applyFont="1" applyFill="1" applyBorder="1" applyAlignment="1" applyProtection="1">
      <alignment horizontal="center" vertical="center"/>
      <protection locked="0"/>
    </xf>
    <xf numFmtId="164" fontId="12" fillId="7" borderId="20" xfId="0" applyNumberFormat="1" applyFont="1" applyFill="1" applyBorder="1" applyAlignment="1">
      <alignment horizontal="center" vertical="center"/>
    </xf>
    <xf numFmtId="164" fontId="9" fillId="0" borderId="21" xfId="0" applyNumberFormat="1" applyFont="1" applyBorder="1" applyAlignment="1">
      <alignment horizontal="center" vertical="center"/>
    </xf>
    <xf numFmtId="164" fontId="12" fillId="7" borderId="4" xfId="0" applyNumberFormat="1" applyFont="1" applyFill="1" applyBorder="1" applyAlignment="1">
      <alignment horizontal="center" vertical="center"/>
    </xf>
    <xf numFmtId="165" fontId="9" fillId="0" borderId="4" xfId="0" applyNumberFormat="1" applyFont="1" applyBorder="1" applyAlignment="1">
      <alignment horizontal="center" vertical="center"/>
    </xf>
    <xf numFmtId="4" fontId="9" fillId="0" borderId="19" xfId="0" applyNumberFormat="1" applyFont="1" applyBorder="1" applyAlignment="1">
      <alignment vertical="center"/>
    </xf>
    <xf numFmtId="0" fontId="9" fillId="0" borderId="4" xfId="0" applyFont="1" applyBorder="1" applyAlignment="1">
      <alignment horizontal="center" vertical="center"/>
    </xf>
    <xf numFmtId="165" fontId="9" fillId="0" borderId="4" xfId="2" applyFont="1" applyBorder="1" applyAlignment="1" applyProtection="1">
      <alignment horizontal="center" vertical="center"/>
    </xf>
    <xf numFmtId="165" fontId="9" fillId="0" borderId="19" xfId="2" applyFont="1" applyBorder="1" applyAlignment="1" applyProtection="1">
      <alignment horizontal="center" vertical="center"/>
    </xf>
    <xf numFmtId="0" fontId="9" fillId="0" borderId="21" xfId="0" applyFont="1" applyBorder="1" applyAlignment="1">
      <alignment horizontal="center" vertical="center"/>
    </xf>
    <xf numFmtId="165" fontId="13" fillId="0" borderId="4" xfId="2" applyFont="1" applyBorder="1" applyProtection="1"/>
    <xf numFmtId="1" fontId="9" fillId="0" borderId="22" xfId="0" applyNumberFormat="1" applyFont="1" applyBorder="1" applyAlignment="1">
      <alignment horizontal="center" vertical="center"/>
    </xf>
    <xf numFmtId="1" fontId="9" fillId="0" borderId="23" xfId="0" applyNumberFormat="1" applyFont="1" applyBorder="1" applyAlignment="1">
      <alignment horizontal="center" vertical="center"/>
    </xf>
    <xf numFmtId="0" fontId="11" fillId="6" borderId="23" xfId="0" applyFont="1" applyFill="1" applyBorder="1" applyAlignment="1" applyProtection="1">
      <alignment horizontal="center" vertical="center"/>
      <protection locked="0"/>
    </xf>
    <xf numFmtId="0" fontId="11" fillId="6" borderId="24" xfId="0" applyFont="1" applyFill="1" applyBorder="1" applyAlignment="1" applyProtection="1">
      <alignment horizontal="center" vertical="center"/>
      <protection locked="0"/>
    </xf>
    <xf numFmtId="2" fontId="11" fillId="6" borderId="22" xfId="0" applyNumberFormat="1" applyFont="1" applyFill="1" applyBorder="1" applyAlignment="1" applyProtection="1">
      <alignment horizontal="center" vertical="center"/>
      <protection locked="0"/>
    </xf>
    <xf numFmtId="2" fontId="9" fillId="0" borderId="25" xfId="0" applyNumberFormat="1" applyFont="1" applyBorder="1" applyAlignment="1">
      <alignment horizontal="center" vertical="center"/>
    </xf>
    <xf numFmtId="0" fontId="11" fillId="6" borderId="26" xfId="0" applyFont="1" applyFill="1" applyBorder="1" applyAlignment="1" applyProtection="1">
      <alignment horizontal="center" vertical="center"/>
      <protection locked="0"/>
    </xf>
    <xf numFmtId="0" fontId="7" fillId="5" borderId="27" xfId="0" applyFont="1" applyFill="1" applyBorder="1" applyAlignment="1">
      <alignment horizontal="center" vertical="center" wrapText="1"/>
    </xf>
    <xf numFmtId="4" fontId="7" fillId="5" borderId="29" xfId="0" applyNumberFormat="1"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7" fillId="5" borderId="23" xfId="0" applyFont="1" applyFill="1" applyBorder="1" applyAlignment="1">
      <alignment horizontal="center" vertical="center" wrapText="1"/>
    </xf>
    <xf numFmtId="165" fontId="14" fillId="0" borderId="23" xfId="2" applyFont="1" applyBorder="1" applyProtection="1"/>
    <xf numFmtId="165" fontId="14" fillId="0" borderId="25" xfId="2" applyFont="1" applyBorder="1" applyProtection="1"/>
    <xf numFmtId="0" fontId="7" fillId="5" borderId="22" xfId="0" applyFont="1" applyFill="1" applyBorder="1" applyAlignment="1">
      <alignment vertical="center" wrapText="1"/>
    </xf>
    <xf numFmtId="0" fontId="9" fillId="0" borderId="0" xfId="0" applyFont="1" applyAlignment="1">
      <alignment vertical="center"/>
    </xf>
    <xf numFmtId="0" fontId="15" fillId="0" borderId="0" xfId="0" applyFont="1" applyAlignment="1">
      <alignment horizontal="left" vertical="center"/>
    </xf>
    <xf numFmtId="0" fontId="1" fillId="0" borderId="0" xfId="0" applyFont="1" applyAlignment="1">
      <alignment horizontal="left" vertical="center" wrapText="1"/>
    </xf>
    <xf numFmtId="0" fontId="9" fillId="0" borderId="0" xfId="0" applyFont="1" applyAlignment="1">
      <alignment horizontal="left" vertical="center"/>
    </xf>
    <xf numFmtId="0" fontId="16" fillId="0" borderId="0" xfId="0" applyFont="1" applyAlignment="1">
      <alignment horizontal="left" vertical="center" wrapText="1"/>
    </xf>
    <xf numFmtId="0" fontId="7" fillId="5" borderId="4" xfId="0" applyFont="1" applyFill="1" applyBorder="1" applyAlignment="1">
      <alignment horizontal="center" vertical="center" wrapText="1"/>
    </xf>
    <xf numFmtId="0" fontId="9" fillId="0" borderId="0" xfId="0" applyFont="1" applyAlignment="1">
      <alignment horizontal="center" vertical="center"/>
    </xf>
    <xf numFmtId="0" fontId="9" fillId="0" borderId="4" xfId="0" applyFont="1" applyBorder="1" applyAlignment="1" applyProtection="1">
      <alignment horizontal="center" vertical="center"/>
      <protection locked="0"/>
    </xf>
    <xf numFmtId="2" fontId="9" fillId="0" borderId="4" xfId="0" applyNumberFormat="1" applyFont="1" applyBorder="1" applyAlignment="1" applyProtection="1">
      <alignment horizontal="center" vertical="center"/>
      <protection locked="0"/>
    </xf>
    <xf numFmtId="165" fontId="1" fillId="0" borderId="0" xfId="2" applyFont="1" applyBorder="1" applyAlignment="1" applyProtection="1">
      <alignment horizontal="left" vertical="center"/>
    </xf>
    <xf numFmtId="0" fontId="7" fillId="0" borderId="0" xfId="0" applyFont="1" applyAlignment="1">
      <alignment horizontal="center" vertical="center" wrapText="1"/>
    </xf>
    <xf numFmtId="0" fontId="9" fillId="0" borderId="0" xfId="0" applyFont="1"/>
    <xf numFmtId="0" fontId="7" fillId="5" borderId="32"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9" fillId="8" borderId="17" xfId="0" applyFont="1" applyFill="1" applyBorder="1" applyAlignment="1">
      <alignment horizontal="center" vertical="center" wrapText="1"/>
    </xf>
    <xf numFmtId="0" fontId="13" fillId="0" borderId="4" xfId="0" applyFont="1" applyBorder="1" applyAlignment="1">
      <alignment wrapText="1"/>
    </xf>
    <xf numFmtId="0" fontId="9" fillId="0" borderId="4" xfId="0" applyFont="1" applyBorder="1" applyAlignment="1">
      <alignment horizontal="center" vertical="center" wrapText="1"/>
    </xf>
    <xf numFmtId="0" fontId="11" fillId="6" borderId="12" xfId="0" applyFont="1" applyFill="1" applyBorder="1" applyAlignment="1" applyProtection="1">
      <alignment horizontal="center" vertical="center"/>
      <protection locked="0"/>
    </xf>
    <xf numFmtId="0" fontId="9" fillId="0" borderId="14" xfId="0" applyFont="1" applyBorder="1" applyAlignment="1">
      <alignment vertical="center"/>
    </xf>
    <xf numFmtId="0" fontId="10" fillId="0" borderId="11" xfId="0" applyFont="1" applyBorder="1" applyAlignment="1">
      <alignment horizontal="center" vertical="center" wrapText="1"/>
    </xf>
    <xf numFmtId="166" fontId="9" fillId="0" borderId="12" xfId="0" applyNumberFormat="1"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xf>
    <xf numFmtId="1" fontId="2" fillId="0" borderId="17" xfId="0" applyNumberFormat="1" applyFont="1" applyBorder="1" applyAlignment="1">
      <alignment horizontal="center" vertical="center" wrapText="1"/>
    </xf>
    <xf numFmtId="1" fontId="2" fillId="8" borderId="17" xfId="0" applyNumberFormat="1" applyFont="1" applyFill="1" applyBorder="1" applyAlignment="1">
      <alignment horizontal="center" vertical="center" wrapText="1"/>
    </xf>
    <xf numFmtId="165" fontId="7" fillId="5" borderId="14" xfId="2" applyFont="1" applyFill="1" applyBorder="1" applyAlignment="1" applyProtection="1">
      <alignment horizontal="center" vertical="center" wrapText="1"/>
    </xf>
    <xf numFmtId="10" fontId="7" fillId="5" borderId="21" xfId="0" applyNumberFormat="1" applyFont="1" applyFill="1" applyBorder="1" applyAlignment="1">
      <alignment horizontal="center" vertical="center" wrapText="1"/>
    </xf>
    <xf numFmtId="165" fontId="7" fillId="5" borderId="19" xfId="2" applyFont="1" applyFill="1" applyBorder="1" applyAlignment="1" applyProtection="1">
      <alignment horizontal="center" vertical="center" wrapText="1"/>
    </xf>
    <xf numFmtId="165" fontId="7" fillId="5" borderId="25" xfId="2" applyFont="1" applyFill="1" applyBorder="1" applyAlignment="1" applyProtection="1">
      <alignment horizontal="center" vertical="center" wrapText="1"/>
    </xf>
    <xf numFmtId="1" fontId="9" fillId="0" borderId="17" xfId="0" applyNumberFormat="1" applyFont="1" applyBorder="1" applyAlignment="1">
      <alignment horizontal="center" vertical="center" wrapText="1"/>
    </xf>
    <xf numFmtId="1" fontId="9" fillId="0" borderId="4" xfId="0" applyNumberFormat="1" applyFont="1" applyBorder="1" applyAlignment="1">
      <alignment horizontal="center" vertical="center" wrapText="1"/>
    </xf>
    <xf numFmtId="165" fontId="7" fillId="5" borderId="34" xfId="2" applyFont="1" applyFill="1" applyBorder="1" applyAlignment="1" applyProtection="1">
      <alignment horizontal="center" vertical="center" wrapText="1"/>
    </xf>
    <xf numFmtId="0" fontId="1" fillId="0" borderId="4" xfId="0" applyFont="1" applyBorder="1"/>
    <xf numFmtId="3" fontId="1" fillId="0" borderId="18" xfId="0" applyNumberFormat="1" applyFont="1" applyBorder="1" applyAlignment="1">
      <alignment horizontal="center" vertical="center"/>
    </xf>
    <xf numFmtId="0" fontId="1" fillId="0" borderId="18" xfId="0" applyFont="1" applyBorder="1" applyAlignment="1">
      <alignment horizontal="center" vertical="center"/>
    </xf>
    <xf numFmtId="0" fontId="1" fillId="0" borderId="4" xfId="0" applyFont="1" applyBorder="1" applyAlignment="1">
      <alignment horizontal="left"/>
    </xf>
    <xf numFmtId="0" fontId="9" fillId="0" borderId="0" xfId="0" applyFont="1" applyAlignment="1">
      <alignment horizontal="left"/>
    </xf>
    <xf numFmtId="0" fontId="18" fillId="0" borderId="1" xfId="0" applyFont="1" applyBorder="1"/>
    <xf numFmtId="0" fontId="2" fillId="0" borderId="2" xfId="0" applyFont="1" applyBorder="1" applyAlignment="1">
      <alignment vertical="center"/>
    </xf>
    <xf numFmtId="0" fontId="18" fillId="0" borderId="3" xfId="0" applyFont="1" applyBorder="1"/>
    <xf numFmtId="0" fontId="2" fillId="0" borderId="0" xfId="0" applyFont="1" applyAlignment="1">
      <alignment vertical="center"/>
    </xf>
    <xf numFmtId="0" fontId="19" fillId="0" borderId="0" xfId="0" applyFont="1" applyAlignment="1">
      <alignment horizontal="center" vertical="center"/>
    </xf>
    <xf numFmtId="0" fontId="7" fillId="0" borderId="0" xfId="0" applyFont="1" applyAlignment="1">
      <alignment horizontal="center" vertical="center"/>
    </xf>
    <xf numFmtId="0" fontId="17" fillId="0" borderId="0" xfId="0" applyFont="1" applyAlignment="1">
      <alignment horizontal="left"/>
    </xf>
    <xf numFmtId="0" fontId="9" fillId="2" borderId="9" xfId="0" applyFont="1" applyFill="1" applyBorder="1" applyAlignment="1">
      <alignment horizontal="left"/>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xf>
    <xf numFmtId="0" fontId="9" fillId="2" borderId="0" xfId="0" applyFont="1" applyFill="1"/>
    <xf numFmtId="0" fontId="7" fillId="0" borderId="0" xfId="0" applyFont="1"/>
    <xf numFmtId="0" fontId="9" fillId="9" borderId="0" xfId="0" applyFont="1" applyFill="1" applyAlignment="1">
      <alignment vertical="center"/>
    </xf>
    <xf numFmtId="0" fontId="9" fillId="10" borderId="0" xfId="0" applyFont="1" applyFill="1"/>
    <xf numFmtId="0" fontId="20" fillId="11" borderId="0" xfId="0" applyFont="1" applyFill="1"/>
    <xf numFmtId="0" fontId="9" fillId="10" borderId="0" xfId="0" applyFont="1" applyFill="1" applyAlignment="1">
      <alignment vertical="center"/>
    </xf>
    <xf numFmtId="0" fontId="9" fillId="8" borderId="0" xfId="0" applyFont="1" applyFill="1" applyAlignment="1">
      <alignment vertical="center"/>
    </xf>
    <xf numFmtId="0" fontId="2" fillId="0" borderId="0" xfId="0" applyFont="1"/>
    <xf numFmtId="0" fontId="9" fillId="0" borderId="0" xfId="0" applyFont="1" applyAlignment="1">
      <alignment horizontal="center"/>
    </xf>
    <xf numFmtId="0" fontId="21" fillId="0" borderId="0" xfId="0" applyFont="1" applyAlignment="1">
      <alignment horizontal="left" vertical="center"/>
    </xf>
    <xf numFmtId="0" fontId="1" fillId="0" borderId="0" xfId="0" applyFont="1" applyAlignment="1">
      <alignment vertical="center"/>
    </xf>
    <xf numFmtId="167" fontId="5" fillId="0" borderId="0" xfId="0" applyNumberFormat="1" applyFont="1" applyAlignment="1">
      <alignment horizontal="left" vertical="center"/>
    </xf>
    <xf numFmtId="0" fontId="5" fillId="0" borderId="0" xfId="0" applyFont="1" applyAlignment="1">
      <alignment vertical="center" wrapText="1"/>
    </xf>
    <xf numFmtId="0" fontId="9" fillId="12" borderId="4" xfId="0" applyFont="1" applyFill="1" applyBorder="1" applyAlignment="1">
      <alignment horizontal="center" vertical="center" wrapText="1"/>
    </xf>
    <xf numFmtId="0" fontId="5" fillId="12" borderId="4" xfId="0" applyFont="1" applyFill="1" applyBorder="1" applyAlignment="1">
      <alignment horizontal="center" vertical="center" wrapText="1"/>
    </xf>
    <xf numFmtId="168" fontId="6" fillId="0" borderId="0" xfId="0" applyNumberFormat="1" applyFont="1" applyAlignment="1">
      <alignment vertical="center"/>
    </xf>
    <xf numFmtId="0" fontId="5" fillId="0" borderId="4" xfId="0" applyFont="1" applyBorder="1" applyAlignment="1">
      <alignment horizontal="center" vertical="center" wrapText="1"/>
    </xf>
    <xf numFmtId="1" fontId="1" fillId="0" borderId="4" xfId="0" applyNumberFormat="1" applyFont="1" applyBorder="1" applyAlignment="1">
      <alignment horizontal="center" vertical="center"/>
    </xf>
    <xf numFmtId="0" fontId="1" fillId="0" borderId="4" xfId="0" applyFont="1" applyBorder="1" applyAlignment="1">
      <alignment vertical="center" wrapText="1"/>
    </xf>
    <xf numFmtId="4" fontId="1" fillId="2" borderId="4" xfId="1" applyNumberFormat="1" applyFont="1" applyFill="1" applyBorder="1" applyAlignment="1" applyProtection="1">
      <alignment horizontal="center" vertical="center"/>
      <protection locked="0"/>
    </xf>
    <xf numFmtId="4" fontId="1" fillId="0" borderId="4" xfId="1" applyNumberFormat="1" applyFont="1" applyBorder="1" applyAlignment="1" applyProtection="1">
      <alignment horizontal="center" vertical="center"/>
    </xf>
    <xf numFmtId="10" fontId="1" fillId="0" borderId="4" xfId="3" applyNumberFormat="1" applyFont="1" applyBorder="1" applyAlignment="1" applyProtection="1">
      <alignment horizontal="center" vertical="center"/>
    </xf>
    <xf numFmtId="4" fontId="5" fillId="0" borderId="4" xfId="1" applyNumberFormat="1" applyFont="1" applyBorder="1" applyAlignment="1" applyProtection="1">
      <alignment horizontal="center" vertical="center"/>
    </xf>
    <xf numFmtId="3" fontId="1" fillId="0" borderId="4" xfId="0" applyNumberFormat="1" applyFont="1" applyBorder="1" applyAlignment="1">
      <alignment horizontal="center" vertical="center"/>
    </xf>
    <xf numFmtId="164" fontId="12" fillId="7" borderId="4" xfId="1" applyFont="1" applyFill="1" applyBorder="1" applyAlignment="1" applyProtection="1">
      <alignment horizontal="center" vertical="center"/>
    </xf>
    <xf numFmtId="10" fontId="1" fillId="2" borderId="4" xfId="3" applyNumberFormat="1" applyFont="1" applyFill="1" applyBorder="1" applyAlignment="1" applyProtection="1">
      <alignment horizontal="center" vertical="center"/>
      <protection locked="0"/>
    </xf>
    <xf numFmtId="2" fontId="1" fillId="0" borderId="4" xfId="3" applyNumberFormat="1" applyFont="1" applyBorder="1" applyAlignment="1" applyProtection="1">
      <alignment horizontal="center" vertical="center"/>
    </xf>
    <xf numFmtId="10" fontId="1" fillId="13" borderId="4" xfId="3" applyNumberFormat="1" applyFont="1" applyFill="1" applyBorder="1" applyAlignment="1" applyProtection="1">
      <alignment horizontal="center" vertical="center"/>
      <protection locked="0"/>
    </xf>
    <xf numFmtId="4" fontId="1" fillId="13" borderId="4" xfId="1" applyNumberFormat="1" applyFont="1" applyFill="1" applyBorder="1" applyAlignment="1" applyProtection="1">
      <alignment horizontal="center" vertical="center"/>
      <protection locked="0"/>
    </xf>
    <xf numFmtId="2" fontId="1" fillId="13" borderId="4" xfId="3" applyNumberFormat="1" applyFont="1" applyFill="1" applyBorder="1" applyAlignment="1" applyProtection="1">
      <alignment horizontal="center" vertical="center"/>
    </xf>
    <xf numFmtId="4" fontId="1" fillId="0" borderId="4" xfId="0" applyNumberFormat="1" applyFont="1" applyBorder="1" applyAlignment="1">
      <alignment horizontal="center" vertical="center"/>
    </xf>
    <xf numFmtId="0" fontId="5" fillId="0" borderId="4" xfId="0" applyFont="1" applyBorder="1" applyAlignment="1">
      <alignment vertical="center"/>
    </xf>
    <xf numFmtId="164" fontId="1" fillId="13" borderId="4" xfId="0" applyNumberFormat="1" applyFont="1" applyFill="1" applyBorder="1" applyAlignment="1">
      <alignment vertical="center"/>
    </xf>
    <xf numFmtId="0" fontId="5" fillId="0" borderId="0" xfId="0" applyFont="1" applyAlignment="1">
      <alignment vertical="center"/>
    </xf>
    <xf numFmtId="0" fontId="5" fillId="0" borderId="12" xfId="0" applyFont="1" applyBorder="1" applyAlignment="1">
      <alignment horizontal="center" vertical="center"/>
    </xf>
    <xf numFmtId="4" fontId="5" fillId="0" borderId="12" xfId="1" applyNumberFormat="1" applyFont="1" applyBorder="1" applyAlignment="1" applyProtection="1">
      <alignment horizontal="center" vertical="center"/>
    </xf>
    <xf numFmtId="0" fontId="5" fillId="12" borderId="4" xfId="0" applyFont="1" applyFill="1" applyBorder="1" applyAlignment="1">
      <alignment horizontal="center" vertical="center"/>
    </xf>
    <xf numFmtId="0" fontId="1" fillId="0" borderId="4" xfId="0" applyFont="1" applyBorder="1" applyAlignment="1">
      <alignment horizontal="center" vertical="center"/>
    </xf>
    <xf numFmtId="0" fontId="1" fillId="0" borderId="40" xfId="0" applyFont="1" applyBorder="1" applyAlignment="1">
      <alignment vertical="center"/>
    </xf>
    <xf numFmtId="10" fontId="5" fillId="0" borderId="4" xfId="3" applyNumberFormat="1" applyFont="1" applyBorder="1" applyAlignment="1" applyProtection="1">
      <alignment horizontal="center" vertical="center"/>
    </xf>
    <xf numFmtId="2" fontId="1" fillId="2" borderId="4" xfId="0" applyNumberFormat="1" applyFont="1" applyFill="1" applyBorder="1" applyAlignment="1" applyProtection="1">
      <alignment horizontal="center" vertical="center"/>
      <protection locked="0"/>
    </xf>
    <xf numFmtId="0" fontId="1" fillId="0" borderId="18" xfId="0" applyFont="1" applyBorder="1" applyAlignment="1">
      <alignment vertical="center"/>
    </xf>
    <xf numFmtId="0" fontId="1" fillId="0" borderId="41" xfId="0" applyFont="1" applyBorder="1" applyAlignment="1">
      <alignment vertical="center"/>
    </xf>
    <xf numFmtId="164" fontId="1" fillId="0" borderId="21" xfId="1" applyFont="1" applyBorder="1" applyAlignment="1" applyProtection="1">
      <alignment vertical="center"/>
    </xf>
    <xf numFmtId="0" fontId="1" fillId="0" borderId="40" xfId="0" applyFont="1" applyBorder="1" applyAlignment="1">
      <alignment horizontal="center" vertical="center"/>
    </xf>
    <xf numFmtId="2" fontId="1" fillId="14" borderId="4" xfId="0" applyNumberFormat="1" applyFont="1" applyFill="1" applyBorder="1" applyAlignment="1" applyProtection="1">
      <alignment horizontal="center" vertical="center" wrapText="1"/>
      <protection locked="0"/>
    </xf>
    <xf numFmtId="2" fontId="1" fillId="2" borderId="4" xfId="0" applyNumberFormat="1" applyFont="1" applyFill="1" applyBorder="1" applyAlignment="1" applyProtection="1">
      <alignment horizontal="center" vertical="center" wrapText="1"/>
      <protection locked="0"/>
    </xf>
    <xf numFmtId="4" fontId="22" fillId="0" borderId="4" xfId="0" applyNumberFormat="1" applyFont="1" applyBorder="1" applyAlignment="1">
      <alignment horizontal="center" vertical="center"/>
    </xf>
    <xf numFmtId="10" fontId="1" fillId="2" borderId="4" xfId="0" applyNumberFormat="1" applyFont="1" applyFill="1" applyBorder="1" applyAlignment="1" applyProtection="1">
      <alignment horizontal="center" vertical="center"/>
      <protection locked="0"/>
    </xf>
    <xf numFmtId="0" fontId="1" fillId="0" borderId="0" xfId="0" applyFont="1" applyAlignment="1">
      <alignment horizontal="center" vertical="center" wrapText="1"/>
    </xf>
    <xf numFmtId="164" fontId="1" fillId="0" borderId="0" xfId="1" applyFont="1" applyBorder="1" applyProtection="1"/>
    <xf numFmtId="10" fontId="16" fillId="0" borderId="4" xfId="0" applyNumberFormat="1" applyFont="1" applyBorder="1" applyAlignment="1">
      <alignment horizontal="center" vertical="center"/>
    </xf>
    <xf numFmtId="0" fontId="16" fillId="0" borderId="4" xfId="0" applyFont="1" applyBorder="1" applyAlignment="1">
      <alignment horizontal="center" vertical="center"/>
    </xf>
    <xf numFmtId="167" fontId="1" fillId="0" borderId="4" xfId="0" applyNumberFormat="1" applyFont="1" applyBorder="1" applyAlignment="1">
      <alignment horizontal="center" vertical="center"/>
    </xf>
    <xf numFmtId="2" fontId="1" fillId="0" borderId="4" xfId="0" applyNumberFormat="1" applyFont="1" applyBorder="1" applyAlignment="1">
      <alignment horizontal="center" vertical="center"/>
    </xf>
    <xf numFmtId="0" fontId="1" fillId="0" borderId="0" xfId="0" applyFont="1" applyAlignment="1">
      <alignment horizontal="left"/>
    </xf>
    <xf numFmtId="0" fontId="23" fillId="12" borderId="4" xfId="0" applyFont="1" applyFill="1" applyBorder="1" applyAlignment="1">
      <alignment horizontal="center" vertical="center" wrapText="1"/>
    </xf>
    <xf numFmtId="0" fontId="1" fillId="0" borderId="33" xfId="0" applyFont="1" applyBorder="1"/>
    <xf numFmtId="0" fontId="1" fillId="0" borderId="12" xfId="0" applyFont="1" applyBorder="1"/>
    <xf numFmtId="0" fontId="2" fillId="0" borderId="1" xfId="0" applyFont="1" applyBorder="1"/>
    <xf numFmtId="0" fontId="2" fillId="0" borderId="44" xfId="0" applyFont="1" applyBorder="1" applyAlignment="1">
      <alignment vertical="center"/>
    </xf>
    <xf numFmtId="0" fontId="2" fillId="0" borderId="3" xfId="0" applyFont="1" applyBorder="1"/>
    <xf numFmtId="0" fontId="2" fillId="0" borderId="45" xfId="0" applyFont="1" applyBorder="1" applyAlignment="1">
      <alignment vertical="center"/>
    </xf>
    <xf numFmtId="0" fontId="10" fillId="0" borderId="3" xfId="0" applyFont="1" applyBorder="1"/>
    <xf numFmtId="0" fontId="25" fillId="0" borderId="17" xfId="0" applyFont="1" applyBorder="1" applyAlignment="1">
      <alignment horizontal="center"/>
    </xf>
    <xf numFmtId="0" fontId="25" fillId="0" borderId="4" xfId="0" applyFont="1" applyBorder="1" applyAlignment="1">
      <alignment horizontal="center"/>
    </xf>
    <xf numFmtId="0" fontId="25" fillId="0" borderId="19" xfId="0" applyFont="1" applyBorder="1" applyAlignment="1">
      <alignment horizontal="center"/>
    </xf>
    <xf numFmtId="0" fontId="26" fillId="12" borderId="17" xfId="0" applyFont="1" applyFill="1" applyBorder="1" applyAlignment="1">
      <alignment horizontal="center" vertical="center"/>
    </xf>
    <xf numFmtId="0" fontId="10" fillId="0" borderId="17" xfId="0" applyFont="1" applyBorder="1" applyAlignment="1">
      <alignment horizontal="center" vertical="center"/>
    </xf>
    <xf numFmtId="0" fontId="10" fillId="0" borderId="4" xfId="0" applyFont="1" applyBorder="1" applyAlignment="1">
      <alignment vertical="center"/>
    </xf>
    <xf numFmtId="10" fontId="10" fillId="2" borderId="19" xfId="0" applyNumberFormat="1" applyFont="1" applyFill="1" applyBorder="1" applyAlignment="1" applyProtection="1">
      <alignment horizontal="center" vertical="center"/>
      <protection locked="0"/>
    </xf>
    <xf numFmtId="10" fontId="10" fillId="0" borderId="19" xfId="0" applyNumberFormat="1" applyFont="1" applyBorder="1" applyAlignment="1">
      <alignment horizontal="center" vertical="center"/>
    </xf>
    <xf numFmtId="2" fontId="0" fillId="0" borderId="0" xfId="0" applyNumberFormat="1"/>
    <xf numFmtId="10" fontId="26" fillId="12" borderId="19" xfId="0" applyNumberFormat="1" applyFont="1" applyFill="1" applyBorder="1" applyAlignment="1">
      <alignment horizontal="center" vertical="center"/>
    </xf>
    <xf numFmtId="0" fontId="10" fillId="0" borderId="18" xfId="0" applyFont="1" applyBorder="1" applyAlignment="1">
      <alignment vertical="center"/>
    </xf>
    <xf numFmtId="10" fontId="20" fillId="16" borderId="19" xfId="3" applyNumberFormat="1" applyFont="1" applyFill="1" applyBorder="1" applyAlignment="1" applyProtection="1">
      <alignment horizontal="center" vertical="center"/>
    </xf>
    <xf numFmtId="10" fontId="27" fillId="0" borderId="19" xfId="0" applyNumberFormat="1" applyFont="1" applyBorder="1" applyAlignment="1">
      <alignment horizontal="center" vertical="center"/>
    </xf>
    <xf numFmtId="10" fontId="13" fillId="0" borderId="14" xfId="0" applyNumberFormat="1" applyFont="1" applyBorder="1" applyAlignment="1">
      <alignment horizontal="center" vertical="center"/>
    </xf>
    <xf numFmtId="10" fontId="14" fillId="0" borderId="19" xfId="0" applyNumberFormat="1" applyFont="1" applyBorder="1" applyAlignment="1">
      <alignment horizontal="center" vertical="center"/>
    </xf>
    <xf numFmtId="0" fontId="27" fillId="0" borderId="17" xfId="0" applyFont="1" applyBorder="1" applyAlignment="1">
      <alignment horizontal="center" vertical="center"/>
    </xf>
    <xf numFmtId="0" fontId="27" fillId="0" borderId="4" xfId="0" applyFont="1" applyBorder="1" applyAlignment="1">
      <alignment horizontal="left" vertical="center"/>
    </xf>
    <xf numFmtId="0" fontId="9" fillId="17" borderId="17" xfId="0" applyFont="1" applyFill="1" applyBorder="1" applyAlignment="1">
      <alignment horizontal="center" vertical="center" wrapText="1"/>
    </xf>
    <xf numFmtId="0" fontId="9" fillId="17" borderId="4" xfId="0" applyFont="1" applyFill="1" applyBorder="1" applyAlignment="1">
      <alignment horizontal="center" vertical="center" wrapText="1"/>
    </xf>
    <xf numFmtId="0" fontId="8" fillId="17" borderId="19" xfId="0" applyFont="1" applyFill="1" applyBorder="1" applyAlignment="1">
      <alignment horizontal="center" vertical="center" wrapText="1"/>
    </xf>
    <xf numFmtId="10" fontId="9" fillId="17" borderId="4" xfId="0" applyNumberFormat="1" applyFont="1" applyFill="1" applyBorder="1" applyAlignment="1">
      <alignment horizontal="center" vertical="center" wrapText="1"/>
    </xf>
    <xf numFmtId="10" fontId="11" fillId="17" borderId="19" xfId="0" applyNumberFormat="1" applyFont="1" applyFill="1" applyBorder="1" applyAlignment="1">
      <alignment horizontal="center" vertical="center" wrapText="1"/>
    </xf>
    <xf numFmtId="0" fontId="10" fillId="0" borderId="17" xfId="0" applyFont="1" applyBorder="1" applyAlignment="1">
      <alignment horizontal="center" vertical="center" wrapText="1"/>
    </xf>
    <xf numFmtId="10" fontId="10" fillId="0" borderId="4" xfId="0" applyNumberFormat="1" applyFont="1" applyBorder="1" applyAlignment="1">
      <alignment horizontal="center" vertical="center" wrapText="1"/>
    </xf>
    <xf numFmtId="10" fontId="10" fillId="0" borderId="19" xfId="0" applyNumberFormat="1" applyFont="1" applyBorder="1" applyAlignment="1">
      <alignment horizontal="center" vertical="center" wrapText="1"/>
    </xf>
    <xf numFmtId="0" fontId="27" fillId="17" borderId="17" xfId="0" applyFont="1" applyFill="1" applyBorder="1" applyAlignment="1">
      <alignment horizontal="center" vertical="center" wrapText="1"/>
    </xf>
    <xf numFmtId="10" fontId="27" fillId="17" borderId="4" xfId="0" applyNumberFormat="1" applyFont="1" applyFill="1" applyBorder="1" applyAlignment="1">
      <alignment horizontal="center" vertical="center" wrapText="1"/>
    </xf>
    <xf numFmtId="10" fontId="27" fillId="17" borderId="19" xfId="0" applyNumberFormat="1" applyFont="1" applyFill="1" applyBorder="1" applyAlignment="1">
      <alignment horizontal="center" vertical="center" wrapText="1"/>
    </xf>
    <xf numFmtId="10" fontId="10" fillId="0" borderId="47" xfId="0" applyNumberFormat="1" applyFont="1" applyBorder="1" applyAlignment="1">
      <alignment horizontal="center" vertical="center" wrapText="1"/>
    </xf>
    <xf numFmtId="0" fontId="27" fillId="0" borderId="17" xfId="0" applyFont="1" applyBorder="1" applyAlignment="1">
      <alignment horizontal="center" vertical="center" wrapText="1"/>
    </xf>
    <xf numFmtId="10" fontId="27" fillId="0" borderId="4" xfId="0" applyNumberFormat="1" applyFont="1" applyBorder="1" applyAlignment="1">
      <alignment horizontal="center" vertical="center" wrapText="1"/>
    </xf>
    <xf numFmtId="10" fontId="29" fillId="0" borderId="47" xfId="0" applyNumberFormat="1" applyFont="1" applyBorder="1" applyAlignment="1">
      <alignment horizontal="center" vertical="center" wrapText="1"/>
    </xf>
    <xf numFmtId="0" fontId="20" fillId="16" borderId="3" xfId="0" applyFont="1" applyFill="1" applyBorder="1" applyAlignment="1">
      <alignment horizontal="left" vertical="center"/>
    </xf>
    <xf numFmtId="0" fontId="20" fillId="16" borderId="0" xfId="0" applyFont="1" applyFill="1"/>
    <xf numFmtId="0" fontId="20" fillId="16" borderId="45" xfId="0" applyFont="1" applyFill="1" applyBorder="1"/>
    <xf numFmtId="0" fontId="27" fillId="17" borderId="22" xfId="0" applyFont="1" applyFill="1" applyBorder="1" applyAlignment="1">
      <alignment horizontal="center" vertical="center" wrapText="1"/>
    </xf>
    <xf numFmtId="10" fontId="27" fillId="17" borderId="23" xfId="0" applyNumberFormat="1" applyFont="1" applyFill="1" applyBorder="1" applyAlignment="1">
      <alignment horizontal="center" vertical="center" wrapText="1"/>
    </xf>
    <xf numFmtId="10" fontId="29" fillId="17" borderId="25" xfId="0" applyNumberFormat="1" applyFont="1" applyFill="1" applyBorder="1" applyAlignment="1">
      <alignment horizontal="center" vertical="center" wrapText="1"/>
    </xf>
    <xf numFmtId="0" fontId="9" fillId="0" borderId="1" xfId="0" applyFont="1" applyBorder="1"/>
    <xf numFmtId="0" fontId="9" fillId="0" borderId="2" xfId="0" applyFont="1" applyBorder="1"/>
    <xf numFmtId="0" fontId="9" fillId="0" borderId="44" xfId="0" applyFont="1" applyBorder="1"/>
    <xf numFmtId="0" fontId="9" fillId="0" borderId="3" xfId="0" applyFont="1" applyBorder="1"/>
    <xf numFmtId="0" fontId="9" fillId="0" borderId="45" xfId="0" applyFont="1" applyBorder="1"/>
    <xf numFmtId="0" fontId="21" fillId="0" borderId="0" xfId="0" applyFont="1" applyAlignment="1">
      <alignment horizontal="center" vertical="center"/>
    </xf>
    <xf numFmtId="0" fontId="5" fillId="0" borderId="0" xfId="0" applyFont="1" applyAlignment="1">
      <alignment horizontal="center" vertical="center"/>
    </xf>
    <xf numFmtId="0" fontId="7" fillId="12" borderId="4" xfId="0" applyFont="1" applyFill="1" applyBorder="1" applyAlignment="1">
      <alignment horizontal="center" vertical="center" wrapText="1"/>
    </xf>
    <xf numFmtId="0" fontId="7" fillId="18" borderId="4" xfId="0" applyFont="1" applyFill="1" applyBorder="1" applyAlignment="1">
      <alignment horizontal="center" vertical="center" wrapText="1"/>
    </xf>
    <xf numFmtId="0" fontId="27" fillId="12" borderId="4" xfId="0" applyFont="1" applyFill="1" applyBorder="1" applyAlignment="1">
      <alignment horizontal="center" vertical="center" wrapText="1"/>
    </xf>
    <xf numFmtId="0" fontId="7" fillId="18" borderId="12" xfId="0" applyFont="1" applyFill="1" applyBorder="1" applyAlignment="1">
      <alignment horizontal="center" vertical="center" wrapText="1"/>
    </xf>
    <xf numFmtId="0" fontId="7" fillId="18" borderId="13"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9" fillId="0" borderId="17" xfId="0" applyFont="1" applyBorder="1" applyAlignment="1">
      <alignment horizontal="center" vertical="center" wrapText="1"/>
    </xf>
    <xf numFmtId="0" fontId="9" fillId="0" borderId="4" xfId="0" applyFont="1" applyBorder="1" applyAlignment="1">
      <alignment horizontal="left" vertical="center" wrapText="1"/>
    </xf>
    <xf numFmtId="0" fontId="10" fillId="0" borderId="4"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2" fontId="9" fillId="2" borderId="4" xfId="0" applyNumberFormat="1" applyFont="1" applyFill="1" applyBorder="1" applyAlignment="1" applyProtection="1">
      <alignment horizontal="center" vertical="center"/>
      <protection locked="0"/>
    </xf>
    <xf numFmtId="0" fontId="9" fillId="2" borderId="19" xfId="0" applyFont="1" applyFill="1" applyBorder="1" applyAlignment="1" applyProtection="1">
      <alignment vertical="center" wrapText="1"/>
      <protection locked="0"/>
    </xf>
    <xf numFmtId="2" fontId="9" fillId="0" borderId="4" xfId="0" applyNumberFormat="1" applyFont="1" applyBorder="1" applyAlignment="1">
      <alignment horizontal="center" vertical="center" wrapText="1"/>
    </xf>
    <xf numFmtId="0" fontId="11" fillId="0" borderId="17" xfId="0" applyFont="1" applyBorder="1" applyAlignment="1">
      <alignment horizontal="center" vertical="center"/>
    </xf>
    <xf numFmtId="0" fontId="13" fillId="0" borderId="4" xfId="0" applyFont="1" applyBorder="1" applyAlignment="1">
      <alignment vertical="center" wrapText="1"/>
    </xf>
    <xf numFmtId="0" fontId="13" fillId="0" borderId="0" xfId="0" applyFont="1" applyAlignment="1">
      <alignment wrapText="1"/>
    </xf>
    <xf numFmtId="0" fontId="9" fillId="2" borderId="19" xfId="0" applyFont="1" applyFill="1" applyBorder="1" applyAlignment="1" applyProtection="1">
      <alignment vertical="center"/>
      <protection locked="0"/>
    </xf>
    <xf numFmtId="0" fontId="11" fillId="0" borderId="4" xfId="0" applyFont="1" applyBorder="1" applyAlignment="1">
      <alignment horizontal="center" vertical="center"/>
    </xf>
    <xf numFmtId="0" fontId="11" fillId="0" borderId="0" xfId="0" applyFont="1"/>
    <xf numFmtId="0" fontId="11" fillId="0" borderId="19" xfId="0" applyFont="1" applyBorder="1" applyAlignment="1">
      <alignment horizontal="center" vertical="center"/>
    </xf>
    <xf numFmtId="0" fontId="31" fillId="0" borderId="4" xfId="0" applyFont="1" applyBorder="1" applyAlignment="1">
      <alignment horizontal="center" vertical="center"/>
    </xf>
    <xf numFmtId="0" fontId="31" fillId="0" borderId="0" xfId="0" applyFont="1" applyAlignment="1">
      <alignment horizontal="center" vertical="center"/>
    </xf>
    <xf numFmtId="169" fontId="7" fillId="12" borderId="25" xfId="0" applyNumberFormat="1" applyFont="1" applyFill="1" applyBorder="1" applyAlignment="1">
      <alignment vertical="center"/>
    </xf>
    <xf numFmtId="0" fontId="19" fillId="12" borderId="4" xfId="0" applyFont="1" applyFill="1" applyBorder="1" applyAlignment="1">
      <alignment horizontal="center" vertical="center"/>
    </xf>
    <xf numFmtId="2" fontId="19" fillId="12" borderId="4" xfId="0" applyNumberFormat="1" applyFont="1" applyFill="1" applyBorder="1" applyAlignment="1">
      <alignment horizontal="center" vertical="center"/>
    </xf>
    <xf numFmtId="0" fontId="11" fillId="0" borderId="0" xfId="0" applyFont="1" applyAlignment="1">
      <alignment horizontal="center" vertical="center"/>
    </xf>
    <xf numFmtId="0" fontId="9" fillId="0" borderId="3" xfId="0" applyFont="1" applyBorder="1" applyAlignment="1">
      <alignment horizontal="center" vertical="center"/>
    </xf>
    <xf numFmtId="0" fontId="0" fillId="0" borderId="45" xfId="0" applyBorder="1"/>
    <xf numFmtId="0" fontId="7" fillId="0" borderId="3" xfId="0" applyFont="1" applyBorder="1" applyAlignment="1">
      <alignment horizontal="center" vertical="center"/>
    </xf>
    <xf numFmtId="0" fontId="7" fillId="0" borderId="45" xfId="0" applyFont="1" applyBorder="1" applyAlignment="1">
      <alignment horizontal="center" vertical="center"/>
    </xf>
    <xf numFmtId="0" fontId="27" fillId="18" borderId="12" xfId="0" applyFont="1" applyFill="1" applyBorder="1" applyAlignment="1">
      <alignment horizontal="center" vertical="center" wrapText="1"/>
    </xf>
    <xf numFmtId="0" fontId="7" fillId="2" borderId="19" xfId="0" applyFont="1" applyFill="1" applyBorder="1" applyAlignment="1" applyProtection="1">
      <alignment horizontal="center" vertical="center" wrapText="1"/>
      <protection locked="0"/>
    </xf>
    <xf numFmtId="0" fontId="16" fillId="0" borderId="17" xfId="0" applyFont="1" applyBorder="1" applyAlignment="1">
      <alignment horizontal="center" vertical="center"/>
    </xf>
    <xf numFmtId="169" fontId="7" fillId="0" borderId="25" xfId="0" applyNumberFormat="1" applyFont="1" applyBorder="1" applyAlignment="1">
      <alignment vertical="center"/>
    </xf>
    <xf numFmtId="0" fontId="19" fillId="12" borderId="4" xfId="0" applyFont="1" applyFill="1" applyBorder="1" applyAlignment="1">
      <alignment horizontal="center"/>
    </xf>
    <xf numFmtId="2" fontId="19" fillId="12" borderId="4" xfId="0" applyNumberFormat="1" applyFont="1" applyFill="1" applyBorder="1" applyAlignment="1">
      <alignment horizontal="center"/>
    </xf>
    <xf numFmtId="0" fontId="6" fillId="0" borderId="2" xfId="0" applyFont="1" applyBorder="1" applyAlignment="1">
      <alignment horizontal="center"/>
    </xf>
    <xf numFmtId="0" fontId="6" fillId="0" borderId="2" xfId="0" applyFont="1" applyBorder="1"/>
    <xf numFmtId="0" fontId="6" fillId="0" borderId="44" xfId="0" applyFont="1" applyBorder="1"/>
    <xf numFmtId="0" fontId="6" fillId="0" borderId="0" xfId="0" applyFont="1" applyAlignment="1">
      <alignment horizontal="center"/>
    </xf>
    <xf numFmtId="0" fontId="6" fillId="0" borderId="0" xfId="0" applyFont="1"/>
    <xf numFmtId="0" fontId="6" fillId="0" borderId="45" xfId="0" applyFont="1" applyBorder="1"/>
    <xf numFmtId="0" fontId="19" fillId="0" borderId="3" xfId="0" applyFont="1" applyBorder="1" applyAlignment="1">
      <alignment horizontal="center" vertical="center"/>
    </xf>
    <xf numFmtId="9" fontId="32" fillId="0" borderId="45" xfId="0" applyNumberFormat="1" applyFont="1" applyBorder="1" applyAlignment="1">
      <alignment horizontal="center" vertical="center"/>
    </xf>
    <xf numFmtId="0" fontId="7" fillId="12" borderId="17" xfId="0" applyFont="1" applyFill="1" applyBorder="1" applyAlignment="1">
      <alignment horizontal="center" vertical="center" wrapText="1"/>
    </xf>
    <xf numFmtId="4" fontId="7" fillId="12" borderId="4" xfId="0" applyNumberFormat="1" applyFont="1" applyFill="1" applyBorder="1" applyAlignment="1">
      <alignment horizontal="center" vertical="center" wrapText="1"/>
    </xf>
    <xf numFmtId="4" fontId="7" fillId="12" borderId="19" xfId="0" applyNumberFormat="1" applyFont="1" applyFill="1" applyBorder="1" applyAlignment="1">
      <alignment horizontal="center" vertical="center" wrapText="1"/>
    </xf>
    <xf numFmtId="0" fontId="7" fillId="0" borderId="17" xfId="1" applyNumberFormat="1" applyFont="1" applyBorder="1" applyAlignment="1" applyProtection="1">
      <alignment horizontal="center" vertical="center"/>
    </xf>
    <xf numFmtId="164" fontId="13" fillId="0" borderId="4" xfId="1" applyFont="1" applyBorder="1" applyAlignment="1" applyProtection="1">
      <alignment wrapText="1"/>
    </xf>
    <xf numFmtId="0" fontId="9" fillId="0" borderId="4" xfId="1" applyNumberFormat="1" applyFont="1" applyBorder="1" applyAlignment="1" applyProtection="1">
      <alignment horizontal="center" vertical="center"/>
    </xf>
    <xf numFmtId="4" fontId="9" fillId="2" borderId="4" xfId="1" applyNumberFormat="1" applyFont="1" applyFill="1" applyBorder="1" applyAlignment="1" applyProtection="1">
      <alignment horizontal="center" vertical="center" wrapText="1"/>
      <protection locked="0"/>
    </xf>
    <xf numFmtId="4" fontId="9" fillId="0" borderId="4" xfId="1" applyNumberFormat="1" applyFont="1" applyBorder="1" applyAlignment="1" applyProtection="1">
      <alignment horizontal="center" vertical="center"/>
    </xf>
    <xf numFmtId="4" fontId="9" fillId="0" borderId="19" xfId="1" applyNumberFormat="1" applyFont="1" applyBorder="1" applyAlignment="1" applyProtection="1">
      <alignment horizontal="center" vertical="center"/>
    </xf>
    <xf numFmtId="4" fontId="14" fillId="12" borderId="25" xfId="1" applyNumberFormat="1" applyFont="1" applyFill="1" applyBorder="1" applyAlignment="1" applyProtection="1">
      <alignment horizontal="center" vertical="center"/>
    </xf>
    <xf numFmtId="4" fontId="9" fillId="2" borderId="4" xfId="1" applyNumberFormat="1" applyFont="1" applyFill="1" applyBorder="1" applyAlignment="1" applyProtection="1">
      <alignment horizontal="center" vertical="center"/>
      <protection locked="0"/>
    </xf>
    <xf numFmtId="4" fontId="9" fillId="8" borderId="4" xfId="1" applyNumberFormat="1" applyFont="1" applyFill="1" applyBorder="1" applyAlignment="1" applyProtection="1">
      <alignment horizontal="center" vertical="center"/>
      <protection locked="0"/>
    </xf>
    <xf numFmtId="1" fontId="1" fillId="0" borderId="0" xfId="0" applyNumberFormat="1" applyFont="1" applyAlignment="1">
      <alignment horizontal="center"/>
    </xf>
    <xf numFmtId="0" fontId="1" fillId="0" borderId="0" xfId="0" applyFont="1" applyAlignment="1">
      <alignment horizontal="justify" wrapText="1"/>
    </xf>
    <xf numFmtId="2" fontId="1" fillId="0" borderId="0" xfId="0" applyNumberFormat="1" applyFont="1" applyAlignment="1">
      <alignment horizontal="center"/>
    </xf>
    <xf numFmtId="4" fontId="1" fillId="0" borderId="0" xfId="0" applyNumberFormat="1" applyFont="1" applyAlignment="1">
      <alignment horizontal="center"/>
    </xf>
    <xf numFmtId="0" fontId="0" fillId="0" borderId="0" xfId="0" applyAlignment="1">
      <alignment horizontal="center"/>
    </xf>
    <xf numFmtId="0" fontId="18" fillId="0" borderId="50" xfId="0" applyFont="1" applyBorder="1" applyAlignment="1">
      <alignment horizontal="left" vertical="center"/>
    </xf>
    <xf numFmtId="0" fontId="18" fillId="0" borderId="31" xfId="0" applyFont="1" applyBorder="1" applyAlignment="1">
      <alignment horizontal="left"/>
    </xf>
    <xf numFmtId="1" fontId="18" fillId="0" borderId="31" xfId="0" applyNumberFormat="1" applyFont="1" applyBorder="1" applyAlignment="1">
      <alignment horizontal="center"/>
    </xf>
    <xf numFmtId="0" fontId="18" fillId="0" borderId="31" xfId="0" applyFont="1" applyBorder="1" applyAlignment="1">
      <alignment horizontal="justify" wrapText="1"/>
    </xf>
    <xf numFmtId="0" fontId="1" fillId="0" borderId="31" xfId="0" applyFont="1" applyBorder="1"/>
    <xf numFmtId="1" fontId="1" fillId="0" borderId="31" xfId="0" applyNumberFormat="1" applyFont="1" applyBorder="1" applyAlignment="1">
      <alignment horizontal="center"/>
    </xf>
    <xf numFmtId="2" fontId="1" fillId="0" borderId="31" xfId="0" applyNumberFormat="1" applyFont="1" applyBorder="1" applyAlignment="1">
      <alignment horizontal="center"/>
    </xf>
    <xf numFmtId="4" fontId="1" fillId="0" borderId="51" xfId="0" applyNumberFormat="1" applyFont="1" applyBorder="1" applyAlignment="1">
      <alignment horizontal="center"/>
    </xf>
    <xf numFmtId="0" fontId="18" fillId="0" borderId="3" xfId="0" applyFont="1" applyBorder="1" applyAlignment="1">
      <alignment horizontal="left" vertical="center"/>
    </xf>
    <xf numFmtId="0" fontId="18" fillId="0" borderId="0" xfId="0" applyFont="1" applyAlignment="1">
      <alignment horizontal="left"/>
    </xf>
    <xf numFmtId="1" fontId="18" fillId="0" borderId="0" xfId="0" applyNumberFormat="1" applyFont="1" applyAlignment="1">
      <alignment horizontal="center"/>
    </xf>
    <xf numFmtId="0" fontId="18" fillId="0" borderId="0" xfId="0" applyFont="1" applyAlignment="1">
      <alignment horizontal="justify" wrapText="1"/>
    </xf>
    <xf numFmtId="4" fontId="1" fillId="0" borderId="45" xfId="0" applyNumberFormat="1" applyFont="1" applyBorder="1" applyAlignment="1">
      <alignment horizontal="center"/>
    </xf>
    <xf numFmtId="0" fontId="18" fillId="0" borderId="0" xfId="0" applyFont="1" applyAlignment="1">
      <alignment horizontal="left" vertical="center"/>
    </xf>
    <xf numFmtId="1" fontId="18" fillId="0" borderId="0" xfId="0" applyNumberFormat="1" applyFont="1" applyAlignment="1">
      <alignment horizontal="center" vertical="center"/>
    </xf>
    <xf numFmtId="1" fontId="1" fillId="0" borderId="0" xfId="0" applyNumberFormat="1" applyFont="1" applyAlignment="1">
      <alignment horizontal="center" vertical="center"/>
    </xf>
    <xf numFmtId="2" fontId="1" fillId="0" borderId="0" xfId="0" applyNumberFormat="1" applyFont="1" applyAlignment="1">
      <alignment horizontal="center" vertical="center"/>
    </xf>
    <xf numFmtId="4" fontId="1" fillId="0" borderId="45" xfId="0" applyNumberFormat="1" applyFont="1" applyBorder="1" applyAlignment="1">
      <alignment horizontal="center" vertical="center"/>
    </xf>
    <xf numFmtId="0" fontId="1" fillId="0" borderId="37" xfId="0" applyFont="1" applyBorder="1" applyAlignment="1">
      <alignment horizontal="center" vertical="center"/>
    </xf>
    <xf numFmtId="0" fontId="1" fillId="0" borderId="52" xfId="0" applyFont="1" applyBorder="1" applyAlignment="1">
      <alignment horizontal="left" vertical="center"/>
    </xf>
    <xf numFmtId="1" fontId="1" fillId="0" borderId="52" xfId="0" applyNumberFormat="1" applyFont="1" applyBorder="1" applyAlignment="1">
      <alignment horizontal="center" vertical="center"/>
    </xf>
    <xf numFmtId="0" fontId="1" fillId="0" borderId="52" xfId="0" applyFont="1" applyBorder="1" applyAlignment="1">
      <alignment horizontal="justify" wrapText="1"/>
    </xf>
    <xf numFmtId="2" fontId="1" fillId="0" borderId="52" xfId="0" applyNumberFormat="1" applyFont="1" applyBorder="1" applyAlignment="1">
      <alignment horizontal="center" vertical="center"/>
    </xf>
    <xf numFmtId="4" fontId="1" fillId="0" borderId="47" xfId="0" applyNumberFormat="1" applyFont="1" applyBorder="1" applyAlignment="1">
      <alignment horizontal="center" vertical="center"/>
    </xf>
    <xf numFmtId="0" fontId="7" fillId="0" borderId="17" xfId="0" applyFont="1" applyBorder="1" applyAlignment="1">
      <alignment horizontal="center" vertical="center"/>
    </xf>
    <xf numFmtId="0" fontId="30" fillId="0" borderId="4" xfId="0" applyFont="1" applyBorder="1" applyAlignment="1">
      <alignment horizontal="center" vertical="center"/>
    </xf>
    <xf numFmtId="1" fontId="30" fillId="0" borderId="4" xfId="0" applyNumberFormat="1" applyFont="1" applyBorder="1" applyAlignment="1">
      <alignment horizontal="center" vertical="center"/>
    </xf>
    <xf numFmtId="0" fontId="7" fillId="0" borderId="4" xfId="0" applyFont="1" applyBorder="1" applyAlignment="1">
      <alignment horizontal="justify" wrapText="1"/>
    </xf>
    <xf numFmtId="0" fontId="7" fillId="0" borderId="4" xfId="0" applyFont="1" applyBorder="1" applyAlignment="1">
      <alignment horizontal="center" vertical="center"/>
    </xf>
    <xf numFmtId="1" fontId="34" fillId="0" borderId="4" xfId="0" applyNumberFormat="1" applyFont="1" applyBorder="1" applyAlignment="1">
      <alignment horizontal="center" vertical="center" wrapText="1"/>
    </xf>
    <xf numFmtId="2" fontId="7" fillId="0" borderId="43" xfId="0" applyNumberFormat="1" applyFont="1" applyBorder="1" applyAlignment="1">
      <alignment horizontal="center" vertical="center" wrapText="1"/>
    </xf>
    <xf numFmtId="4" fontId="7" fillId="0" borderId="19" xfId="0" applyNumberFormat="1" applyFont="1" applyBorder="1" applyAlignment="1">
      <alignment horizontal="center" vertical="center"/>
    </xf>
    <xf numFmtId="0" fontId="9" fillId="0" borderId="48" xfId="0" applyFont="1" applyBorder="1" applyAlignment="1">
      <alignment horizontal="center" vertical="center" wrapText="1"/>
    </xf>
    <xf numFmtId="1" fontId="9" fillId="0" borderId="4" xfId="1" applyNumberFormat="1" applyFont="1" applyBorder="1" applyAlignment="1" applyProtection="1">
      <alignment horizontal="center" vertical="center"/>
    </xf>
    <xf numFmtId="0" fontId="13" fillId="0" borderId="4" xfId="0" applyFont="1" applyBorder="1" applyAlignment="1">
      <alignment horizontal="justify" wrapText="1"/>
    </xf>
    <xf numFmtId="1" fontId="9" fillId="0" borderId="18" xfId="1" applyNumberFormat="1" applyFont="1" applyBorder="1" applyAlignment="1" applyProtection="1">
      <alignment horizontal="center" vertical="center"/>
    </xf>
    <xf numFmtId="2" fontId="1" fillId="19" borderId="4" xfId="0" applyNumberFormat="1" applyFont="1" applyFill="1" applyBorder="1" applyAlignment="1" applyProtection="1">
      <alignment horizontal="center" vertical="center"/>
      <protection locked="0"/>
    </xf>
    <xf numFmtId="4" fontId="9" fillId="0" borderId="47" xfId="1" applyNumberFormat="1" applyFont="1" applyBorder="1" applyAlignment="1" applyProtection="1">
      <alignment horizontal="center" vertical="center"/>
    </xf>
    <xf numFmtId="0" fontId="35" fillId="0" borderId="4" xfId="0" applyFont="1" applyBorder="1" applyAlignment="1">
      <alignment horizontal="center" vertical="center"/>
    </xf>
    <xf numFmtId="1" fontId="3" fillId="0" borderId="11" xfId="0" applyNumberFormat="1" applyFont="1" applyBorder="1" applyAlignment="1">
      <alignment horizontal="center" vertical="center"/>
    </xf>
    <xf numFmtId="4" fontId="7" fillId="0" borderId="19" xfId="1" applyNumberFormat="1" applyFont="1" applyBorder="1" applyAlignment="1" applyProtection="1">
      <alignment horizontal="center" vertical="center"/>
    </xf>
    <xf numFmtId="2" fontId="19" fillId="12" borderId="54" xfId="0" applyNumberFormat="1" applyFont="1" applyFill="1" applyBorder="1" applyAlignment="1">
      <alignment horizontal="center" vertical="center"/>
    </xf>
    <xf numFmtId="4" fontId="36" fillId="12" borderId="29" xfId="1" applyNumberFormat="1" applyFont="1" applyFill="1" applyBorder="1" applyAlignment="1" applyProtection="1">
      <alignment horizontal="center" vertical="center"/>
    </xf>
    <xf numFmtId="0" fontId="9" fillId="0" borderId="3" xfId="0" applyFont="1" applyBorder="1" applyAlignment="1">
      <alignment horizontal="center" vertical="center" wrapText="1"/>
    </xf>
    <xf numFmtId="1" fontId="9" fillId="0" borderId="0" xfId="1" applyNumberFormat="1" applyFont="1" applyBorder="1" applyAlignment="1" applyProtection="1">
      <alignment horizontal="center" vertical="center"/>
    </xf>
    <xf numFmtId="0" fontId="9" fillId="0" borderId="0" xfId="0" applyFont="1" applyAlignment="1">
      <alignment horizontal="justify" wrapText="1"/>
    </xf>
    <xf numFmtId="0" fontId="9" fillId="0" borderId="0" xfId="0" applyFont="1" applyAlignment="1">
      <alignment vertical="center" wrapText="1"/>
    </xf>
    <xf numFmtId="2" fontId="9" fillId="0" borderId="0" xfId="1" applyNumberFormat="1" applyFont="1" applyBorder="1" applyAlignment="1" applyProtection="1">
      <alignment horizontal="center" vertical="center"/>
    </xf>
    <xf numFmtId="4" fontId="9" fillId="0" borderId="45" xfId="1" applyNumberFormat="1" applyFont="1" applyBorder="1" applyAlignment="1" applyProtection="1">
      <alignment horizontal="center" vertical="center"/>
    </xf>
    <xf numFmtId="0" fontId="33" fillId="5" borderId="43" xfId="0" applyFont="1" applyFill="1" applyBorder="1" applyAlignment="1">
      <alignment horizontal="center" vertical="center" wrapText="1"/>
    </xf>
    <xf numFmtId="0" fontId="7" fillId="5" borderId="43" xfId="0" applyFont="1" applyFill="1" applyBorder="1" applyAlignment="1">
      <alignment horizontal="center" vertical="center" wrapText="1"/>
    </xf>
    <xf numFmtId="0" fontId="9" fillId="0" borderId="12" xfId="0" applyFont="1" applyBorder="1" applyAlignment="1">
      <alignment horizontal="center" vertical="center"/>
    </xf>
    <xf numFmtId="1" fontId="9" fillId="0" borderId="12" xfId="1" applyNumberFormat="1" applyFont="1" applyBorder="1" applyAlignment="1" applyProtection="1">
      <alignment horizontal="center" vertical="center"/>
    </xf>
    <xf numFmtId="0" fontId="9" fillId="0" borderId="11" xfId="0" applyFont="1" applyBorder="1" applyAlignment="1">
      <alignment horizontal="center" vertical="center" wrapText="1"/>
    </xf>
    <xf numFmtId="0" fontId="9" fillId="0" borderId="4" xfId="0" applyFont="1" applyBorder="1" applyAlignment="1">
      <alignment horizontal="justify" vertical="center" wrapText="1"/>
    </xf>
    <xf numFmtId="1" fontId="37" fillId="0" borderId="17" xfId="0" applyNumberFormat="1" applyFont="1" applyBorder="1" applyAlignment="1">
      <alignment horizontal="center" vertical="center"/>
    </xf>
    <xf numFmtId="4" fontId="7" fillId="0" borderId="25" xfId="1" applyNumberFormat="1" applyFont="1" applyBorder="1" applyAlignment="1" applyProtection="1">
      <alignment horizontal="center" vertical="center"/>
    </xf>
    <xf numFmtId="0" fontId="19" fillId="0" borderId="0" xfId="0" applyFont="1" applyAlignment="1">
      <alignment horizontal="left" vertical="center"/>
    </xf>
    <xf numFmtId="1" fontId="19" fillId="0" borderId="0" xfId="0" applyNumberFormat="1" applyFont="1" applyAlignment="1">
      <alignment horizontal="center" vertical="center"/>
    </xf>
    <xf numFmtId="0" fontId="19" fillId="0" borderId="0" xfId="0" applyFont="1" applyAlignment="1">
      <alignment horizontal="justify" wrapText="1"/>
    </xf>
    <xf numFmtId="2" fontId="19" fillId="0" borderId="0" xfId="0" applyNumberFormat="1" applyFont="1" applyAlignment="1">
      <alignment horizontal="center" vertical="center"/>
    </xf>
    <xf numFmtId="4" fontId="19" fillId="0" borderId="45" xfId="1" applyNumberFormat="1" applyFont="1" applyBorder="1" applyAlignment="1" applyProtection="1">
      <alignment horizontal="center" vertical="center"/>
    </xf>
    <xf numFmtId="2" fontId="7" fillId="0" borderId="4" xfId="0" applyNumberFormat="1" applyFont="1" applyBorder="1" applyAlignment="1">
      <alignment horizontal="center" vertical="center" wrapText="1"/>
    </xf>
    <xf numFmtId="0" fontId="14" fillId="0" borderId="0" xfId="0" applyFont="1" applyAlignment="1">
      <alignment horizontal="justify" wrapText="1"/>
    </xf>
    <xf numFmtId="1" fontId="37" fillId="0" borderId="11" xfId="0" applyNumberFormat="1" applyFont="1" applyBorder="1" applyAlignment="1">
      <alignment horizontal="center" vertical="center" wrapText="1"/>
    </xf>
    <xf numFmtId="4" fontId="7" fillId="0" borderId="29" xfId="1" applyNumberFormat="1" applyFont="1" applyBorder="1" applyAlignment="1" applyProtection="1">
      <alignment horizontal="center" vertical="center"/>
    </xf>
    <xf numFmtId="1" fontId="39" fillId="0" borderId="17" xfId="0" applyNumberFormat="1" applyFont="1" applyBorder="1" applyAlignment="1">
      <alignment horizontal="center" vertical="center" wrapText="1"/>
    </xf>
    <xf numFmtId="4" fontId="0" fillId="0" borderId="19" xfId="0" applyNumberFormat="1" applyBorder="1" applyAlignment="1">
      <alignment horizontal="center"/>
    </xf>
    <xf numFmtId="4" fontId="9" fillId="0" borderId="0" xfId="0" applyNumberFormat="1" applyFont="1" applyAlignment="1">
      <alignment horizontal="center"/>
    </xf>
    <xf numFmtId="0" fontId="2" fillId="0" borderId="1" xfId="0" applyFont="1" applyBorder="1" applyAlignment="1">
      <alignment vertical="center"/>
    </xf>
    <xf numFmtId="0" fontId="9" fillId="0" borderId="2" xfId="0" applyFont="1" applyBorder="1" applyAlignment="1">
      <alignment vertical="center"/>
    </xf>
    <xf numFmtId="4" fontId="9" fillId="0" borderId="2" xfId="0" applyNumberFormat="1" applyFont="1" applyBorder="1" applyAlignment="1">
      <alignment horizontal="center" vertical="center"/>
    </xf>
    <xf numFmtId="4" fontId="9" fillId="0" borderId="2" xfId="0" applyNumberFormat="1" applyFont="1" applyBorder="1" applyAlignment="1">
      <alignment horizontal="center"/>
    </xf>
    <xf numFmtId="4" fontId="9" fillId="0" borderId="44" xfId="0" applyNumberFormat="1" applyFont="1" applyBorder="1" applyAlignment="1">
      <alignment horizontal="center"/>
    </xf>
    <xf numFmtId="0" fontId="2" fillId="0" borderId="3" xfId="0" applyFont="1" applyBorder="1" applyAlignment="1">
      <alignment vertical="center"/>
    </xf>
    <xf numFmtId="4" fontId="9" fillId="0" borderId="0" xfId="0" applyNumberFormat="1" applyFont="1" applyAlignment="1">
      <alignment horizontal="center" vertical="center"/>
    </xf>
    <xf numFmtId="4" fontId="9" fillId="0" borderId="45" xfId="0" applyNumberFormat="1" applyFont="1" applyBorder="1" applyAlignment="1">
      <alignment horizontal="center"/>
    </xf>
    <xf numFmtId="0" fontId="10" fillId="0" borderId="0" xfId="0" applyFont="1"/>
    <xf numFmtId="0" fontId="9" fillId="12" borderId="54" xfId="0" applyFont="1" applyFill="1" applyBorder="1" applyAlignment="1">
      <alignment vertical="center" wrapText="1"/>
    </xf>
    <xf numFmtId="0" fontId="10" fillId="0" borderId="57" xfId="0" applyFont="1" applyBorder="1" applyAlignment="1">
      <alignment horizontal="center" vertical="center"/>
    </xf>
    <xf numFmtId="0" fontId="9" fillId="0" borderId="48" xfId="0" applyFont="1" applyBorder="1" applyAlignment="1">
      <alignment horizontal="center" vertical="center"/>
    </xf>
    <xf numFmtId="4" fontId="9" fillId="12" borderId="4" xfId="0" applyNumberFormat="1" applyFont="1" applyFill="1" applyBorder="1" applyAlignment="1">
      <alignment horizontal="center" vertical="center"/>
    </xf>
    <xf numFmtId="4" fontId="9" fillId="0" borderId="4" xfId="0" applyNumberFormat="1" applyFont="1" applyBorder="1" applyAlignment="1">
      <alignment horizontal="center" vertical="center"/>
    </xf>
    <xf numFmtId="4" fontId="9" fillId="0" borderId="19" xfId="0" applyNumberFormat="1" applyFont="1" applyBorder="1" applyAlignment="1">
      <alignment horizontal="center" vertical="center"/>
    </xf>
    <xf numFmtId="10" fontId="9" fillId="0" borderId="4" xfId="0" applyNumberFormat="1" applyFont="1" applyBorder="1" applyAlignment="1">
      <alignment horizontal="center" vertical="center"/>
    </xf>
    <xf numFmtId="0" fontId="9" fillId="0" borderId="43" xfId="0" applyFont="1" applyBorder="1" applyAlignment="1">
      <alignment vertical="center" wrapText="1"/>
    </xf>
    <xf numFmtId="10" fontId="9" fillId="0" borderId="43" xfId="0" applyNumberFormat="1" applyFont="1" applyBorder="1" applyAlignment="1">
      <alignment horizontal="center" vertical="center" wrapText="1"/>
    </xf>
    <xf numFmtId="4" fontId="9" fillId="12" borderId="43" xfId="0" applyNumberFormat="1" applyFont="1" applyFill="1" applyBorder="1" applyAlignment="1">
      <alignment horizontal="center" vertical="center"/>
    </xf>
    <xf numFmtId="4" fontId="9" fillId="0" borderId="43" xfId="0" applyNumberFormat="1" applyFont="1" applyBorder="1" applyAlignment="1">
      <alignment horizontal="center" vertical="center"/>
    </xf>
    <xf numFmtId="4" fontId="9" fillId="0" borderId="58" xfId="0" applyNumberFormat="1" applyFont="1" applyBorder="1" applyAlignment="1">
      <alignment horizontal="center" vertical="center"/>
    </xf>
    <xf numFmtId="4" fontId="7" fillId="12" borderId="4" xfId="0" applyNumberFormat="1" applyFont="1" applyFill="1" applyBorder="1" applyAlignment="1">
      <alignment horizontal="center" vertical="center"/>
    </xf>
    <xf numFmtId="4" fontId="7" fillId="12" borderId="19" xfId="0" applyNumberFormat="1" applyFont="1" applyFill="1" applyBorder="1" applyAlignment="1">
      <alignment horizontal="center" vertical="center"/>
    </xf>
    <xf numFmtId="10" fontId="9" fillId="0" borderId="12" xfId="0" applyNumberFormat="1" applyFont="1" applyBorder="1" applyAlignment="1">
      <alignment horizontal="center" vertical="center"/>
    </xf>
    <xf numFmtId="4" fontId="7" fillId="12" borderId="7" xfId="0" applyNumberFormat="1" applyFont="1" applyFill="1" applyBorder="1" applyAlignment="1">
      <alignment horizontal="center" vertical="center"/>
    </xf>
    <xf numFmtId="4" fontId="7" fillId="12" borderId="8" xfId="0" applyNumberFormat="1" applyFont="1" applyFill="1" applyBorder="1" applyAlignment="1">
      <alignment horizontal="center" vertical="center"/>
    </xf>
    <xf numFmtId="0" fontId="9" fillId="0" borderId="17" xfId="0" applyFont="1" applyBorder="1" applyAlignment="1">
      <alignment horizontal="center" vertical="center"/>
    </xf>
    <xf numFmtId="0" fontId="9" fillId="0" borderId="17" xfId="0" applyFont="1" applyBorder="1" applyAlignment="1">
      <alignment horizontal="left" vertical="center"/>
    </xf>
    <xf numFmtId="2" fontId="9" fillId="0" borderId="4" xfId="0" applyNumberFormat="1" applyFont="1" applyBorder="1" applyAlignment="1">
      <alignment horizontal="center" vertical="center"/>
    </xf>
    <xf numFmtId="2" fontId="9" fillId="0" borderId="4" xfId="1" applyNumberFormat="1" applyFont="1" applyBorder="1" applyAlignment="1" applyProtection="1">
      <alignment horizontal="center" vertical="center"/>
    </xf>
    <xf numFmtId="10" fontId="9" fillId="0" borderId="4" xfId="3" applyNumberFormat="1" applyFont="1" applyBorder="1" applyAlignment="1" applyProtection="1">
      <alignment horizontal="center" vertical="center"/>
    </xf>
    <xf numFmtId="0" fontId="9" fillId="0" borderId="4" xfId="0" applyFont="1" applyBorder="1" applyAlignment="1">
      <alignment horizontal="left" vertical="center"/>
    </xf>
    <xf numFmtId="2" fontId="9" fillId="0" borderId="43" xfId="1" applyNumberFormat="1" applyFont="1" applyBorder="1" applyAlignment="1" applyProtection="1">
      <alignment horizontal="center" vertical="center"/>
    </xf>
    <xf numFmtId="2" fontId="9" fillId="0" borderId="43" xfId="0" applyNumberFormat="1" applyFont="1" applyBorder="1" applyAlignment="1">
      <alignment horizontal="center" vertical="center"/>
    </xf>
    <xf numFmtId="0" fontId="9" fillId="0" borderId="37" xfId="0" applyFont="1" applyBorder="1" applyAlignment="1">
      <alignment vertical="center"/>
    </xf>
    <xf numFmtId="0" fontId="9" fillId="0" borderId="52" xfId="0" applyFont="1" applyBorder="1" applyAlignment="1">
      <alignment vertical="center"/>
    </xf>
    <xf numFmtId="4" fontId="9" fillId="0" borderId="52" xfId="0" applyNumberFormat="1" applyFont="1" applyBorder="1" applyAlignment="1">
      <alignment vertical="center"/>
    </xf>
    <xf numFmtId="0" fontId="9" fillId="0" borderId="50" xfId="0" applyFont="1" applyBorder="1" applyAlignment="1">
      <alignment vertical="center"/>
    </xf>
    <xf numFmtId="0" fontId="9" fillId="0" borderId="31" xfId="0" applyFont="1" applyBorder="1" applyAlignment="1">
      <alignment vertical="center"/>
    </xf>
    <xf numFmtId="10" fontId="9" fillId="0" borderId="43" xfId="0" applyNumberFormat="1" applyFont="1" applyBorder="1" applyAlignment="1">
      <alignment horizontal="center" vertical="center"/>
    </xf>
    <xf numFmtId="4" fontId="9" fillId="0" borderId="31" xfId="0" applyNumberFormat="1" applyFont="1" applyBorder="1" applyAlignment="1">
      <alignment vertical="center"/>
    </xf>
    <xf numFmtId="0" fontId="7" fillId="12" borderId="60" xfId="0" applyFont="1" applyFill="1" applyBorder="1" applyAlignment="1">
      <alignment vertical="center"/>
    </xf>
    <xf numFmtId="0" fontId="7" fillId="12" borderId="61" xfId="0" applyFont="1" applyFill="1" applyBorder="1" applyAlignment="1">
      <alignment vertical="center"/>
    </xf>
    <xf numFmtId="10" fontId="7" fillId="12" borderId="7" xfId="0" applyNumberFormat="1" applyFont="1" applyFill="1" applyBorder="1" applyAlignment="1">
      <alignment horizontal="center" vertical="center"/>
    </xf>
    <xf numFmtId="4" fontId="7" fillId="12" borderId="7" xfId="0" applyNumberFormat="1" applyFont="1" applyFill="1" applyBorder="1" applyAlignment="1">
      <alignment vertical="center"/>
    </xf>
    <xf numFmtId="4" fontId="7" fillId="12" borderId="62" xfId="0" applyNumberFormat="1" applyFont="1" applyFill="1" applyBorder="1" applyAlignment="1">
      <alignment horizontal="center" vertical="center"/>
    </xf>
    <xf numFmtId="4" fontId="7" fillId="12" borderId="29" xfId="0" applyNumberFormat="1" applyFont="1" applyFill="1" applyBorder="1" applyAlignment="1">
      <alignment horizontal="center" vertical="center"/>
    </xf>
    <xf numFmtId="10" fontId="7" fillId="12" borderId="43" xfId="0" applyNumberFormat="1" applyFont="1" applyFill="1" applyBorder="1" applyAlignment="1">
      <alignment horizontal="center" vertical="center"/>
    </xf>
    <xf numFmtId="4" fontId="7" fillId="12" borderId="43" xfId="0" applyNumberFormat="1" applyFont="1" applyFill="1" applyBorder="1" applyAlignment="1">
      <alignment horizontal="center" vertical="center"/>
    </xf>
    <xf numFmtId="4" fontId="7" fillId="12" borderId="59" xfId="0" applyNumberFormat="1" applyFont="1" applyFill="1" applyBorder="1" applyAlignment="1">
      <alignment horizontal="center" vertical="center"/>
    </xf>
    <xf numFmtId="4" fontId="7" fillId="12" borderId="63" xfId="0" applyNumberFormat="1" applyFont="1" applyFill="1" applyBorder="1" applyAlignment="1">
      <alignment horizontal="center" vertical="center"/>
    </xf>
    <xf numFmtId="4" fontId="19" fillId="12" borderId="4" xfId="0" applyNumberFormat="1" applyFont="1" applyFill="1" applyBorder="1" applyAlignment="1">
      <alignment horizontal="center" vertical="center"/>
    </xf>
    <xf numFmtId="4" fontId="19" fillId="12" borderId="19" xfId="0" applyNumberFormat="1" applyFont="1" applyFill="1" applyBorder="1" applyAlignment="1">
      <alignment horizontal="center" vertical="center"/>
    </xf>
    <xf numFmtId="164" fontId="9" fillId="0" borderId="0" xfId="0" applyNumberFormat="1" applyFont="1"/>
    <xf numFmtId="2" fontId="19" fillId="12" borderId="23" xfId="0" applyNumberFormat="1" applyFont="1" applyFill="1" applyBorder="1" applyAlignment="1">
      <alignment horizontal="center" vertical="center"/>
    </xf>
    <xf numFmtId="165" fontId="7" fillId="15" borderId="25" xfId="2" applyFont="1" applyFill="1" applyBorder="1" applyAlignment="1" applyProtection="1">
      <alignment horizontal="center" vertical="center"/>
    </xf>
    <xf numFmtId="164" fontId="9" fillId="0" borderId="4" xfId="0" applyNumberFormat="1" applyFont="1" applyBorder="1" applyAlignment="1">
      <alignment horizontal="center" vertical="center"/>
    </xf>
    <xf numFmtId="0" fontId="2" fillId="0" borderId="2" xfId="0" applyFont="1" applyBorder="1"/>
    <xf numFmtId="0" fontId="1" fillId="0" borderId="2" xfId="0" applyFont="1" applyBorder="1"/>
    <xf numFmtId="0" fontId="1" fillId="0" borderId="44" xfId="0" applyFont="1" applyBorder="1"/>
    <xf numFmtId="0" fontId="1" fillId="0" borderId="3" xfId="0" applyFont="1" applyBorder="1"/>
    <xf numFmtId="0" fontId="1" fillId="0" borderId="45" xfId="0" applyFont="1" applyBorder="1"/>
    <xf numFmtId="0" fontId="40" fillId="0" borderId="0" xfId="0" applyFont="1" applyAlignment="1">
      <alignment vertical="center"/>
    </xf>
    <xf numFmtId="0" fontId="6" fillId="12" borderId="60" xfId="0" applyFont="1" applyFill="1" applyBorder="1" applyAlignment="1">
      <alignment vertical="center"/>
    </xf>
    <xf numFmtId="0" fontId="41" fillId="12" borderId="61" xfId="0" applyFont="1" applyFill="1" applyBorder="1" applyAlignment="1">
      <alignment vertical="center" wrapText="1"/>
    </xf>
    <xf numFmtId="0" fontId="21" fillId="12" borderId="61" xfId="0" applyFont="1" applyFill="1" applyBorder="1" applyAlignment="1">
      <alignment vertical="center"/>
    </xf>
    <xf numFmtId="0" fontId="19" fillId="12" borderId="61" xfId="0" applyFont="1" applyFill="1" applyBorder="1" applyAlignment="1">
      <alignment vertical="center"/>
    </xf>
    <xf numFmtId="0" fontId="6" fillId="12" borderId="61" xfId="0" applyFont="1" applyFill="1" applyBorder="1" applyAlignment="1">
      <alignment vertical="center"/>
    </xf>
    <xf numFmtId="0" fontId="5" fillId="12" borderId="2" xfId="0" applyFont="1" applyFill="1" applyBorder="1" applyAlignment="1">
      <alignment horizontal="center" vertical="center" wrapText="1"/>
    </xf>
    <xf numFmtId="0" fontId="9" fillId="12" borderId="22" xfId="0" applyFont="1" applyFill="1" applyBorder="1" applyAlignment="1">
      <alignment horizontal="center" vertical="center" wrapText="1"/>
    </xf>
    <xf numFmtId="0" fontId="10" fillId="12" borderId="25" xfId="0" applyFont="1" applyFill="1" applyBorder="1" applyAlignment="1">
      <alignment horizontal="center" vertical="center" wrapText="1"/>
    </xf>
    <xf numFmtId="0" fontId="9" fillId="12" borderId="22" xfId="0" applyFont="1" applyFill="1" applyBorder="1" applyAlignment="1">
      <alignment horizontal="center" vertical="center"/>
    </xf>
    <xf numFmtId="0" fontId="9" fillId="12" borderId="23" xfId="0" applyFont="1" applyFill="1" applyBorder="1" applyAlignment="1">
      <alignment horizontal="center" vertical="center" wrapText="1"/>
    </xf>
    <xf numFmtId="0" fontId="9" fillId="12" borderId="24" xfId="0" applyFont="1" applyFill="1" applyBorder="1" applyAlignment="1">
      <alignment horizontal="center" vertical="center" wrapText="1"/>
    </xf>
    <xf numFmtId="0" fontId="9" fillId="12" borderId="43" xfId="0" applyFont="1" applyFill="1" applyBorder="1" applyAlignment="1">
      <alignment horizontal="center" vertical="center" wrapText="1"/>
    </xf>
    <xf numFmtId="0" fontId="9" fillId="12" borderId="58" xfId="0" applyFont="1" applyFill="1" applyBorder="1" applyAlignment="1">
      <alignment horizontal="center" vertical="center" wrapText="1"/>
    </xf>
    <xf numFmtId="0" fontId="9" fillId="12" borderId="67" xfId="0" applyFont="1" applyFill="1" applyBorder="1" applyAlignment="1">
      <alignment horizontal="center" vertical="center" wrapText="1"/>
    </xf>
    <xf numFmtId="0" fontId="9" fillId="12" borderId="57" xfId="0" applyFont="1" applyFill="1" applyBorder="1" applyAlignment="1">
      <alignment horizontal="center" vertical="center" wrapText="1"/>
    </xf>
    <xf numFmtId="0" fontId="10" fillId="12" borderId="24" xfId="0" applyFont="1" applyFill="1" applyBorder="1" applyAlignment="1">
      <alignment horizontal="center" vertical="center" wrapText="1"/>
    </xf>
    <xf numFmtId="0" fontId="9" fillId="12" borderId="25" xfId="0" applyFont="1" applyFill="1" applyBorder="1" applyAlignment="1">
      <alignment horizontal="center" vertical="center" wrapText="1"/>
    </xf>
    <xf numFmtId="0" fontId="1" fillId="0" borderId="12" xfId="0" applyFont="1" applyBorder="1" applyAlignment="1">
      <alignment vertical="center" wrapText="1"/>
    </xf>
    <xf numFmtId="1" fontId="1" fillId="0" borderId="12" xfId="0" applyNumberFormat="1" applyFont="1" applyBorder="1" applyAlignment="1">
      <alignment horizontal="center" vertical="center"/>
    </xf>
    <xf numFmtId="1" fontId="1" fillId="0" borderId="11" xfId="0" applyNumberFormat="1" applyFont="1" applyBorder="1" applyAlignment="1">
      <alignment horizontal="center" vertical="center"/>
    </xf>
    <xf numFmtId="4" fontId="1" fillId="0" borderId="12" xfId="0" applyNumberFormat="1" applyFont="1" applyBorder="1" applyAlignment="1">
      <alignment horizontal="center" vertical="center"/>
    </xf>
    <xf numFmtId="4" fontId="1" fillId="0" borderId="13" xfId="0" applyNumberFormat="1" applyFont="1" applyBorder="1" applyAlignment="1">
      <alignment horizontal="center" vertical="center"/>
    </xf>
    <xf numFmtId="4" fontId="1" fillId="0" borderId="32" xfId="0" applyNumberFormat="1" applyFont="1" applyBorder="1" applyAlignment="1">
      <alignment horizontal="center" vertical="center"/>
    </xf>
    <xf numFmtId="164" fontId="5" fillId="0" borderId="33" xfId="1" applyFont="1" applyBorder="1" applyAlignment="1" applyProtection="1">
      <alignment horizontal="center" vertical="center"/>
    </xf>
    <xf numFmtId="164" fontId="5" fillId="0" borderId="34" xfId="1" applyFont="1" applyBorder="1" applyAlignment="1" applyProtection="1">
      <alignment horizontal="center" vertical="center"/>
    </xf>
    <xf numFmtId="4" fontId="1" fillId="0" borderId="42" xfId="0" applyNumberFormat="1" applyFont="1" applyBorder="1" applyAlignment="1">
      <alignment horizontal="center" vertical="center"/>
    </xf>
    <xf numFmtId="4" fontId="1" fillId="0" borderId="16" xfId="0" applyNumberFormat="1" applyFont="1" applyBorder="1" applyAlignment="1">
      <alignment horizontal="center" vertical="center"/>
    </xf>
    <xf numFmtId="164" fontId="5" fillId="0" borderId="12" xfId="1" applyFont="1" applyBorder="1" applyAlignment="1" applyProtection="1">
      <alignment horizontal="center" vertical="center"/>
    </xf>
    <xf numFmtId="164" fontId="5" fillId="0" borderId="13" xfId="1" applyFont="1" applyBorder="1" applyAlignment="1" applyProtection="1">
      <alignment horizontal="center" vertical="center"/>
    </xf>
    <xf numFmtId="164" fontId="1" fillId="0" borderId="11" xfId="1" applyFont="1" applyBorder="1" applyAlignment="1" applyProtection="1">
      <alignment horizontal="center" vertical="center"/>
    </xf>
    <xf numFmtId="164" fontId="1" fillId="0" borderId="12" xfId="1" applyFont="1" applyBorder="1" applyAlignment="1" applyProtection="1">
      <alignment horizontal="center" vertical="center"/>
    </xf>
    <xf numFmtId="164" fontId="5" fillId="0" borderId="68" xfId="1" applyFont="1" applyBorder="1" applyAlignment="1" applyProtection="1">
      <alignment horizontal="center" vertical="center"/>
    </xf>
    <xf numFmtId="164" fontId="5" fillId="12" borderId="11" xfId="1" applyFont="1" applyFill="1" applyBorder="1" applyAlignment="1" applyProtection="1">
      <alignment horizontal="center" vertical="center"/>
    </xf>
    <xf numFmtId="164" fontId="5" fillId="12" borderId="12" xfId="1" applyFont="1" applyFill="1" applyBorder="1" applyAlignment="1" applyProtection="1">
      <alignment horizontal="center" vertical="center"/>
    </xf>
    <xf numFmtId="164" fontId="5" fillId="12" borderId="14" xfId="1" applyFont="1" applyFill="1" applyBorder="1" applyAlignment="1" applyProtection="1">
      <alignment horizontal="center" vertical="center"/>
    </xf>
    <xf numFmtId="165" fontId="1" fillId="0" borderId="69" xfId="2" applyFont="1" applyBorder="1" applyAlignment="1" applyProtection="1">
      <alignment horizontal="right" vertical="center"/>
    </xf>
    <xf numFmtId="4" fontId="1" fillId="0" borderId="17" xfId="0" applyNumberFormat="1" applyFont="1" applyBorder="1" applyAlignment="1">
      <alignment horizontal="center" vertical="center"/>
    </xf>
    <xf numFmtId="164" fontId="5" fillId="0" borderId="4" xfId="1" applyFont="1" applyBorder="1" applyAlignment="1" applyProtection="1">
      <alignment horizontal="center" vertical="center"/>
    </xf>
    <xf numFmtId="164" fontId="5" fillId="0" borderId="19" xfId="1" applyFont="1" applyBorder="1" applyAlignment="1" applyProtection="1">
      <alignment horizontal="center" vertical="center"/>
    </xf>
    <xf numFmtId="4" fontId="1" fillId="0" borderId="21" xfId="0" applyNumberFormat="1" applyFont="1" applyBorder="1" applyAlignment="1">
      <alignment horizontal="center" vertical="center"/>
    </xf>
    <xf numFmtId="164" fontId="5" fillId="0" borderId="18" xfId="1" applyFont="1" applyBorder="1" applyAlignment="1" applyProtection="1">
      <alignment horizontal="center" vertical="center"/>
    </xf>
    <xf numFmtId="164" fontId="1" fillId="0" borderId="17" xfId="1" applyFont="1" applyBorder="1" applyAlignment="1" applyProtection="1">
      <alignment horizontal="center" vertical="center"/>
    </xf>
    <xf numFmtId="164" fontId="1" fillId="0" borderId="4" xfId="1" applyFont="1" applyBorder="1" applyAlignment="1" applyProtection="1">
      <alignment horizontal="center" vertical="center"/>
    </xf>
    <xf numFmtId="164" fontId="5" fillId="0" borderId="37" xfId="1" applyFont="1" applyBorder="1" applyAlignment="1" applyProtection="1">
      <alignment horizontal="center" vertical="center"/>
    </xf>
    <xf numFmtId="164" fontId="1" fillId="0" borderId="19" xfId="1" applyFont="1" applyBorder="1" applyAlignment="1" applyProtection="1">
      <alignment horizontal="center" vertical="center"/>
    </xf>
    <xf numFmtId="164" fontId="5" fillId="12" borderId="17" xfId="1" applyFont="1" applyFill="1" applyBorder="1" applyAlignment="1" applyProtection="1">
      <alignment horizontal="center" vertical="center"/>
    </xf>
    <xf numFmtId="164" fontId="5" fillId="12" borderId="4" xfId="1" applyFont="1" applyFill="1" applyBorder="1" applyAlignment="1" applyProtection="1">
      <alignment horizontal="center" vertical="center"/>
    </xf>
    <xf numFmtId="164" fontId="5" fillId="12" borderId="19" xfId="1" applyFont="1" applyFill="1" applyBorder="1" applyAlignment="1" applyProtection="1">
      <alignment horizontal="center" vertical="center"/>
    </xf>
    <xf numFmtId="0" fontId="5" fillId="0" borderId="59" xfId="0" applyFont="1" applyBorder="1" applyAlignment="1">
      <alignment horizontal="center" vertical="center" wrapText="1"/>
    </xf>
    <xf numFmtId="0" fontId="1" fillId="0" borderId="59" xfId="0" applyFont="1" applyBorder="1" applyAlignment="1">
      <alignment vertical="center" wrapText="1"/>
    </xf>
    <xf numFmtId="1" fontId="1" fillId="0" borderId="59" xfId="0" applyNumberFormat="1" applyFont="1" applyBorder="1" applyAlignment="1">
      <alignment horizontal="center" vertical="center"/>
    </xf>
    <xf numFmtId="1" fontId="1" fillId="0" borderId="70" xfId="0" applyNumberFormat="1" applyFont="1" applyBorder="1" applyAlignment="1">
      <alignment horizontal="center" vertical="center"/>
    </xf>
    <xf numFmtId="4" fontId="1" fillId="0" borderId="59" xfId="0" applyNumberFormat="1" applyFont="1" applyBorder="1" applyAlignment="1">
      <alignment horizontal="center" vertical="center"/>
    </xf>
    <xf numFmtId="4" fontId="1" fillId="0" borderId="40" xfId="0" applyNumberFormat="1" applyFont="1" applyBorder="1" applyAlignment="1">
      <alignment horizontal="center" vertical="center"/>
    </xf>
    <xf numFmtId="4" fontId="1" fillId="0" borderId="48" xfId="0" applyNumberFormat="1" applyFont="1" applyBorder="1" applyAlignment="1">
      <alignment horizontal="center" vertical="center"/>
    </xf>
    <xf numFmtId="164" fontId="5" fillId="0" borderId="43" xfId="1" applyFont="1" applyBorder="1" applyAlignment="1" applyProtection="1">
      <alignment horizontal="center" vertical="center"/>
    </xf>
    <xf numFmtId="164" fontId="5" fillId="0" borderId="58" xfId="1" applyFont="1" applyBorder="1" applyAlignment="1" applyProtection="1">
      <alignment horizontal="center" vertical="center"/>
    </xf>
    <xf numFmtId="4" fontId="1" fillId="0" borderId="67" xfId="0" applyNumberFormat="1" applyFont="1" applyBorder="1" applyAlignment="1">
      <alignment horizontal="center" vertical="center"/>
    </xf>
    <xf numFmtId="164" fontId="5" fillId="0" borderId="57" xfId="1" applyFont="1" applyBorder="1" applyAlignment="1" applyProtection="1">
      <alignment horizontal="center" vertical="center"/>
    </xf>
    <xf numFmtId="164" fontId="1" fillId="0" borderId="48" xfId="1" applyFont="1" applyBorder="1" applyAlignment="1" applyProtection="1">
      <alignment horizontal="center" vertical="center"/>
    </xf>
    <xf numFmtId="164" fontId="1" fillId="0" borderId="43" xfId="1" applyFont="1" applyBorder="1" applyAlignment="1" applyProtection="1">
      <alignment horizontal="center" vertical="center"/>
    </xf>
    <xf numFmtId="164" fontId="5" fillId="0" borderId="50" xfId="1" applyFont="1" applyBorder="1" applyAlignment="1" applyProtection="1">
      <alignment horizontal="center" vertical="center"/>
    </xf>
    <xf numFmtId="164" fontId="5" fillId="12" borderId="48" xfId="1" applyFont="1" applyFill="1" applyBorder="1" applyAlignment="1" applyProtection="1">
      <alignment horizontal="center" vertical="center"/>
    </xf>
    <xf numFmtId="164" fontId="5" fillId="12" borderId="43" xfId="1" applyFont="1" applyFill="1" applyBorder="1" applyAlignment="1" applyProtection="1">
      <alignment horizontal="center" vertical="center"/>
    </xf>
    <xf numFmtId="164" fontId="5" fillId="12" borderId="58" xfId="1" applyFont="1" applyFill="1" applyBorder="1" applyAlignment="1" applyProtection="1">
      <alignment horizontal="center" vertical="center"/>
    </xf>
    <xf numFmtId="165" fontId="1" fillId="0" borderId="45" xfId="2" applyFont="1" applyBorder="1" applyAlignment="1" applyProtection="1">
      <alignment horizontal="right" vertical="center"/>
    </xf>
    <xf numFmtId="1" fontId="19" fillId="12" borderId="5" xfId="0" applyNumberFormat="1" applyFont="1" applyFill="1" applyBorder="1" applyAlignment="1">
      <alignment horizontal="center" vertical="center"/>
    </xf>
    <xf numFmtId="4" fontId="19" fillId="12" borderId="7" xfId="0" applyNumberFormat="1" applyFont="1" applyFill="1" applyBorder="1" applyAlignment="1">
      <alignment horizontal="center" vertical="center"/>
    </xf>
    <xf numFmtId="4" fontId="19" fillId="12" borderId="6" xfId="0" applyNumberFormat="1" applyFont="1" applyFill="1" applyBorder="1" applyAlignment="1">
      <alignment horizontal="center" vertical="center"/>
    </xf>
    <xf numFmtId="4" fontId="19" fillId="12" borderId="5" xfId="0" applyNumberFormat="1" applyFont="1" applyFill="1" applyBorder="1" applyAlignment="1">
      <alignment horizontal="center" vertical="center"/>
    </xf>
    <xf numFmtId="4" fontId="19" fillId="12" borderId="8" xfId="0" applyNumberFormat="1" applyFont="1" applyFill="1" applyBorder="1" applyAlignment="1">
      <alignment horizontal="center" vertical="center"/>
    </xf>
    <xf numFmtId="164" fontId="19" fillId="12" borderId="10" xfId="1" applyFont="1" applyFill="1" applyBorder="1" applyAlignment="1" applyProtection="1">
      <alignment horizontal="center" vertical="center"/>
    </xf>
    <xf numFmtId="4" fontId="19" fillId="12" borderId="10" xfId="0" applyNumberFormat="1" applyFont="1" applyFill="1" applyBorder="1" applyAlignment="1">
      <alignment horizontal="center" vertical="center"/>
    </xf>
    <xf numFmtId="164" fontId="19" fillId="12" borderId="60" xfId="1" applyFont="1" applyFill="1" applyBorder="1" applyAlignment="1" applyProtection="1">
      <alignment horizontal="center" vertical="center"/>
    </xf>
    <xf numFmtId="164" fontId="19" fillId="12" borderId="5" xfId="1" applyFont="1" applyFill="1" applyBorder="1" applyAlignment="1" applyProtection="1">
      <alignment horizontal="center" vertical="center"/>
    </xf>
    <xf numFmtId="165" fontId="19" fillId="21" borderId="64" xfId="2" applyFont="1" applyFill="1" applyBorder="1" applyAlignment="1" applyProtection="1">
      <alignment horizontal="center" vertical="center"/>
    </xf>
    <xf numFmtId="165" fontId="6" fillId="12" borderId="49" xfId="2" applyFont="1" applyFill="1" applyBorder="1" applyAlignment="1" applyProtection="1">
      <alignment vertical="center"/>
    </xf>
    <xf numFmtId="165" fontId="19" fillId="12" borderId="9" xfId="2" applyFont="1" applyFill="1" applyBorder="1" applyAlignment="1" applyProtection="1">
      <alignment vertical="center"/>
    </xf>
    <xf numFmtId="0" fontId="9" fillId="0" borderId="0" xfId="0" applyFont="1" applyAlignment="1">
      <alignment vertical="top"/>
    </xf>
    <xf numFmtId="0" fontId="10" fillId="0" borderId="45" xfId="0" applyFont="1" applyBorder="1"/>
    <xf numFmtId="0" fontId="42" fillId="0" borderId="0" xfId="0" applyFont="1" applyAlignment="1">
      <alignment vertical="center" wrapText="1"/>
    </xf>
    <xf numFmtId="49" fontId="43" fillId="8" borderId="10" xfId="0" applyNumberFormat="1" applyFont="1" applyFill="1" applyBorder="1" applyAlignment="1">
      <alignment horizontal="center" vertical="center" wrapText="1"/>
    </xf>
    <xf numFmtId="49" fontId="27" fillId="0" borderId="7" xfId="0" applyNumberFormat="1" applyFont="1" applyBorder="1" applyAlignment="1">
      <alignment horizontal="center" vertical="center" wrapText="1"/>
    </xf>
    <xf numFmtId="0" fontId="27" fillId="0" borderId="7" xfId="0" applyFont="1" applyBorder="1" applyAlignment="1">
      <alignment horizontal="center" vertical="center" wrapText="1"/>
    </xf>
    <xf numFmtId="49" fontId="27" fillId="0" borderId="8" xfId="0" applyNumberFormat="1" applyFont="1" applyBorder="1" applyAlignment="1">
      <alignment horizontal="center" vertical="center" wrapText="1"/>
    </xf>
    <xf numFmtId="0" fontId="27" fillId="0" borderId="0" xfId="0" applyFont="1" applyAlignment="1">
      <alignment vertical="center"/>
    </xf>
    <xf numFmtId="0" fontId="14" fillId="8" borderId="3" xfId="0" applyFont="1" applyFill="1" applyBorder="1" applyAlignment="1">
      <alignment horizontal="center" vertical="center"/>
    </xf>
    <xf numFmtId="0" fontId="44" fillId="22" borderId="5" xfId="0" applyFont="1" applyFill="1" applyBorder="1" applyAlignment="1">
      <alignment horizontal="center" vertical="center"/>
    </xf>
    <xf numFmtId="4" fontId="44" fillId="22" borderId="7" xfId="0" applyNumberFormat="1" applyFont="1" applyFill="1" applyBorder="1" applyAlignment="1">
      <alignment vertical="center"/>
    </xf>
    <xf numFmtId="4" fontId="44" fillId="22" borderId="8" xfId="0" applyNumberFormat="1" applyFont="1" applyFill="1" applyBorder="1" applyAlignment="1">
      <alignment vertical="center"/>
    </xf>
    <xf numFmtId="0" fontId="9" fillId="0" borderId="11" xfId="0" applyFont="1" applyBorder="1" applyAlignment="1">
      <alignment horizontal="center" vertical="center"/>
    </xf>
    <xf numFmtId="4" fontId="9" fillId="8" borderId="12" xfId="4" applyNumberFormat="1" applyFont="1" applyFill="1" applyBorder="1" applyAlignment="1" applyProtection="1">
      <alignment vertical="center"/>
    </xf>
    <xf numFmtId="4" fontId="9" fillId="8" borderId="14" xfId="4" applyNumberFormat="1" applyFont="1" applyFill="1" applyBorder="1" applyAlignment="1" applyProtection="1">
      <alignment vertical="center"/>
    </xf>
    <xf numFmtId="10" fontId="13" fillId="0" borderId="4" xfId="0" applyNumberFormat="1" applyFont="1" applyBorder="1" applyAlignment="1">
      <alignment horizontal="center" vertical="center"/>
    </xf>
    <xf numFmtId="4" fontId="9" fillId="8" borderId="4" xfId="4" applyNumberFormat="1" applyFont="1" applyFill="1" applyBorder="1" applyAlignment="1" applyProtection="1">
      <alignment vertical="center"/>
    </xf>
    <xf numFmtId="4" fontId="9" fillId="8" borderId="19" xfId="4" applyNumberFormat="1" applyFont="1" applyFill="1" applyBorder="1" applyAlignment="1" applyProtection="1">
      <alignment vertical="center"/>
    </xf>
    <xf numFmtId="10" fontId="14" fillId="0" borderId="4" xfId="0" applyNumberFormat="1" applyFont="1" applyBorder="1" applyAlignment="1">
      <alignment horizontal="center" vertical="center"/>
    </xf>
    <xf numFmtId="4" fontId="7" fillId="8" borderId="4" xfId="4" applyNumberFormat="1" applyFont="1" applyFill="1" applyBorder="1" applyAlignment="1" applyProtection="1">
      <alignment horizontal="right" vertical="center"/>
    </xf>
    <xf numFmtId="4" fontId="7" fillId="8" borderId="19" xfId="4" applyNumberFormat="1" applyFont="1" applyFill="1" applyBorder="1" applyAlignment="1" applyProtection="1">
      <alignment horizontal="right" vertical="center"/>
    </xf>
    <xf numFmtId="0" fontId="14" fillId="12" borderId="17" xfId="0" applyFont="1" applyFill="1" applyBorder="1" applyAlignment="1">
      <alignment horizontal="center" vertical="center"/>
    </xf>
    <xf numFmtId="0" fontId="14" fillId="12" borderId="4" xfId="0" applyFont="1" applyFill="1" applyBorder="1" applyAlignment="1">
      <alignment vertical="center"/>
    </xf>
    <xf numFmtId="0" fontId="9" fillId="0" borderId="4" xfId="0" applyFont="1" applyBorder="1" applyAlignment="1">
      <alignment vertical="center"/>
    </xf>
    <xf numFmtId="4" fontId="9" fillId="0" borderId="4" xfId="0" applyNumberFormat="1" applyFont="1" applyBorder="1" applyAlignment="1">
      <alignment vertical="center"/>
    </xf>
    <xf numFmtId="4" fontId="14" fillId="0" borderId="4" xfId="0" applyNumberFormat="1" applyFont="1" applyBorder="1" applyAlignment="1">
      <alignment vertical="center"/>
    </xf>
    <xf numFmtId="4" fontId="14" fillId="0" borderId="19" xfId="0" applyNumberFormat="1" applyFont="1" applyBorder="1" applyAlignment="1">
      <alignment vertical="center"/>
    </xf>
    <xf numFmtId="10" fontId="14" fillId="12" borderId="4" xfId="0" applyNumberFormat="1" applyFont="1" applyFill="1" applyBorder="1" applyAlignment="1">
      <alignment horizontal="center" vertical="center"/>
    </xf>
    <xf numFmtId="10" fontId="9" fillId="0" borderId="4" xfId="0" applyNumberFormat="1" applyFont="1" applyBorder="1" applyAlignment="1">
      <alignment vertical="center" wrapText="1"/>
    </xf>
    <xf numFmtId="4" fontId="9" fillId="8" borderId="4" xfId="0" applyNumberFormat="1" applyFont="1" applyFill="1" applyBorder="1" applyAlignment="1">
      <alignment horizontal="right" vertical="center"/>
    </xf>
    <xf numFmtId="4" fontId="9" fillId="8" borderId="19" xfId="0" applyNumberFormat="1" applyFont="1" applyFill="1" applyBorder="1" applyAlignment="1">
      <alignment horizontal="right" vertical="center"/>
    </xf>
    <xf numFmtId="0" fontId="14" fillId="0" borderId="17" xfId="0" applyFont="1" applyBorder="1" applyAlignment="1">
      <alignment horizontal="center" vertical="center"/>
    </xf>
    <xf numFmtId="10" fontId="14" fillId="0" borderId="4" xfId="0" applyNumberFormat="1" applyFont="1" applyBorder="1" applyAlignment="1">
      <alignment vertical="center" wrapText="1"/>
    </xf>
    <xf numFmtId="4" fontId="14" fillId="8" borderId="4" xfId="0" applyNumberFormat="1" applyFont="1" applyFill="1" applyBorder="1" applyAlignment="1">
      <alignment horizontal="right" vertical="center"/>
    </xf>
    <xf numFmtId="4" fontId="14" fillId="8" borderId="19" xfId="0" applyNumberFormat="1" applyFont="1" applyFill="1" applyBorder="1" applyAlignment="1">
      <alignment horizontal="right" vertical="center"/>
    </xf>
    <xf numFmtId="0" fontId="9" fillId="8" borderId="17" xfId="0" applyFont="1" applyFill="1" applyBorder="1" applyAlignment="1">
      <alignment horizontal="center" vertical="center"/>
    </xf>
    <xf numFmtId="0" fontId="14" fillId="0" borderId="48" xfId="0" applyFont="1" applyBorder="1" applyAlignment="1">
      <alignment vertical="center"/>
    </xf>
    <xf numFmtId="4" fontId="14" fillId="0" borderId="43" xfId="0" applyNumberFormat="1" applyFont="1" applyBorder="1" applyAlignment="1">
      <alignment horizontal="right" vertical="center"/>
    </xf>
    <xf numFmtId="4" fontId="14" fillId="0" borderId="58" xfId="0" applyNumberFormat="1" applyFont="1" applyBorder="1" applyAlignment="1">
      <alignment horizontal="right" vertical="center"/>
    </xf>
    <xf numFmtId="0" fontId="14" fillId="12" borderId="11" xfId="0" applyFont="1" applyFill="1" applyBorder="1" applyAlignment="1">
      <alignment vertical="center"/>
    </xf>
    <xf numFmtId="0" fontId="14" fillId="12" borderId="12" xfId="0" applyFont="1" applyFill="1" applyBorder="1" applyAlignment="1">
      <alignment vertical="center"/>
    </xf>
    <xf numFmtId="4" fontId="13" fillId="8" borderId="4" xfId="0" applyNumberFormat="1" applyFont="1" applyFill="1" applyBorder="1" applyAlignment="1">
      <alignment vertical="center"/>
    </xf>
    <xf numFmtId="4" fontId="13" fillId="8" borderId="19" xfId="0" applyNumberFormat="1" applyFont="1" applyFill="1" applyBorder="1" applyAlignment="1">
      <alignment vertical="center"/>
    </xf>
    <xf numFmtId="0" fontId="14" fillId="0" borderId="4" xfId="0" applyFont="1" applyBorder="1" applyAlignment="1">
      <alignment vertical="center"/>
    </xf>
    <xf numFmtId="4" fontId="14" fillId="8" borderId="4" xfId="0" applyNumberFormat="1" applyFont="1" applyFill="1" applyBorder="1" applyAlignment="1">
      <alignment vertical="center"/>
    </xf>
    <xf numFmtId="4" fontId="14" fillId="8" borderId="19" xfId="0" applyNumberFormat="1" applyFont="1" applyFill="1" applyBorder="1" applyAlignment="1">
      <alignment vertical="center"/>
    </xf>
    <xf numFmtId="0" fontId="9" fillId="0" borderId="43" xfId="0" applyFont="1" applyBorder="1" applyAlignment="1">
      <alignment vertical="center"/>
    </xf>
    <xf numFmtId="4" fontId="13" fillId="8" borderId="43" xfId="0" applyNumberFormat="1" applyFont="1" applyFill="1" applyBorder="1" applyAlignment="1">
      <alignment vertical="center"/>
    </xf>
    <xf numFmtId="4" fontId="13" fillId="8" borderId="58" xfId="0" applyNumberFormat="1" applyFont="1" applyFill="1" applyBorder="1" applyAlignment="1">
      <alignment vertical="center"/>
    </xf>
    <xf numFmtId="0" fontId="14" fillId="12" borderId="5" xfId="0" applyFont="1" applyFill="1" applyBorder="1" applyAlignment="1">
      <alignment vertical="center"/>
    </xf>
    <xf numFmtId="0" fontId="14" fillId="12" borderId="7" xfId="0" applyFont="1" applyFill="1" applyBorder="1" applyAlignment="1">
      <alignment vertical="center"/>
    </xf>
    <xf numFmtId="4" fontId="14" fillId="12" borderId="7" xfId="0" applyNumberFormat="1" applyFont="1" applyFill="1" applyBorder="1" applyAlignment="1">
      <alignment vertical="center"/>
    </xf>
    <xf numFmtId="4" fontId="14" fillId="12" borderId="8" xfId="0" applyNumberFormat="1" applyFont="1" applyFill="1" applyBorder="1" applyAlignment="1">
      <alignment vertical="center"/>
    </xf>
    <xf numFmtId="0" fontId="27" fillId="0" borderId="18" xfId="0" applyFont="1" applyBorder="1" applyAlignment="1">
      <alignment horizontal="right" vertical="center"/>
    </xf>
    <xf numFmtId="0" fontId="28" fillId="18" borderId="4" xfId="0" applyFont="1" applyFill="1" applyBorder="1" applyAlignment="1">
      <alignment horizontal="center" vertical="center"/>
    </xf>
    <xf numFmtId="0" fontId="5" fillId="18" borderId="4" xfId="0" applyFont="1" applyFill="1" applyBorder="1" applyAlignment="1">
      <alignment horizontal="center" vertical="center"/>
    </xf>
    <xf numFmtId="0" fontId="18" fillId="0" borderId="4" xfId="0" applyFont="1" applyBorder="1" applyAlignment="1">
      <alignment horizontal="center" vertical="center"/>
    </xf>
    <xf numFmtId="10" fontId="28" fillId="0" borderId="4" xfId="0" applyNumberFormat="1" applyFont="1" applyBorder="1" applyAlignment="1">
      <alignment horizontal="center" vertical="center"/>
    </xf>
    <xf numFmtId="0" fontId="28" fillId="0" borderId="4" xfId="0" applyFont="1" applyBorder="1" applyAlignment="1">
      <alignment horizontal="center" vertical="center"/>
    </xf>
    <xf numFmtId="4" fontId="1" fillId="0" borderId="4" xfId="0" applyNumberFormat="1" applyFont="1" applyBorder="1" applyAlignment="1">
      <alignment horizontal="center"/>
    </xf>
    <xf numFmtId="0" fontId="18" fillId="0" borderId="12" xfId="0" applyFont="1" applyBorder="1" applyAlignment="1">
      <alignment horizontal="center" vertical="center"/>
    </xf>
    <xf numFmtId="10" fontId="28" fillId="0" borderId="12" xfId="0" applyNumberFormat="1" applyFont="1" applyBorder="1" applyAlignment="1">
      <alignment horizontal="center" vertical="center"/>
    </xf>
    <xf numFmtId="0" fontId="28" fillId="0" borderId="12" xfId="0" applyFont="1" applyBorder="1" applyAlignment="1">
      <alignment horizontal="center" vertical="center"/>
    </xf>
    <xf numFmtId="10" fontId="46" fillId="8" borderId="4" xfId="0" applyNumberFormat="1" applyFont="1" applyFill="1" applyBorder="1" applyAlignment="1">
      <alignment horizontal="center" vertical="center"/>
    </xf>
    <xf numFmtId="0" fontId="48" fillId="0" borderId="0" xfId="5"/>
    <xf numFmtId="0" fontId="50" fillId="0" borderId="0" xfId="5" applyFont="1"/>
    <xf numFmtId="0" fontId="51" fillId="0" borderId="1" xfId="5" applyFont="1" applyBorder="1"/>
    <xf numFmtId="171" fontId="52" fillId="0" borderId="2" xfId="5" applyNumberFormat="1" applyFont="1" applyBorder="1"/>
    <xf numFmtId="171" fontId="52" fillId="0" borderId="44" xfId="5" applyNumberFormat="1" applyFont="1" applyBorder="1" applyAlignment="1">
      <alignment horizontal="center" vertical="center"/>
    </xf>
    <xf numFmtId="0" fontId="51" fillId="0" borderId="3" xfId="5" applyFont="1" applyBorder="1" applyAlignment="1">
      <alignment horizontal="center" vertical="center"/>
    </xf>
    <xf numFmtId="171" fontId="51" fillId="0" borderId="0" xfId="5" applyNumberFormat="1" applyFont="1" applyAlignment="1">
      <alignment horizontal="center" vertical="center"/>
    </xf>
    <xf numFmtId="171" fontId="51" fillId="0" borderId="45" xfId="5" applyNumberFormat="1" applyFont="1" applyBorder="1" applyAlignment="1">
      <alignment horizontal="center" vertical="center"/>
    </xf>
    <xf numFmtId="0" fontId="53" fillId="0" borderId="3" xfId="5" applyFont="1" applyBorder="1"/>
    <xf numFmtId="171" fontId="50" fillId="0" borderId="0" xfId="5" applyNumberFormat="1" applyFont="1"/>
    <xf numFmtId="171" fontId="50" fillId="0" borderId="45" xfId="5" applyNumberFormat="1" applyFont="1" applyBorder="1"/>
    <xf numFmtId="0" fontId="50" fillId="0" borderId="9" xfId="5" applyFont="1" applyBorder="1" applyAlignment="1">
      <alignment horizontal="left" vertical="center"/>
    </xf>
    <xf numFmtId="10" fontId="50" fillId="0" borderId="9" xfId="5" applyNumberFormat="1" applyFont="1" applyBorder="1" applyAlignment="1">
      <alignment horizontal="center" vertical="center"/>
    </xf>
    <xf numFmtId="171" fontId="50" fillId="0" borderId="9" xfId="5" applyNumberFormat="1" applyFont="1" applyBorder="1" applyAlignment="1">
      <alignment horizontal="center" vertical="center"/>
    </xf>
    <xf numFmtId="10" fontId="50" fillId="0" borderId="0" xfId="5" applyNumberFormat="1" applyFont="1"/>
    <xf numFmtId="171" fontId="50" fillId="0" borderId="9" xfId="5" quotePrefix="1" applyNumberFormat="1" applyFont="1" applyBorder="1" applyAlignment="1">
      <alignment horizontal="center" vertical="center"/>
    </xf>
    <xf numFmtId="4" fontId="50" fillId="0" borderId="0" xfId="5" applyNumberFormat="1" applyFont="1"/>
    <xf numFmtId="171" fontId="54" fillId="0" borderId="9" xfId="5" applyNumberFormat="1" applyFont="1" applyBorder="1" applyAlignment="1">
      <alignment horizontal="center" vertical="center"/>
    </xf>
    <xf numFmtId="0" fontId="50" fillId="0" borderId="3" xfId="5" applyFont="1" applyBorder="1"/>
    <xf numFmtId="0" fontId="50" fillId="0" borderId="45" xfId="5" applyFont="1" applyBorder="1"/>
    <xf numFmtId="0" fontId="55" fillId="0" borderId="3" xfId="5" applyFont="1" applyBorder="1" applyAlignment="1">
      <alignment horizontal="center" vertical="center"/>
    </xf>
    <xf numFmtId="4" fontId="49" fillId="0" borderId="4" xfId="5" applyNumberFormat="1" applyFont="1" applyBorder="1" applyAlignment="1">
      <alignment horizontal="center" vertical="center"/>
    </xf>
    <xf numFmtId="171" fontId="56" fillId="0" borderId="45" xfId="5" applyNumberFormat="1" applyFont="1" applyBorder="1" applyAlignment="1">
      <alignment horizontal="center" vertical="center"/>
    </xf>
    <xf numFmtId="10" fontId="56" fillId="0" borderId="45" xfId="6" applyNumberFormat="1" applyFont="1" applyFill="1" applyBorder="1" applyAlignment="1">
      <alignment horizontal="center" vertical="center"/>
    </xf>
    <xf numFmtId="0" fontId="50" fillId="0" borderId="53" xfId="5" applyFont="1" applyBorder="1"/>
    <xf numFmtId="0" fontId="50" fillId="0" borderId="54" xfId="5" applyFont="1" applyBorder="1"/>
    <xf numFmtId="10" fontId="50" fillId="0" borderId="71" xfId="6" applyNumberFormat="1" applyFont="1" applyFill="1" applyBorder="1" applyAlignment="1">
      <alignment horizontal="center" vertical="center"/>
    </xf>
    <xf numFmtId="10" fontId="49" fillId="0" borderId="9" xfId="3" applyNumberFormat="1" applyFont="1" applyBorder="1"/>
    <xf numFmtId="0" fontId="59" fillId="0" borderId="0" xfId="0" applyFont="1"/>
    <xf numFmtId="0" fontId="62" fillId="0" borderId="0" xfId="0" applyFont="1" applyAlignment="1">
      <alignment horizontal="left"/>
    </xf>
    <xf numFmtId="0" fontId="28" fillId="0" borderId="3" xfId="0" applyFont="1" applyBorder="1" applyAlignment="1">
      <alignment vertical="center"/>
    </xf>
    <xf numFmtId="173" fontId="1" fillId="2" borderId="4" xfId="3" applyNumberFormat="1" applyFont="1" applyFill="1" applyBorder="1" applyAlignment="1" applyProtection="1">
      <alignment horizontal="center" vertical="center"/>
      <protection locked="0"/>
    </xf>
    <xf numFmtId="0" fontId="7" fillId="5" borderId="37" xfId="0" applyFont="1" applyFill="1" applyBorder="1" applyAlignment="1">
      <alignment horizontal="right" vertical="center" wrapText="1"/>
    </xf>
    <xf numFmtId="0" fontId="7" fillId="5" borderId="22" xfId="0" applyFont="1" applyFill="1" applyBorder="1" applyAlignment="1">
      <alignment horizontal="right" vertical="center" wrapText="1"/>
    </xf>
    <xf numFmtId="0" fontId="1" fillId="0" borderId="4" xfId="0" applyFont="1" applyBorder="1" applyAlignment="1">
      <alignment horizontal="center"/>
    </xf>
    <xf numFmtId="0" fontId="13" fillId="0" borderId="4" xfId="0" applyFont="1" applyBorder="1" applyAlignment="1">
      <alignment horizontal="left" wrapText="1"/>
    </xf>
    <xf numFmtId="0" fontId="7" fillId="0" borderId="20" xfId="0" applyFont="1" applyBorder="1" applyAlignment="1">
      <alignment horizontal="center" vertical="center" wrapText="1"/>
    </xf>
    <xf numFmtId="0" fontId="7" fillId="5" borderId="32"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38" xfId="0" applyFont="1" applyFill="1" applyBorder="1" applyAlignment="1">
      <alignment horizontal="center" vertical="center" wrapText="1"/>
    </xf>
    <xf numFmtId="0" fontId="7" fillId="5" borderId="39" xfId="0" applyFont="1" applyFill="1" applyBorder="1" applyAlignment="1">
      <alignment horizontal="center" vertical="center" wrapText="1"/>
    </xf>
    <xf numFmtId="0" fontId="17" fillId="4" borderId="35" xfId="0" applyFont="1" applyFill="1" applyBorder="1" applyAlignment="1">
      <alignment horizontal="center" vertical="center" wrapText="1"/>
    </xf>
    <xf numFmtId="0" fontId="13" fillId="0" borderId="4" xfId="0" applyFont="1" applyBorder="1" applyAlignment="1">
      <alignment wrapText="1"/>
    </xf>
    <xf numFmtId="0" fontId="5" fillId="4" borderId="8"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9" fillId="0" borderId="31" xfId="0" applyFont="1" applyBorder="1" applyAlignment="1">
      <alignment horizontal="left" vertical="center" wrapText="1"/>
    </xf>
    <xf numFmtId="0" fontId="7" fillId="5" borderId="33"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7" fillId="5" borderId="36" xfId="0" applyFont="1" applyFill="1" applyBorder="1" applyAlignment="1">
      <alignment horizontal="center" vertical="center" wrapText="1"/>
    </xf>
    <xf numFmtId="0" fontId="3" fillId="0" borderId="0" xfId="0" applyFont="1" applyAlignment="1">
      <alignment horizontal="center" vertical="top"/>
    </xf>
    <xf numFmtId="0" fontId="4"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54" fillId="0" borderId="60" xfId="5" applyFont="1" applyBorder="1" applyAlignment="1">
      <alignment horizontal="center" vertical="center"/>
    </xf>
    <xf numFmtId="0" fontId="54" fillId="0" borderId="64" xfId="5" applyFont="1" applyBorder="1" applyAlignment="1">
      <alignment horizontal="center" vertical="center"/>
    </xf>
    <xf numFmtId="0" fontId="55" fillId="0" borderId="60" xfId="5" applyFont="1" applyBorder="1" applyAlignment="1">
      <alignment horizontal="center" vertical="center"/>
    </xf>
    <xf numFmtId="0" fontId="55" fillId="0" borderId="64" xfId="5" applyFont="1" applyBorder="1" applyAlignment="1">
      <alignment horizontal="center" vertical="center"/>
    </xf>
    <xf numFmtId="0" fontId="50" fillId="0" borderId="60" xfId="5" applyFont="1" applyBorder="1" applyAlignment="1">
      <alignment horizontal="center" vertical="center"/>
    </xf>
    <xf numFmtId="0" fontId="50" fillId="0" borderId="64" xfId="5" applyFont="1" applyBorder="1" applyAlignment="1">
      <alignment horizontal="center" vertical="center"/>
    </xf>
    <xf numFmtId="0" fontId="19" fillId="0" borderId="0" xfId="0" applyFont="1" applyAlignment="1">
      <alignment horizontal="center" vertical="center"/>
    </xf>
    <xf numFmtId="0" fontId="1" fillId="0" borderId="23" xfId="0" applyFont="1" applyBorder="1" applyAlignment="1">
      <alignment horizontal="left" vertical="center"/>
    </xf>
    <xf numFmtId="0" fontId="1" fillId="0" borderId="43" xfId="0" applyFont="1" applyBorder="1" applyAlignment="1">
      <alignment horizontal="left" vertical="center"/>
    </xf>
    <xf numFmtId="0" fontId="5" fillId="0" borderId="33" xfId="0" applyFont="1" applyBorder="1" applyAlignment="1">
      <alignment horizontal="left" vertical="center"/>
    </xf>
    <xf numFmtId="0" fontId="1" fillId="0" borderId="42" xfId="0" applyFont="1" applyBorder="1" applyAlignment="1">
      <alignment horizontal="center"/>
    </xf>
    <xf numFmtId="0" fontId="5" fillId="0" borderId="12" xfId="0" applyFont="1" applyBorder="1" applyAlignment="1">
      <alignment horizontal="left" vertical="center"/>
    </xf>
    <xf numFmtId="0" fontId="5" fillId="12" borderId="4" xfId="0" applyFont="1" applyFill="1" applyBorder="1" applyAlignment="1">
      <alignment horizontal="center" vertical="center" wrapText="1"/>
    </xf>
    <xf numFmtId="0" fontId="5" fillId="12" borderId="23"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left" vertical="center"/>
    </xf>
    <xf numFmtId="2" fontId="1" fillId="10" borderId="4" xfId="0" applyNumberFormat="1" applyFont="1" applyFill="1" applyBorder="1" applyAlignment="1">
      <alignment horizontal="center" vertical="center"/>
    </xf>
    <xf numFmtId="0" fontId="1" fillId="2" borderId="4" xfId="0" applyFont="1" applyFill="1" applyBorder="1" applyAlignment="1" applyProtection="1">
      <alignment horizontal="left" vertical="center"/>
      <protection locked="0"/>
    </xf>
    <xf numFmtId="0" fontId="5" fillId="12" borderId="4" xfId="0" applyFont="1" applyFill="1" applyBorder="1" applyAlignment="1">
      <alignment horizontal="center" vertical="center"/>
    </xf>
    <xf numFmtId="0" fontId="5" fillId="2" borderId="4" xfId="0" applyFont="1" applyFill="1" applyBorder="1" applyAlignment="1" applyProtection="1">
      <alignment horizontal="center" vertical="center"/>
      <protection locked="0"/>
    </xf>
    <xf numFmtId="0" fontId="1" fillId="0" borderId="18" xfId="0" applyFont="1" applyBorder="1" applyAlignment="1">
      <alignment horizontal="left" vertical="center"/>
    </xf>
    <xf numFmtId="0" fontId="1" fillId="0" borderId="4" xfId="0" applyFont="1" applyBorder="1" applyAlignment="1">
      <alignment horizontal="left" vertical="center" wrapText="1"/>
    </xf>
    <xf numFmtId="14" fontId="5" fillId="2" borderId="4" xfId="0" applyNumberFormat="1" applyFont="1" applyFill="1" applyBorder="1" applyAlignment="1" applyProtection="1">
      <alignment horizontal="center" vertical="center"/>
      <protection locked="0"/>
    </xf>
    <xf numFmtId="0" fontId="9" fillId="12" borderId="4" xfId="0" applyFont="1" applyFill="1" applyBorder="1" applyAlignment="1">
      <alignment horizontal="center" vertical="center" wrapText="1"/>
    </xf>
    <xf numFmtId="0" fontId="5" fillId="0" borderId="4" xfId="0" applyFont="1" applyBorder="1" applyAlignment="1">
      <alignment horizontal="center" vertical="center" textRotation="90"/>
    </xf>
    <xf numFmtId="0" fontId="10" fillId="0" borderId="17" xfId="0" applyFont="1" applyBorder="1" applyAlignment="1">
      <alignment horizontal="left" vertical="center"/>
    </xf>
    <xf numFmtId="0" fontId="26" fillId="12" borderId="48" xfId="0" applyFont="1" applyFill="1" applyBorder="1" applyAlignment="1">
      <alignment horizontal="left" vertical="center"/>
    </xf>
    <xf numFmtId="0" fontId="20" fillId="16" borderId="49" xfId="0" applyFont="1" applyFill="1" applyBorder="1" applyAlignment="1">
      <alignment horizontal="justify" wrapText="1"/>
    </xf>
    <xf numFmtId="0" fontId="27" fillId="0" borderId="17" xfId="0" applyFont="1" applyBorder="1" applyAlignment="1">
      <alignment horizontal="left" vertical="center"/>
    </xf>
    <xf numFmtId="0" fontId="26" fillId="12" borderId="20" xfId="0" applyFont="1" applyFill="1" applyBorder="1" applyAlignment="1">
      <alignment horizontal="center" vertical="center"/>
    </xf>
    <xf numFmtId="0" fontId="28" fillId="17" borderId="35" xfId="0" applyFont="1" applyFill="1" applyBorder="1" applyAlignment="1">
      <alignment horizontal="center"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26" fillId="12" borderId="19" xfId="0" applyFont="1" applyFill="1" applyBorder="1" applyAlignment="1">
      <alignment horizontal="left" vertical="center"/>
    </xf>
    <xf numFmtId="0" fontId="26" fillId="0" borderId="17" xfId="0" applyFont="1" applyBorder="1" applyAlignment="1">
      <alignment horizontal="left" vertical="center"/>
    </xf>
    <xf numFmtId="0" fontId="10" fillId="0" borderId="17" xfId="0" applyFont="1" applyBorder="1" applyAlignment="1">
      <alignment horizontal="left" vertical="center" wrapText="1"/>
    </xf>
    <xf numFmtId="0" fontId="26" fillId="12" borderId="17" xfId="0" applyFont="1" applyFill="1" applyBorder="1" applyAlignment="1">
      <alignment horizontal="left" vertical="center"/>
    </xf>
    <xf numFmtId="0" fontId="26" fillId="12" borderId="20" xfId="0" applyFont="1" applyFill="1" applyBorder="1" applyAlignment="1">
      <alignment horizontal="left" vertical="center"/>
    </xf>
    <xf numFmtId="0" fontId="24" fillId="12" borderId="46" xfId="0" applyFont="1" applyFill="1" applyBorder="1" applyAlignment="1">
      <alignment horizontal="center" vertical="center"/>
    </xf>
    <xf numFmtId="0" fontId="7" fillId="15" borderId="15" xfId="0" applyFont="1" applyFill="1" applyBorder="1" applyAlignment="1">
      <alignment horizontal="center" wrapText="1"/>
    </xf>
    <xf numFmtId="0" fontId="7" fillId="12" borderId="20" xfId="0" applyFont="1" applyFill="1" applyBorder="1" applyAlignment="1">
      <alignment horizontal="center" vertical="center"/>
    </xf>
    <xf numFmtId="0" fontId="19" fillId="0" borderId="22" xfId="0" applyFont="1" applyBorder="1" applyAlignment="1">
      <alignment horizontal="center" vertical="center"/>
    </xf>
    <xf numFmtId="0" fontId="21" fillId="12" borderId="46" xfId="0" applyFont="1" applyFill="1" applyBorder="1" applyAlignment="1">
      <alignment horizontal="center" vertical="center"/>
    </xf>
    <xf numFmtId="0" fontId="30" fillId="12" borderId="17"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2" borderId="19" xfId="0" applyFont="1" applyFill="1" applyBorder="1" applyAlignment="1">
      <alignment horizontal="center" vertical="center" wrapText="1"/>
    </xf>
    <xf numFmtId="0" fontId="7" fillId="18" borderId="4" xfId="0" applyFont="1" applyFill="1" applyBorder="1" applyAlignment="1">
      <alignment horizontal="center" vertical="center" wrapText="1"/>
    </xf>
    <xf numFmtId="0" fontId="5" fillId="15" borderId="15" xfId="0" applyFont="1" applyFill="1" applyBorder="1" applyAlignment="1">
      <alignment horizontal="center" vertical="center" wrapText="1"/>
    </xf>
    <xf numFmtId="0" fontId="19" fillId="0" borderId="46" xfId="0" applyFont="1" applyBorder="1" applyAlignment="1">
      <alignment horizontal="center" vertical="center"/>
    </xf>
    <xf numFmtId="0" fontId="7" fillId="15" borderId="20" xfId="0" applyFont="1" applyFill="1" applyBorder="1" applyAlignment="1">
      <alignment horizontal="center" vertical="center" wrapText="1"/>
    </xf>
    <xf numFmtId="49" fontId="5" fillId="12" borderId="22" xfId="0" applyNumberFormat="1" applyFont="1" applyFill="1" applyBorder="1" applyAlignment="1">
      <alignment horizontal="center" vertical="center" wrapText="1"/>
    </xf>
    <xf numFmtId="0" fontId="7" fillId="0" borderId="20" xfId="0" applyFont="1" applyBorder="1" applyAlignment="1">
      <alignment horizontal="center" vertical="center"/>
    </xf>
    <xf numFmtId="49" fontId="5" fillId="12" borderId="22" xfId="0" applyNumberFormat="1" applyFont="1" applyFill="1" applyBorder="1" applyAlignment="1">
      <alignment horizontal="left" vertical="center" wrapText="1"/>
    </xf>
    <xf numFmtId="4" fontId="7" fillId="0" borderId="22" xfId="0" applyNumberFormat="1" applyFont="1" applyBorder="1" applyAlignment="1">
      <alignment horizontal="center" vertical="center"/>
    </xf>
    <xf numFmtId="0" fontId="19" fillId="12" borderId="53" xfId="0" applyFont="1" applyFill="1" applyBorder="1" applyAlignment="1">
      <alignment horizontal="left" vertical="center"/>
    </xf>
    <xf numFmtId="0" fontId="38" fillId="0" borderId="55" xfId="0" applyFont="1" applyBorder="1" applyAlignment="1">
      <alignment horizontal="center" vertical="center"/>
    </xf>
    <xf numFmtId="0" fontId="5" fillId="0" borderId="17" xfId="0" applyFont="1" applyBorder="1" applyAlignment="1">
      <alignment horizontal="center" vertical="center"/>
    </xf>
    <xf numFmtId="4" fontId="7" fillId="0" borderId="17" xfId="0" applyNumberFormat="1" applyFont="1" applyBorder="1" applyAlignment="1">
      <alignment horizontal="center" vertical="center"/>
    </xf>
    <xf numFmtId="0" fontId="9" fillId="0" borderId="17" xfId="0" applyFont="1" applyBorder="1" applyAlignment="1">
      <alignment horizontal="center" vertical="center" wrapText="1"/>
    </xf>
    <xf numFmtId="0" fontId="7" fillId="15" borderId="4" xfId="0" applyFont="1" applyFill="1" applyBorder="1" applyAlignment="1">
      <alignment horizontal="center" vertical="center" wrapText="1"/>
    </xf>
    <xf numFmtId="0" fontId="19" fillId="12" borderId="9" xfId="0" applyFont="1" applyFill="1" applyBorder="1" applyAlignment="1">
      <alignment horizontal="center" vertical="center"/>
    </xf>
    <xf numFmtId="0" fontId="7" fillId="15" borderId="15" xfId="0" applyFont="1" applyFill="1" applyBorder="1" applyAlignment="1">
      <alignment horizontal="center" vertical="center" wrapText="1"/>
    </xf>
    <xf numFmtId="0" fontId="33" fillId="5" borderId="4" xfId="0" applyFont="1" applyFill="1" applyBorder="1" applyAlignment="1">
      <alignment horizontal="center" vertical="center" wrapText="1"/>
    </xf>
    <xf numFmtId="0" fontId="1" fillId="0" borderId="20" xfId="0" applyFont="1" applyBorder="1" applyAlignment="1">
      <alignment horizontal="left" vertical="center"/>
    </xf>
    <xf numFmtId="4" fontId="7" fillId="15" borderId="23" xfId="0" applyNumberFormat="1" applyFont="1" applyFill="1" applyBorder="1" applyAlignment="1">
      <alignment horizontal="center" vertical="center" wrapText="1"/>
    </xf>
    <xf numFmtId="0" fontId="9" fillId="0" borderId="17" xfId="0" applyFont="1" applyBorder="1" applyAlignment="1">
      <alignment horizontal="left" vertical="center"/>
    </xf>
    <xf numFmtId="0" fontId="7" fillId="12" borderId="48" xfId="0" applyFont="1" applyFill="1" applyBorder="1" applyAlignment="1">
      <alignment horizontal="center" vertical="center"/>
    </xf>
    <xf numFmtId="0" fontId="7" fillId="12" borderId="17" xfId="0" applyFont="1" applyFill="1" applyBorder="1" applyAlignment="1">
      <alignment vertical="center"/>
    </xf>
    <xf numFmtId="0" fontId="7" fillId="12" borderId="17" xfId="0" applyFont="1" applyFill="1" applyBorder="1" applyAlignment="1">
      <alignment vertical="center" wrapText="1"/>
    </xf>
    <xf numFmtId="0" fontId="7" fillId="12" borderId="22" xfId="0" applyFont="1" applyFill="1" applyBorder="1" applyAlignment="1">
      <alignment vertical="center"/>
    </xf>
    <xf numFmtId="0" fontId="7" fillId="12" borderId="53" xfId="0" applyFont="1" applyFill="1" applyBorder="1" applyAlignment="1">
      <alignment horizontal="left" vertical="center"/>
    </xf>
    <xf numFmtId="0" fontId="7" fillId="12" borderId="36" xfId="0" applyFont="1" applyFill="1" applyBorder="1" applyAlignment="1">
      <alignment horizontal="center" vertical="center"/>
    </xf>
    <xf numFmtId="0" fontId="7" fillId="12" borderId="5" xfId="0" applyFont="1" applyFill="1" applyBorder="1" applyAlignment="1">
      <alignment horizontal="left" vertical="center"/>
    </xf>
    <xf numFmtId="0" fontId="7" fillId="12" borderId="35" xfId="0" applyFont="1" applyFill="1" applyBorder="1" applyAlignment="1">
      <alignment horizontal="center" vertical="center"/>
    </xf>
    <xf numFmtId="0" fontId="9" fillId="0" borderId="17" xfId="0" applyFont="1" applyBorder="1" applyAlignment="1">
      <alignment horizontal="center" vertical="center"/>
    </xf>
    <xf numFmtId="4" fontId="9" fillId="0" borderId="47" xfId="0" applyNumberFormat="1" applyFont="1" applyBorder="1" applyAlignment="1">
      <alignment horizontal="center" vertical="center" wrapText="1"/>
    </xf>
    <xf numFmtId="0" fontId="9" fillId="0" borderId="17" xfId="0" applyFont="1" applyBorder="1" applyAlignment="1">
      <alignment vertical="center"/>
    </xf>
    <xf numFmtId="0" fontId="9" fillId="0" borderId="48" xfId="0" applyFont="1" applyBorder="1" applyAlignment="1">
      <alignment horizontal="left" vertical="center"/>
    </xf>
    <xf numFmtId="0" fontId="9" fillId="0" borderId="17" xfId="0" applyFont="1" applyBorder="1" applyAlignment="1">
      <alignment horizontal="left" vertical="center" wrapText="1"/>
    </xf>
    <xf numFmtId="0" fontId="7" fillId="12" borderId="60" xfId="0" applyFont="1" applyFill="1" applyBorder="1" applyAlignment="1">
      <alignment horizontal="left" vertical="center"/>
    </xf>
    <xf numFmtId="0" fontId="7" fillId="12" borderId="15" xfId="0" applyFont="1" applyFill="1" applyBorder="1" applyAlignment="1">
      <alignment horizontal="center" vertical="center"/>
    </xf>
    <xf numFmtId="0" fontId="9" fillId="0" borderId="4" xfId="0" applyFont="1" applyBorder="1" applyAlignment="1">
      <alignment horizontal="center" vertical="center"/>
    </xf>
    <xf numFmtId="4" fontId="9" fillId="0" borderId="19" xfId="0" applyNumberFormat="1" applyFont="1" applyBorder="1" applyAlignment="1">
      <alignment horizontal="center" vertical="center"/>
    </xf>
    <xf numFmtId="0" fontId="10" fillId="0" borderId="4" xfId="0" applyFont="1" applyBorder="1" applyAlignment="1">
      <alignment horizontal="center" vertical="center"/>
    </xf>
    <xf numFmtId="4" fontId="10" fillId="0" borderId="19" xfId="0" applyNumberFormat="1" applyFont="1" applyBorder="1" applyAlignment="1">
      <alignment horizontal="center" vertical="center" wrapText="1"/>
    </xf>
    <xf numFmtId="0" fontId="9" fillId="0" borderId="48" xfId="0" applyFont="1" applyBorder="1" applyAlignment="1">
      <alignment horizontal="center" vertical="center"/>
    </xf>
    <xf numFmtId="0" fontId="9" fillId="0" borderId="4" xfId="0" applyFont="1" applyBorder="1" applyAlignment="1">
      <alignment horizontal="left" vertical="center" wrapText="1"/>
    </xf>
    <xf numFmtId="0" fontId="7" fillId="12" borderId="4" xfId="0" applyFont="1" applyFill="1" applyBorder="1" applyAlignment="1">
      <alignment horizontal="left" vertical="center"/>
    </xf>
    <xf numFmtId="0" fontId="9" fillId="0" borderId="59" xfId="0" applyFont="1" applyBorder="1" applyAlignment="1">
      <alignment horizontal="left" vertical="center"/>
    </xf>
    <xf numFmtId="0" fontId="19" fillId="12" borderId="9" xfId="0" applyFont="1" applyFill="1" applyBorder="1" applyAlignment="1">
      <alignment horizontal="center" vertical="center" wrapText="1"/>
    </xf>
    <xf numFmtId="0" fontId="19" fillId="12" borderId="46" xfId="0" applyFont="1" applyFill="1" applyBorder="1" applyAlignment="1">
      <alignment horizontal="center" vertical="center"/>
    </xf>
    <xf numFmtId="0" fontId="2" fillId="0" borderId="49" xfId="0" applyFont="1" applyBorder="1" applyAlignment="1">
      <alignment horizontal="left" vertical="center" wrapText="1"/>
    </xf>
    <xf numFmtId="0" fontId="7" fillId="0" borderId="35" xfId="0" applyFont="1" applyBorder="1" applyAlignment="1">
      <alignment horizontal="left" vertical="center" wrapText="1"/>
    </xf>
    <xf numFmtId="4" fontId="27" fillId="12" borderId="9" xfId="0" applyNumberFormat="1" applyFont="1" applyFill="1" applyBorder="1" applyAlignment="1">
      <alignment horizontal="center" vertical="center" wrapText="1"/>
    </xf>
    <xf numFmtId="0" fontId="7" fillId="12" borderId="56" xfId="0" applyFont="1" applyFill="1" applyBorder="1" applyAlignment="1">
      <alignment horizontal="left" vertical="center" wrapText="1"/>
    </xf>
    <xf numFmtId="0" fontId="9" fillId="12" borderId="35" xfId="0" applyFont="1" applyFill="1" applyBorder="1" applyAlignment="1">
      <alignment horizontal="center" vertical="center" wrapText="1"/>
    </xf>
    <xf numFmtId="0" fontId="9" fillId="0" borderId="46" xfId="0" applyFont="1" applyBorder="1" applyAlignment="1">
      <alignment horizontal="left" vertical="center" wrapText="1"/>
    </xf>
    <xf numFmtId="0" fontId="9" fillId="0" borderId="49" xfId="0" applyFont="1" applyBorder="1" applyAlignment="1">
      <alignment horizontal="left" vertical="top" wrapText="1"/>
    </xf>
    <xf numFmtId="0" fontId="1" fillId="0" borderId="3" xfId="0" applyFont="1" applyBorder="1" applyAlignment="1">
      <alignment horizontal="left" vertical="center" wrapText="1"/>
    </xf>
    <xf numFmtId="0" fontId="7" fillId="0" borderId="5" xfId="0" applyFont="1" applyBorder="1" applyAlignment="1">
      <alignment horizontal="center" vertical="center" textRotation="91"/>
    </xf>
    <xf numFmtId="0" fontId="19" fillId="12" borderId="9" xfId="0" applyFont="1" applyFill="1" applyBorder="1" applyAlignment="1">
      <alignment horizontal="left" vertical="center"/>
    </xf>
    <xf numFmtId="0" fontId="15" fillId="0" borderId="46" xfId="0" applyFont="1" applyBorder="1" applyAlignment="1">
      <alignment horizontal="left"/>
    </xf>
    <xf numFmtId="0" fontId="9" fillId="12" borderId="34" xfId="0" applyFont="1" applyFill="1" applyBorder="1" applyAlignment="1">
      <alignment horizontal="center" vertical="center" wrapText="1"/>
    </xf>
    <xf numFmtId="0" fontId="9" fillId="12" borderId="41" xfId="0" applyFont="1" applyFill="1" applyBorder="1" applyAlignment="1">
      <alignment horizontal="center" vertical="center" wrapText="1"/>
    </xf>
    <xf numFmtId="0" fontId="9" fillId="12" borderId="65" xfId="0" applyFont="1" applyFill="1" applyBorder="1" applyAlignment="1">
      <alignment horizontal="center" vertical="center" wrapText="1"/>
    </xf>
    <xf numFmtId="0" fontId="9" fillId="12" borderId="60" xfId="0" applyFont="1" applyFill="1" applyBorder="1" applyAlignment="1">
      <alignment horizontal="center" vertical="center" wrapText="1"/>
    </xf>
    <xf numFmtId="43" fontId="9" fillId="0" borderId="0" xfId="0" applyNumberFormat="1" applyFont="1" applyAlignment="1">
      <alignment horizontal="center"/>
    </xf>
    <xf numFmtId="0" fontId="21" fillId="20" borderId="20" xfId="0" applyFont="1" applyFill="1" applyBorder="1" applyAlignment="1">
      <alignment horizontal="center" vertical="center" wrapText="1"/>
    </xf>
    <xf numFmtId="0" fontId="5" fillId="0" borderId="20" xfId="0" applyFont="1" applyBorder="1" applyAlignment="1">
      <alignment horizontal="center" vertical="center" wrapText="1"/>
    </xf>
    <xf numFmtId="0" fontId="9" fillId="8" borderId="55" xfId="0" applyFont="1" applyFill="1" applyBorder="1" applyAlignment="1">
      <alignment horizontal="center" vertical="center"/>
    </xf>
    <xf numFmtId="0" fontId="19" fillId="12" borderId="64" xfId="0" applyFont="1" applyFill="1" applyBorder="1" applyAlignment="1">
      <alignment horizontal="center" vertical="center" wrapText="1"/>
    </xf>
    <xf numFmtId="0" fontId="7" fillId="12" borderId="49" xfId="0" applyFont="1" applyFill="1" applyBorder="1" applyAlignment="1">
      <alignment horizontal="center" vertical="center" textRotation="90"/>
    </xf>
    <xf numFmtId="0" fontId="5" fillId="12" borderId="46" xfId="0" applyFont="1" applyFill="1" applyBorder="1" applyAlignment="1">
      <alignment horizontal="center" vertical="center" wrapText="1"/>
    </xf>
    <xf numFmtId="0" fontId="19" fillId="12" borderId="53" xfId="0" applyFont="1" applyFill="1" applyBorder="1" applyAlignment="1">
      <alignment horizontal="center" vertical="center"/>
    </xf>
    <xf numFmtId="0" fontId="19" fillId="12" borderId="49" xfId="0" applyFont="1" applyFill="1" applyBorder="1" applyAlignment="1">
      <alignment horizontal="center" vertical="center" wrapText="1"/>
    </xf>
    <xf numFmtId="0" fontId="5" fillId="12" borderId="65" xfId="0" applyFont="1" applyFill="1" applyBorder="1" applyAlignment="1">
      <alignment horizontal="center" vertical="center" wrapText="1"/>
    </xf>
    <xf numFmtId="0" fontId="5" fillId="12" borderId="9" xfId="0" applyFont="1" applyFill="1" applyBorder="1" applyAlignment="1">
      <alignment horizontal="center" vertical="center" wrapText="1"/>
    </xf>
    <xf numFmtId="0" fontId="5" fillId="12" borderId="36" xfId="0" applyFont="1" applyFill="1" applyBorder="1" applyAlignment="1">
      <alignment horizontal="center" vertical="center" wrapText="1"/>
    </xf>
    <xf numFmtId="0" fontId="7" fillId="12" borderId="36" xfId="0" applyFont="1" applyFill="1" applyBorder="1" applyAlignment="1">
      <alignment horizontal="center" vertical="center" wrapText="1"/>
    </xf>
    <xf numFmtId="0" fontId="9" fillId="12" borderId="37" xfId="0" applyFont="1" applyFill="1" applyBorder="1" applyAlignment="1">
      <alignment horizontal="center" vertical="center" wrapText="1"/>
    </xf>
    <xf numFmtId="0" fontId="18" fillId="12" borderId="66" xfId="0" applyFont="1" applyFill="1" applyBorder="1" applyAlignment="1">
      <alignment horizontal="center" vertical="center" wrapText="1"/>
    </xf>
    <xf numFmtId="0" fontId="58" fillId="23" borderId="35" xfId="0" applyFont="1" applyFill="1" applyBorder="1" applyAlignment="1">
      <alignment horizontal="center" vertical="center"/>
    </xf>
    <xf numFmtId="0" fontId="59" fillId="0" borderId="17" xfId="0" applyFont="1" applyBorder="1" applyAlignment="1">
      <alignment horizontal="left" vertical="center"/>
    </xf>
    <xf numFmtId="0" fontId="58" fillId="0" borderId="18" xfId="0" applyFont="1" applyBorder="1" applyAlignment="1">
      <alignment horizontal="left" vertical="center"/>
    </xf>
    <xf numFmtId="0" fontId="58" fillId="0" borderId="52" xfId="0" applyFont="1" applyBorder="1" applyAlignment="1">
      <alignment horizontal="left" vertical="center"/>
    </xf>
    <xf numFmtId="0" fontId="58" fillId="0" borderId="47" xfId="0" applyFont="1" applyBorder="1" applyAlignment="1">
      <alignment horizontal="left" vertical="center"/>
    </xf>
    <xf numFmtId="0" fontId="60" fillId="0" borderId="18" xfId="8" applyFont="1" applyBorder="1" applyAlignment="1">
      <alignment horizontal="left"/>
    </xf>
    <xf numFmtId="0" fontId="60" fillId="0" borderId="52" xfId="8" applyFont="1" applyBorder="1" applyAlignment="1">
      <alignment horizontal="left"/>
    </xf>
    <xf numFmtId="0" fontId="60" fillId="0" borderId="47" xfId="8" applyFont="1" applyBorder="1" applyAlignment="1">
      <alignment horizontal="left"/>
    </xf>
    <xf numFmtId="0" fontId="59" fillId="0" borderId="28" xfId="0" applyFont="1" applyBorder="1" applyAlignment="1">
      <alignment horizontal="left" vertical="center"/>
    </xf>
    <xf numFmtId="0" fontId="61" fillId="0" borderId="27" xfId="8" applyFont="1" applyBorder="1" applyAlignment="1">
      <alignment horizontal="left"/>
    </xf>
    <xf numFmtId="0" fontId="61" fillId="0" borderId="54" xfId="8" applyFont="1" applyBorder="1" applyAlignment="1">
      <alignment horizontal="left"/>
    </xf>
    <xf numFmtId="0" fontId="61" fillId="0" borderId="71" xfId="8" applyFont="1" applyBorder="1" applyAlignment="1">
      <alignment horizontal="left"/>
    </xf>
    <xf numFmtId="0" fontId="58" fillId="0" borderId="18" xfId="0" quotePrefix="1" applyFont="1" applyBorder="1" applyAlignment="1">
      <alignment horizontal="left" vertical="center"/>
    </xf>
    <xf numFmtId="0" fontId="58" fillId="0" borderId="52" xfId="0" quotePrefix="1" applyFont="1" applyBorder="1" applyAlignment="1">
      <alignment horizontal="left" vertical="center"/>
    </xf>
    <xf numFmtId="0" fontId="58" fillId="0" borderId="47" xfId="0" quotePrefix="1" applyFont="1" applyBorder="1" applyAlignment="1">
      <alignment horizontal="left" vertical="center"/>
    </xf>
    <xf numFmtId="0" fontId="14" fillId="0" borderId="17" xfId="0" applyFont="1" applyBorder="1" applyAlignment="1">
      <alignment horizontal="left" vertical="center"/>
    </xf>
    <xf numFmtId="0" fontId="14" fillId="12" borderId="9" xfId="0" applyFont="1" applyFill="1" applyBorder="1" applyAlignment="1">
      <alignment horizontal="center" vertical="center"/>
    </xf>
    <xf numFmtId="0" fontId="14" fillId="8" borderId="9" xfId="0" applyFont="1" applyFill="1" applyBorder="1" applyAlignment="1">
      <alignment horizontal="center" vertical="center"/>
    </xf>
    <xf numFmtId="0" fontId="14" fillId="12" borderId="14" xfId="0" applyFont="1" applyFill="1" applyBorder="1" applyAlignment="1">
      <alignment horizontal="center" vertical="center"/>
    </xf>
    <xf numFmtId="0" fontId="7" fillId="0" borderId="4" xfId="0" applyFont="1" applyBorder="1" applyAlignment="1">
      <alignment horizontal="left" vertical="center" wrapText="1"/>
    </xf>
    <xf numFmtId="0" fontId="14" fillId="12" borderId="19" xfId="0" applyFont="1" applyFill="1" applyBorder="1" applyAlignment="1">
      <alignment horizontal="center" vertical="center"/>
    </xf>
    <xf numFmtId="0" fontId="9" fillId="0" borderId="4" xfId="0" applyFont="1" applyBorder="1" applyAlignment="1">
      <alignment horizontal="left" vertical="center"/>
    </xf>
    <xf numFmtId="0" fontId="14" fillId="12" borderId="4" xfId="0" applyFont="1" applyFill="1" applyBorder="1" applyAlignment="1">
      <alignment horizontal="left" vertical="center" wrapText="1"/>
    </xf>
    <xf numFmtId="0" fontId="44" fillId="22" borderId="7" xfId="0" applyFont="1" applyFill="1" applyBorder="1" applyAlignment="1">
      <alignment horizontal="left" vertical="center"/>
    </xf>
    <xf numFmtId="0" fontId="9" fillId="0" borderId="12" xfId="0" applyFont="1" applyBorder="1" applyAlignment="1">
      <alignment horizontal="left" vertical="center"/>
    </xf>
    <xf numFmtId="0" fontId="14" fillId="0" borderId="17" xfId="0" applyFont="1" applyBorder="1" applyAlignment="1">
      <alignment horizontal="left" vertical="center" wrapText="1"/>
    </xf>
    <xf numFmtId="0" fontId="42" fillId="12" borderId="49" xfId="0" applyFont="1" applyFill="1" applyBorder="1" applyAlignment="1">
      <alignment horizontal="center" vertical="center" wrapText="1"/>
    </xf>
    <xf numFmtId="0" fontId="27" fillId="8" borderId="9" xfId="0" applyFont="1" applyFill="1" applyBorder="1" applyAlignment="1">
      <alignment horizontal="center" vertical="center"/>
    </xf>
    <xf numFmtId="10" fontId="14" fillId="8" borderId="36" xfId="0" applyNumberFormat="1" applyFont="1" applyFill="1" applyBorder="1" applyAlignment="1">
      <alignment horizontal="center" vertical="center"/>
    </xf>
    <xf numFmtId="0" fontId="14" fillId="8" borderId="36" xfId="0" applyFont="1" applyFill="1" applyBorder="1" applyAlignment="1">
      <alignment horizontal="left" vertical="center" wrapText="1"/>
    </xf>
    <xf numFmtId="0" fontId="43" fillId="8" borderId="36" xfId="0" applyFont="1" applyFill="1" applyBorder="1" applyAlignment="1">
      <alignment horizontal="center" vertical="center"/>
    </xf>
    <xf numFmtId="0" fontId="28" fillId="18" borderId="4" xfId="0" applyFont="1" applyFill="1" applyBorder="1" applyAlignment="1">
      <alignment horizontal="center" vertical="center"/>
    </xf>
    <xf numFmtId="0" fontId="27" fillId="0" borderId="21" xfId="0" applyFont="1" applyBorder="1" applyAlignment="1">
      <alignment horizontal="left" vertical="center"/>
    </xf>
    <xf numFmtId="0" fontId="19" fillId="18" borderId="4" xfId="0" applyFont="1" applyFill="1" applyBorder="1" applyAlignment="1">
      <alignment horizontal="center" vertical="center" wrapText="1"/>
    </xf>
  </cellXfs>
  <cellStyles count="9">
    <cellStyle name="Hiperlink" xfId="8" builtinId="8"/>
    <cellStyle name="Moeda" xfId="2" builtinId="4"/>
    <cellStyle name="Normal" xfId="0" builtinId="0"/>
    <cellStyle name="Normal 5" xfId="5" xr:uid="{A6BC4F9B-EACA-4D34-909F-FF1480D8039D}"/>
    <cellStyle name="Porcentagem" xfId="3" builtinId="5"/>
    <cellStyle name="Porcentagem 3" xfId="6" xr:uid="{FA297F52-51FF-4595-BAFE-EEDE9D621AAA}"/>
    <cellStyle name="Texto Explicativo" xfId="4" builtinId="53" customBuiltin="1"/>
    <cellStyle name="Vírgula" xfId="1" builtinId="3"/>
    <cellStyle name="Vírgula 3" xfId="7" xr:uid="{30894D4B-0F2F-4315-ABA9-B774B568651C}"/>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D9D9D9"/>
      <rgbColor rgb="FF993366"/>
      <rgbColor rgb="FFFFFFCC"/>
      <rgbColor rgb="FFDEEBF7"/>
      <rgbColor rgb="FF660066"/>
      <rgbColor rgb="FFF2DCDB"/>
      <rgbColor rgb="FF0066CC"/>
      <rgbColor rgb="FFBDD7EE"/>
      <rgbColor rgb="FF000080"/>
      <rgbColor rgb="FFFF00FF"/>
      <rgbColor rgb="FFFFF2CC"/>
      <rgbColor rgb="FF00FFFF"/>
      <rgbColor rgb="FF800080"/>
      <rgbColor rgb="FFC00000"/>
      <rgbColor rgb="FF008080"/>
      <rgbColor rgb="FF0000FF"/>
      <rgbColor rgb="FF00B0F0"/>
      <rgbColor rgb="FFC6EFCE"/>
      <rgbColor rgb="FFCCFFCC"/>
      <rgbColor rgb="FFFFFF99"/>
      <rgbColor rgb="FFADB9CA"/>
      <rgbColor rgb="FFFFC7CE"/>
      <rgbColor rgb="FFBFBFBF"/>
      <rgbColor rgb="FFF8CBAD"/>
      <rgbColor rgb="FF3366CC"/>
      <rgbColor rgb="FF33CCCC"/>
      <rgbColor rgb="FFF2F2F2"/>
      <rgbColor rgb="FFFFD966"/>
      <rgbColor rgb="FFFF9900"/>
      <rgbColor rgb="FFFF6600"/>
      <rgbColor rgb="FF606060"/>
      <rgbColor rgb="FFDCE6F2"/>
      <rgbColor rgb="FF10243E"/>
      <rgbColor rgb="FF339966"/>
      <rgbColor rgb="FF003300"/>
      <rgbColor rgb="FF333300"/>
      <rgbColor rgb="FF993300"/>
      <rgbColor rgb="FF993366"/>
      <rgbColor rgb="FF59595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38160</xdr:colOff>
      <xdr:row>0</xdr:row>
      <xdr:rowOff>76320</xdr:rowOff>
    </xdr:from>
    <xdr:to>
      <xdr:col>0</xdr:col>
      <xdr:colOff>447480</xdr:colOff>
      <xdr:row>2</xdr:row>
      <xdr:rowOff>82440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8160" y="76320"/>
          <a:ext cx="409320" cy="472680"/>
        </a:xfrm>
        <a:prstGeom prst="rect">
          <a:avLst/>
        </a:prstGeom>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577800</xdr:colOff>
      <xdr:row>2</xdr:row>
      <xdr:rowOff>130320</xdr:rowOff>
    </xdr:to>
    <xdr:pic>
      <xdr:nvPicPr>
        <xdr:cNvPr id="9" name="Picture 1">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a:stretch/>
      </xdr:blipFill>
      <xdr:spPr>
        <a:xfrm>
          <a:off x="171360" y="38160"/>
          <a:ext cx="406440" cy="457920"/>
        </a:xfrm>
        <a:prstGeom prst="rect">
          <a:avLst/>
        </a:prstGeom>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577800</xdr:colOff>
      <xdr:row>2</xdr:row>
      <xdr:rowOff>130320</xdr:rowOff>
    </xdr:to>
    <xdr:pic>
      <xdr:nvPicPr>
        <xdr:cNvPr id="10" name="Picture 1">
          <a:extLst>
            <a:ext uri="{FF2B5EF4-FFF2-40B4-BE49-F238E27FC236}">
              <a16:creationId xmlns:a16="http://schemas.microsoft.com/office/drawing/2014/main" id="{00000000-0008-0000-0A00-00000A000000}"/>
            </a:ext>
          </a:extLst>
        </xdr:cNvPr>
        <xdr:cNvPicPr/>
      </xdr:nvPicPr>
      <xdr:blipFill>
        <a:blip xmlns:r="http://schemas.openxmlformats.org/officeDocument/2006/relationships" r:embed="rId1"/>
        <a:stretch/>
      </xdr:blipFill>
      <xdr:spPr>
        <a:xfrm>
          <a:off x="171360" y="38160"/>
          <a:ext cx="406440" cy="457920"/>
        </a:xfrm>
        <a:prstGeom prst="rect">
          <a:avLst/>
        </a:prstGeom>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577800</xdr:colOff>
      <xdr:row>2</xdr:row>
      <xdr:rowOff>130320</xdr:rowOff>
    </xdr:to>
    <xdr:pic>
      <xdr:nvPicPr>
        <xdr:cNvPr id="11" name="Picture 1">
          <a:extLst>
            <a:ext uri="{FF2B5EF4-FFF2-40B4-BE49-F238E27FC236}">
              <a16:creationId xmlns:a16="http://schemas.microsoft.com/office/drawing/2014/main" id="{00000000-0008-0000-0B00-00000B000000}"/>
            </a:ext>
          </a:extLst>
        </xdr:cNvPr>
        <xdr:cNvPicPr/>
      </xdr:nvPicPr>
      <xdr:blipFill>
        <a:blip xmlns:r="http://schemas.openxmlformats.org/officeDocument/2006/relationships" r:embed="rId1"/>
        <a:stretch/>
      </xdr:blipFill>
      <xdr:spPr>
        <a:xfrm>
          <a:off x="171360" y="38160"/>
          <a:ext cx="406440" cy="457920"/>
        </a:xfrm>
        <a:prstGeom prst="rect">
          <a:avLst/>
        </a:prstGeom>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577800</xdr:colOff>
      <xdr:row>2</xdr:row>
      <xdr:rowOff>130320</xdr:rowOff>
    </xdr:to>
    <xdr:pic>
      <xdr:nvPicPr>
        <xdr:cNvPr id="12" name="Picture 1">
          <a:extLst>
            <a:ext uri="{FF2B5EF4-FFF2-40B4-BE49-F238E27FC236}">
              <a16:creationId xmlns:a16="http://schemas.microsoft.com/office/drawing/2014/main" id="{00000000-0008-0000-0C00-00000C000000}"/>
            </a:ext>
          </a:extLst>
        </xdr:cNvPr>
        <xdr:cNvPicPr/>
      </xdr:nvPicPr>
      <xdr:blipFill>
        <a:blip xmlns:r="http://schemas.openxmlformats.org/officeDocument/2006/relationships" r:embed="rId1"/>
        <a:stretch/>
      </xdr:blipFill>
      <xdr:spPr>
        <a:xfrm>
          <a:off x="171360" y="38160"/>
          <a:ext cx="406440" cy="457920"/>
        </a:xfrm>
        <a:prstGeom prst="rect">
          <a:avLst/>
        </a:prstGeom>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257040</xdr:colOff>
      <xdr:row>0</xdr:row>
      <xdr:rowOff>66600</xdr:rowOff>
    </xdr:from>
    <xdr:to>
      <xdr:col>0</xdr:col>
      <xdr:colOff>663480</xdr:colOff>
      <xdr:row>2</xdr:row>
      <xdr:rowOff>101520</xdr:rowOff>
    </xdr:to>
    <xdr:pic>
      <xdr:nvPicPr>
        <xdr:cNvPr id="13" name="Picture 1">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1"/>
        <a:stretch/>
      </xdr:blipFill>
      <xdr:spPr>
        <a:xfrm>
          <a:off x="257040" y="66600"/>
          <a:ext cx="406440" cy="415920"/>
        </a:xfrm>
        <a:prstGeom prst="rect">
          <a:avLst/>
        </a:prstGeom>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397080</xdr:colOff>
      <xdr:row>2</xdr:row>
      <xdr:rowOff>25560</xdr:rowOff>
    </xdr:to>
    <xdr:pic>
      <xdr:nvPicPr>
        <xdr:cNvPr id="14" name="Picture 1">
          <a:extLst>
            <a:ext uri="{FF2B5EF4-FFF2-40B4-BE49-F238E27FC236}">
              <a16:creationId xmlns:a16="http://schemas.microsoft.com/office/drawing/2014/main" id="{00000000-0008-0000-0E00-00000E000000}"/>
            </a:ext>
          </a:extLst>
        </xdr:cNvPr>
        <xdr:cNvPicPr/>
      </xdr:nvPicPr>
      <xdr:blipFill>
        <a:blip xmlns:r="http://schemas.openxmlformats.org/officeDocument/2006/relationships" r:embed="rId1"/>
        <a:stretch/>
      </xdr:blipFill>
      <xdr:spPr>
        <a:xfrm>
          <a:off x="95400" y="57240"/>
          <a:ext cx="301680" cy="334080"/>
        </a:xfrm>
        <a:prstGeom prst="rect">
          <a:avLst/>
        </a:prstGeom>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142920</xdr:colOff>
      <xdr:row>0</xdr:row>
      <xdr:rowOff>38160</xdr:rowOff>
    </xdr:from>
    <xdr:to>
      <xdr:col>0</xdr:col>
      <xdr:colOff>453960</xdr:colOff>
      <xdr:row>2</xdr:row>
      <xdr:rowOff>130320</xdr:rowOff>
    </xdr:to>
    <xdr:pic>
      <xdr:nvPicPr>
        <xdr:cNvPr id="15" name="Picture 1">
          <a:extLst>
            <a:ext uri="{FF2B5EF4-FFF2-40B4-BE49-F238E27FC236}">
              <a16:creationId xmlns:a16="http://schemas.microsoft.com/office/drawing/2014/main" id="{00000000-0008-0000-0F00-00000F000000}"/>
            </a:ext>
          </a:extLst>
        </xdr:cNvPr>
        <xdr:cNvPicPr/>
      </xdr:nvPicPr>
      <xdr:blipFill>
        <a:blip xmlns:r="http://schemas.openxmlformats.org/officeDocument/2006/relationships" r:embed="rId1"/>
        <a:stretch/>
      </xdr:blipFill>
      <xdr:spPr>
        <a:xfrm>
          <a:off x="142920" y="38160"/>
          <a:ext cx="311040" cy="45792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399960</xdr:colOff>
      <xdr:row>2</xdr:row>
      <xdr:rowOff>25560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95400" y="57240"/>
          <a:ext cx="304560" cy="33408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112680</xdr:colOff>
      <xdr:row>0</xdr:row>
      <xdr:rowOff>56160</xdr:rowOff>
    </xdr:from>
    <xdr:to>
      <xdr:col>0</xdr:col>
      <xdr:colOff>568440</xdr:colOff>
      <xdr:row>2</xdr:row>
      <xdr:rowOff>203505</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112680" y="56160"/>
          <a:ext cx="455760" cy="51120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47520</xdr:colOff>
      <xdr:row>0</xdr:row>
      <xdr:rowOff>0</xdr:rowOff>
    </xdr:from>
    <xdr:to>
      <xdr:col>0</xdr:col>
      <xdr:colOff>453960</xdr:colOff>
      <xdr:row>2</xdr:row>
      <xdr:rowOff>92160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47520" y="0"/>
          <a:ext cx="406440" cy="457920"/>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67320</xdr:colOff>
      <xdr:row>0</xdr:row>
      <xdr:rowOff>111960</xdr:rowOff>
    </xdr:from>
    <xdr:to>
      <xdr:col>1</xdr:col>
      <xdr:colOff>21600</xdr:colOff>
      <xdr:row>2</xdr:row>
      <xdr:rowOff>41400</xdr:rowOff>
    </xdr:to>
    <xdr:pic>
      <xdr:nvPicPr>
        <xdr:cNvPr id="4" name="Picture 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67320" y="111960"/>
          <a:ext cx="307080" cy="338760"/>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38160</xdr:colOff>
      <xdr:row>0</xdr:row>
      <xdr:rowOff>85680</xdr:rowOff>
    </xdr:from>
    <xdr:to>
      <xdr:col>0</xdr:col>
      <xdr:colOff>358920</xdr:colOff>
      <xdr:row>2</xdr:row>
      <xdr:rowOff>101520</xdr:rowOff>
    </xdr:to>
    <xdr:pic>
      <xdr:nvPicPr>
        <xdr:cNvPr id="5" name="Picture 1">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stretch/>
      </xdr:blipFill>
      <xdr:spPr>
        <a:xfrm>
          <a:off x="38160" y="85680"/>
          <a:ext cx="320760" cy="301320"/>
        </a:xfrm>
        <a:prstGeom prst="rect">
          <a:avLst/>
        </a:prstGeom>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38160</xdr:colOff>
      <xdr:row>0</xdr:row>
      <xdr:rowOff>85680</xdr:rowOff>
    </xdr:from>
    <xdr:to>
      <xdr:col>0</xdr:col>
      <xdr:colOff>358920</xdr:colOff>
      <xdr:row>2</xdr:row>
      <xdr:rowOff>101520</xdr:rowOff>
    </xdr:to>
    <xdr:pic>
      <xdr:nvPicPr>
        <xdr:cNvPr id="6" name="Picture 1">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a:stretch/>
      </xdr:blipFill>
      <xdr:spPr>
        <a:xfrm>
          <a:off x="38160" y="85680"/>
          <a:ext cx="320760" cy="301320"/>
        </a:xfrm>
        <a:prstGeom prst="rect">
          <a:avLst/>
        </a:prstGeom>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264600</xdr:colOff>
      <xdr:row>0</xdr:row>
      <xdr:rowOff>52200</xdr:rowOff>
    </xdr:from>
    <xdr:to>
      <xdr:col>0</xdr:col>
      <xdr:colOff>635760</xdr:colOff>
      <xdr:row>2</xdr:row>
      <xdr:rowOff>79560</xdr:rowOff>
    </xdr:to>
    <xdr:pic>
      <xdr:nvPicPr>
        <xdr:cNvPr id="7" name="Picture 1">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1"/>
        <a:stretch/>
      </xdr:blipFill>
      <xdr:spPr>
        <a:xfrm>
          <a:off x="264600" y="52200"/>
          <a:ext cx="371160" cy="351000"/>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577800</xdr:colOff>
      <xdr:row>2</xdr:row>
      <xdr:rowOff>130320</xdr:rowOff>
    </xdr:to>
    <xdr:pic>
      <xdr:nvPicPr>
        <xdr:cNvPr id="8" name="Picture 1">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a:stretch/>
      </xdr:blipFill>
      <xdr:spPr>
        <a:xfrm>
          <a:off x="171360" y="38160"/>
          <a:ext cx="406440" cy="45792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ervidor\COMERCIAL\01%20-%20Comercial%20P&#250;blico\04%20-%20Licita&#231;&#245;es%202024\MG\TRF%206&#170;%20REGI&#195;O\PLANILHA_MODELO___Versao_Licitacao___SJDR__atualizada_1.xlsx" TargetMode="External"/><Relationship Id="rId1" Type="http://schemas.openxmlformats.org/officeDocument/2006/relationships/externalLinkPath" Target="file:///\\servidor\COMERCIAL\01%20-%20Comercial%20P&#250;blico\04%20-%20Licita&#231;&#245;es%202024\MG\TRF%206&#170;%20REGI&#195;O\PLANILHA_MODELO___Versao_Licitacao___SJDR__atualizada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corrências Mensais - FAT"/>
      <sheetName val="INSTRUÇÕES"/>
      <sheetName val="Dados"/>
      <sheetName val="Encargos"/>
      <sheetName val="Mat"/>
      <sheetName val="Equip"/>
      <sheetName val="Unif"/>
      <sheetName val="Serv Ins"/>
      <sheetName val="Serv Cop."/>
      <sheetName val="Adm. Zel."/>
      <sheetName val="Resumo"/>
      <sheetName val="Receita "/>
      <sheetName val="Custo Substituto"/>
      <sheetName val="IPCA"/>
    </sheetNames>
    <sheetDataSet>
      <sheetData sheetId="0"/>
      <sheetData sheetId="1"/>
      <sheetData sheetId="2"/>
      <sheetData sheetId="3">
        <row r="18">
          <cell r="C18">
            <v>0.35200000000000009</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COMERCIAL@VILLAGESERVICOS.COM.BR" TargetMode="External"/><Relationship Id="rId1" Type="http://schemas.openxmlformats.org/officeDocument/2006/relationships/hyperlink" Target="mailto:COMERCIAL@VILLAGESERVICOS.COM.BR" TargetMode="External"/><Relationship Id="rId4"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97"/>
  <sheetViews>
    <sheetView showGridLines="0" zoomScale="115" zoomScaleNormal="115" workbookViewId="0">
      <selection activeCell="A4" sqref="A4"/>
    </sheetView>
  </sheetViews>
  <sheetFormatPr defaultRowHeight="15" x14ac:dyDescent="0.25"/>
  <cols>
    <col min="1" max="1" width="6.28515625" style="2" customWidth="1"/>
    <col min="2" max="2" width="41.42578125" style="2" customWidth="1"/>
    <col min="3" max="3" width="7.85546875" style="2" customWidth="1"/>
    <col min="4" max="4" width="16.28515625" style="2" customWidth="1"/>
    <col min="5" max="5" width="12.85546875" style="2" customWidth="1"/>
    <col min="6" max="6" width="16.28515625" style="2" customWidth="1"/>
    <col min="7" max="7" width="17.7109375" style="2" customWidth="1"/>
    <col min="8" max="8" width="20" style="2" customWidth="1"/>
    <col min="9" max="10" width="16.28515625" style="2" customWidth="1"/>
    <col min="11" max="12" width="13.85546875" style="3" customWidth="1"/>
    <col min="13" max="13" width="14.28515625" style="3" customWidth="1"/>
    <col min="14" max="14" width="15.42578125" style="2" customWidth="1"/>
    <col min="15" max="15" width="12.85546875" style="2" customWidth="1"/>
    <col min="16" max="16" width="16.42578125" style="2" customWidth="1"/>
    <col min="17" max="17" width="13.42578125" style="2" customWidth="1"/>
    <col min="18" max="18" width="16.42578125" style="4" customWidth="1"/>
    <col min="19" max="19" width="10.140625" style="4" customWidth="1"/>
    <col min="20" max="20" width="13.28515625" style="4" customWidth="1"/>
    <col min="21" max="21" width="13.85546875" style="4" customWidth="1"/>
    <col min="22" max="22" width="13.7109375" style="4" customWidth="1"/>
    <col min="23" max="23" width="12.28515625" style="4" customWidth="1"/>
    <col min="24" max="256" width="9.140625" style="2" customWidth="1"/>
    <col min="257" max="257" width="6.28515625" style="2" customWidth="1"/>
    <col min="258" max="258" width="41.42578125" style="2" customWidth="1"/>
    <col min="259" max="259" width="7.85546875" style="2" customWidth="1"/>
    <col min="260" max="260" width="16.28515625" style="2" customWidth="1"/>
    <col min="261" max="261" width="12.85546875" style="2" customWidth="1"/>
    <col min="262" max="263" width="16.28515625" style="2" customWidth="1"/>
    <col min="264" max="264" width="13.28515625" style="2" customWidth="1"/>
    <col min="265" max="266" width="16.28515625" style="2" customWidth="1"/>
    <col min="267" max="268" width="13.85546875" style="2" customWidth="1"/>
    <col min="269" max="269" width="13" style="2" customWidth="1"/>
    <col min="270" max="270" width="13.5703125" style="2" customWidth="1"/>
    <col min="271" max="271" width="12.85546875" style="2" customWidth="1"/>
    <col min="272" max="272" width="14.140625" style="2" customWidth="1"/>
    <col min="273" max="273" width="12" style="2" customWidth="1"/>
    <col min="274" max="274" width="13" style="2" customWidth="1"/>
    <col min="275" max="275" width="11.85546875" style="2" customWidth="1"/>
    <col min="276" max="276" width="13.28515625" style="2" customWidth="1"/>
    <col min="277" max="277" width="12.28515625" style="2" customWidth="1"/>
    <col min="278" max="278" width="12.42578125" style="2" customWidth="1"/>
    <col min="279" max="279" width="10.5703125" style="2" customWidth="1"/>
    <col min="280" max="512" width="9.140625" style="2" customWidth="1"/>
    <col min="513" max="513" width="6.28515625" style="2" customWidth="1"/>
    <col min="514" max="514" width="41.42578125" style="2" customWidth="1"/>
    <col min="515" max="515" width="7.85546875" style="2" customWidth="1"/>
    <col min="516" max="516" width="16.28515625" style="2" customWidth="1"/>
    <col min="517" max="517" width="12.85546875" style="2" customWidth="1"/>
    <col min="518" max="519" width="16.28515625" style="2" customWidth="1"/>
    <col min="520" max="520" width="13.28515625" style="2" customWidth="1"/>
    <col min="521" max="522" width="16.28515625" style="2" customWidth="1"/>
    <col min="523" max="524" width="13.85546875" style="2" customWidth="1"/>
    <col min="525" max="525" width="13" style="2" customWidth="1"/>
    <col min="526" max="526" width="13.5703125" style="2" customWidth="1"/>
    <col min="527" max="527" width="12.85546875" style="2" customWidth="1"/>
    <col min="528" max="528" width="14.140625" style="2" customWidth="1"/>
    <col min="529" max="529" width="12" style="2" customWidth="1"/>
    <col min="530" max="530" width="13" style="2" customWidth="1"/>
    <col min="531" max="531" width="11.85546875" style="2" customWidth="1"/>
    <col min="532" max="532" width="13.28515625" style="2" customWidth="1"/>
    <col min="533" max="533" width="12.28515625" style="2" customWidth="1"/>
    <col min="534" max="534" width="12.42578125" style="2" customWidth="1"/>
    <col min="535" max="535" width="10.5703125" style="2" customWidth="1"/>
    <col min="536" max="768" width="9.140625" style="2" customWidth="1"/>
    <col min="769" max="769" width="6.28515625" style="2" customWidth="1"/>
    <col min="770" max="770" width="41.42578125" style="2" customWidth="1"/>
    <col min="771" max="771" width="7.85546875" style="2" customWidth="1"/>
    <col min="772" max="772" width="16.28515625" style="2" customWidth="1"/>
    <col min="773" max="773" width="12.85546875" style="2" customWidth="1"/>
    <col min="774" max="775" width="16.28515625" style="2" customWidth="1"/>
    <col min="776" max="776" width="13.28515625" style="2" customWidth="1"/>
    <col min="777" max="778" width="16.28515625" style="2" customWidth="1"/>
    <col min="779" max="780" width="13.85546875" style="2" customWidth="1"/>
    <col min="781" max="781" width="13" style="2" customWidth="1"/>
    <col min="782" max="782" width="13.5703125" style="2" customWidth="1"/>
    <col min="783" max="783" width="12.85546875" style="2" customWidth="1"/>
    <col min="784" max="784" width="14.140625" style="2" customWidth="1"/>
    <col min="785" max="785" width="12" style="2" customWidth="1"/>
    <col min="786" max="786" width="13" style="2" customWidth="1"/>
    <col min="787" max="787" width="11.85546875" style="2" customWidth="1"/>
    <col min="788" max="788" width="13.28515625" style="2" customWidth="1"/>
    <col min="789" max="789" width="12.28515625" style="2" customWidth="1"/>
    <col min="790" max="790" width="12.42578125" style="2" customWidth="1"/>
    <col min="791" max="791" width="10.5703125" style="2" customWidth="1"/>
    <col min="792" max="1025" width="9.140625" style="2" customWidth="1"/>
  </cols>
  <sheetData>
    <row r="1" spans="1:23" ht="17.25" customHeight="1" x14ac:dyDescent="0.25">
      <c r="A1" s="5"/>
      <c r="B1" s="6" t="str">
        <f>INSTRUÇÕES!B1</f>
        <v>Tribunal Regional Federal da 6ª Região</v>
      </c>
      <c r="T1" s="7"/>
      <c r="U1" s="7"/>
      <c r="V1" s="7"/>
    </row>
    <row r="2" spans="1:23" s="12" customFormat="1" ht="19.5" customHeight="1" x14ac:dyDescent="0.25">
      <c r="A2" s="8"/>
      <c r="B2" s="9" t="str">
        <f>INSTRUÇÕES!B2</f>
        <v>Seção Judiciária de Minas Gerais</v>
      </c>
      <c r="C2" s="607" t="s">
        <v>0</v>
      </c>
      <c r="D2" s="607"/>
      <c r="E2" s="607"/>
      <c r="F2" s="607"/>
      <c r="G2" s="607"/>
      <c r="H2" s="607"/>
      <c r="I2" s="607"/>
      <c r="J2" s="607"/>
      <c r="K2" s="607"/>
      <c r="L2" s="607"/>
      <c r="M2" s="607"/>
      <c r="N2" s="607"/>
      <c r="O2" s="607"/>
      <c r="P2" s="607"/>
      <c r="Q2" s="607"/>
      <c r="R2" s="607"/>
      <c r="S2" s="607"/>
      <c r="T2" s="10"/>
      <c r="U2" s="10"/>
      <c r="V2" s="10"/>
      <c r="W2" s="11"/>
    </row>
    <row r="3" spans="1:23" s="12" customFormat="1" ht="23.25" x14ac:dyDescent="0.25">
      <c r="A3" s="8"/>
      <c r="B3" s="13" t="str">
        <f>INSTRUÇÕES!B3</f>
        <v>Subseção Judiciária de Montes Claros</v>
      </c>
      <c r="C3" s="607" t="s">
        <v>1</v>
      </c>
      <c r="D3" s="607"/>
      <c r="E3" s="607"/>
      <c r="F3" s="607"/>
      <c r="G3" s="607"/>
      <c r="H3" s="607"/>
      <c r="I3" s="607"/>
      <c r="J3" s="607"/>
      <c r="K3" s="607"/>
      <c r="L3" s="607"/>
      <c r="M3" s="607"/>
      <c r="N3" s="607"/>
      <c r="O3" s="607"/>
      <c r="P3" s="607"/>
      <c r="Q3" s="607"/>
      <c r="R3" s="607"/>
      <c r="S3" s="607"/>
      <c r="W3" s="11"/>
    </row>
    <row r="4" spans="1:23" s="17" customFormat="1" ht="30.75" hidden="1" customHeight="1" x14ac:dyDescent="0.25">
      <c r="A4" s="608" t="s">
        <v>2</v>
      </c>
      <c r="B4" s="608"/>
      <c r="C4" s="608"/>
      <c r="D4" s="609" t="s">
        <v>3</v>
      </c>
      <c r="E4" s="609"/>
      <c r="F4" s="14"/>
      <c r="G4" s="14"/>
      <c r="H4" s="14"/>
      <c r="I4" s="14"/>
      <c r="J4" s="15"/>
      <c r="K4" s="15"/>
      <c r="L4" s="15"/>
      <c r="M4" s="15"/>
      <c r="N4" s="15"/>
      <c r="O4" s="16"/>
      <c r="R4" s="18"/>
      <c r="S4" s="18"/>
      <c r="T4" s="18"/>
      <c r="U4" s="18"/>
      <c r="V4" s="18"/>
      <c r="W4" s="18"/>
    </row>
    <row r="5" spans="1:23" s="17" customFormat="1" ht="23.25" hidden="1" customHeight="1" x14ac:dyDescent="0.25">
      <c r="A5" s="608" t="s">
        <v>4</v>
      </c>
      <c r="B5" s="608"/>
      <c r="C5" s="608"/>
      <c r="D5" s="1" t="s">
        <v>5</v>
      </c>
      <c r="E5" s="19">
        <f>VLOOKUP(D5,B80:C83,2,FALSE())</f>
        <v>30</v>
      </c>
      <c r="F5" s="14" t="str">
        <f>VLOOKUP(D5,B81:D83,3,FALSE())</f>
        <v>Obs: Desconto atualmente aplicado (30 dias corridos).</v>
      </c>
      <c r="G5" s="14"/>
      <c r="H5" s="14"/>
      <c r="I5" s="14"/>
      <c r="J5" s="15"/>
      <c r="K5" s="15"/>
      <c r="L5" s="15"/>
      <c r="M5" s="15"/>
      <c r="N5" s="15"/>
      <c r="O5" s="16"/>
      <c r="R5" s="18"/>
      <c r="S5" s="18"/>
      <c r="T5" s="18"/>
      <c r="U5" s="18"/>
      <c r="V5" s="18"/>
      <c r="W5" s="18"/>
    </row>
    <row r="6" spans="1:23" s="17" customFormat="1" ht="12" hidden="1" customHeight="1" x14ac:dyDescent="0.25">
      <c r="A6" s="15"/>
      <c r="B6" s="15"/>
      <c r="C6" s="15"/>
      <c r="D6" s="15"/>
      <c r="E6" s="15"/>
      <c r="F6" s="15"/>
      <c r="G6" s="15"/>
      <c r="H6" s="15"/>
      <c r="I6" s="15"/>
      <c r="J6" s="15"/>
      <c r="K6" s="15"/>
      <c r="L6" s="15"/>
      <c r="M6" s="15"/>
      <c r="N6" s="15"/>
      <c r="O6" s="16"/>
      <c r="R6" s="18"/>
      <c r="S6" s="18"/>
      <c r="T6" s="18"/>
      <c r="U6" s="18"/>
      <c r="V6" s="18"/>
      <c r="W6" s="18"/>
    </row>
    <row r="7" spans="1:23" s="17" customFormat="1" ht="31.5" hidden="1" customHeight="1" x14ac:dyDescent="0.25">
      <c r="A7" s="610" t="s">
        <v>6</v>
      </c>
      <c r="B7" s="610"/>
      <c r="C7" s="610"/>
      <c r="D7" s="611" t="s">
        <v>7</v>
      </c>
      <c r="E7" s="612" t="s">
        <v>8</v>
      </c>
      <c r="F7" s="613" t="s">
        <v>9</v>
      </c>
      <c r="G7" s="613" t="s">
        <v>10</v>
      </c>
      <c r="H7" s="611" t="s">
        <v>11</v>
      </c>
      <c r="I7" s="612" t="s">
        <v>12</v>
      </c>
      <c r="J7" s="613" t="s">
        <v>13</v>
      </c>
      <c r="K7" s="614" t="s">
        <v>14</v>
      </c>
      <c r="L7" s="615" t="s">
        <v>15</v>
      </c>
      <c r="M7" s="615" t="s">
        <v>16</v>
      </c>
      <c r="N7" s="616" t="s">
        <v>17</v>
      </c>
      <c r="O7" s="617" t="s">
        <v>18</v>
      </c>
      <c r="P7" s="613" t="s">
        <v>19</v>
      </c>
      <c r="Q7" s="613" t="s">
        <v>20</v>
      </c>
      <c r="R7" s="614" t="s">
        <v>21</v>
      </c>
      <c r="S7" s="612" t="s">
        <v>22</v>
      </c>
      <c r="T7" s="600" t="s">
        <v>23</v>
      </c>
      <c r="U7" s="600"/>
      <c r="V7" s="600"/>
      <c r="W7" s="600"/>
    </row>
    <row r="8" spans="1:23" s="17" customFormat="1" ht="31.5" hidden="1" customHeight="1" x14ac:dyDescent="0.25">
      <c r="A8" s="610"/>
      <c r="B8" s="610"/>
      <c r="C8" s="610"/>
      <c r="D8" s="611"/>
      <c r="E8" s="612"/>
      <c r="F8" s="613"/>
      <c r="G8" s="613"/>
      <c r="H8" s="611"/>
      <c r="I8" s="612"/>
      <c r="J8" s="613"/>
      <c r="K8" s="614"/>
      <c r="L8" s="615"/>
      <c r="M8" s="615"/>
      <c r="N8" s="616"/>
      <c r="O8" s="617"/>
      <c r="P8" s="613"/>
      <c r="Q8" s="613"/>
      <c r="R8" s="614"/>
      <c r="S8" s="612"/>
      <c r="T8" s="600"/>
      <c r="U8" s="600"/>
      <c r="V8" s="600"/>
      <c r="W8" s="600"/>
    </row>
    <row r="9" spans="1:23" s="17" customFormat="1" ht="31.5" hidden="1" customHeight="1" x14ac:dyDescent="0.25">
      <c r="A9" s="610"/>
      <c r="B9" s="610"/>
      <c r="C9" s="610"/>
      <c r="D9" s="611"/>
      <c r="E9" s="612"/>
      <c r="F9" s="613"/>
      <c r="G9" s="613"/>
      <c r="H9" s="611"/>
      <c r="I9" s="612"/>
      <c r="J9" s="613"/>
      <c r="K9" s="614"/>
      <c r="L9" s="615"/>
      <c r="M9" s="615"/>
      <c r="N9" s="616"/>
      <c r="O9" s="617"/>
      <c r="P9" s="613"/>
      <c r="Q9" s="613"/>
      <c r="R9" s="614"/>
      <c r="S9" s="612"/>
      <c r="T9" s="600"/>
      <c r="U9" s="600"/>
      <c r="V9" s="600"/>
      <c r="W9" s="600"/>
    </row>
    <row r="10" spans="1:23" s="17" customFormat="1" ht="63.75" hidden="1" x14ac:dyDescent="0.25">
      <c r="A10" s="20" t="s">
        <v>24</v>
      </c>
      <c r="B10" s="21" t="s">
        <v>25</v>
      </c>
      <c r="C10" s="21" t="s">
        <v>26</v>
      </c>
      <c r="D10" s="22" t="s">
        <v>27</v>
      </c>
      <c r="E10" s="20" t="s">
        <v>28</v>
      </c>
      <c r="F10" s="21" t="s">
        <v>29</v>
      </c>
      <c r="G10" s="21" t="s">
        <v>30</v>
      </c>
      <c r="H10" s="22" t="s">
        <v>31</v>
      </c>
      <c r="I10" s="20" t="s">
        <v>32</v>
      </c>
      <c r="J10" s="21" t="s">
        <v>33</v>
      </c>
      <c r="K10" s="23" t="s">
        <v>33</v>
      </c>
      <c r="L10" s="24" t="s">
        <v>34</v>
      </c>
      <c r="M10" s="24" t="s">
        <v>35</v>
      </c>
      <c r="N10" s="24" t="s">
        <v>36</v>
      </c>
      <c r="O10" s="25" t="s">
        <v>37</v>
      </c>
      <c r="P10" s="21" t="s">
        <v>38</v>
      </c>
      <c r="Q10" s="21" t="s">
        <v>39</v>
      </c>
      <c r="R10" s="23" t="s">
        <v>40</v>
      </c>
      <c r="S10" s="20" t="s">
        <v>41</v>
      </c>
      <c r="T10" s="21" t="s">
        <v>42</v>
      </c>
      <c r="U10" s="21" t="s">
        <v>43</v>
      </c>
      <c r="V10" s="21" t="s">
        <v>44</v>
      </c>
      <c r="W10" s="23" t="s">
        <v>45</v>
      </c>
    </row>
    <row r="11" spans="1:23" s="17" customFormat="1" ht="15.75" hidden="1" x14ac:dyDescent="0.25">
      <c r="A11" s="26">
        <f>Dados!B7</f>
        <v>1</v>
      </c>
      <c r="B11" s="27" t="str">
        <f>Dados!C7</f>
        <v>Servente de Limpeza 40% Insalubridade</v>
      </c>
      <c r="C11" s="28">
        <f>Dados!D7</f>
        <v>150</v>
      </c>
      <c r="D11" s="29">
        <v>0</v>
      </c>
      <c r="E11" s="26" t="s">
        <v>46</v>
      </c>
      <c r="F11" s="28">
        <f>IF(E11="NÃO",0,D11*Dados!$G$35)</f>
        <v>0</v>
      </c>
      <c r="G11" s="30">
        <v>0</v>
      </c>
      <c r="H11" s="29">
        <v>0</v>
      </c>
      <c r="I11" s="31">
        <v>0</v>
      </c>
      <c r="J11" s="30">
        <v>0</v>
      </c>
      <c r="K11" s="32">
        <f>I11+J11</f>
        <v>0</v>
      </c>
      <c r="L11" s="33">
        <v>0</v>
      </c>
      <c r="M11" s="33">
        <v>0</v>
      </c>
      <c r="N11" s="34"/>
      <c r="O11" s="35">
        <f>Resumo!S12</f>
        <v>0</v>
      </c>
      <c r="P11" s="36">
        <f>Resumo!V12</f>
        <v>0</v>
      </c>
      <c r="Q11" s="37">
        <f>Resumo!W12</f>
        <v>4283.37</v>
      </c>
      <c r="R11" s="38">
        <f>Dados!O7+Dados!P7</f>
        <v>672.05</v>
      </c>
      <c r="S11" s="26">
        <f>Dados!S7</f>
        <v>2</v>
      </c>
      <c r="T11" s="39">
        <f>ROUND((Dados!M7*Encargos!$H$59*A11),2)</f>
        <v>519.75</v>
      </c>
      <c r="U11" s="39" t="s">
        <v>47</v>
      </c>
      <c r="V11" s="40">
        <f>SUMIF($S$11:$S$15,1,$Q$11:$Q$15)</f>
        <v>11390.12</v>
      </c>
      <c r="W11" s="41">
        <f>SUMIF($S$11:$S$15,1,$T$11:$T$15)</f>
        <v>1679.27</v>
      </c>
    </row>
    <row r="12" spans="1:23" s="17" customFormat="1" ht="15.75" hidden="1" x14ac:dyDescent="0.25">
      <c r="A12" s="26">
        <f>Dados!B8</f>
        <v>1</v>
      </c>
      <c r="B12" s="27" t="str">
        <f>Dados!C8</f>
        <v>Servente de Limpeza  ac. Copeira</v>
      </c>
      <c r="C12" s="28">
        <f>Dados!D8</f>
        <v>200</v>
      </c>
      <c r="D12" s="29">
        <v>0</v>
      </c>
      <c r="E12" s="26" t="s">
        <v>46</v>
      </c>
      <c r="F12" s="28">
        <f>IF(E12="NÃO",0,D12*Dados!$G$35)</f>
        <v>0</v>
      </c>
      <c r="G12" s="30">
        <v>0</v>
      </c>
      <c r="H12" s="29">
        <v>0</v>
      </c>
      <c r="I12" s="31">
        <v>0</v>
      </c>
      <c r="J12" s="30">
        <v>0</v>
      </c>
      <c r="K12" s="32">
        <f>I12+J12</f>
        <v>0</v>
      </c>
      <c r="L12" s="33">
        <v>0</v>
      </c>
      <c r="M12" s="33">
        <v>0</v>
      </c>
      <c r="N12" s="33">
        <v>0</v>
      </c>
      <c r="O12" s="35">
        <f>Resumo!S13</f>
        <v>0</v>
      </c>
      <c r="P12" s="39">
        <f>Resumo!V13</f>
        <v>0</v>
      </c>
      <c r="Q12" s="37">
        <f>Resumo!W13</f>
        <v>4566.2700000000004</v>
      </c>
      <c r="R12" s="38">
        <f>Dados!O8+Dados!P8</f>
        <v>743.95999999999992</v>
      </c>
      <c r="S12" s="26">
        <f>Dados!S8</f>
        <v>2</v>
      </c>
      <c r="T12" s="39">
        <f>ROUND((Dados!M8*Encargos!$H$59*A12),2)</f>
        <v>464.26</v>
      </c>
      <c r="U12" s="39" t="s">
        <v>47</v>
      </c>
      <c r="V12" s="40">
        <f>SUMIF($S$11:$S$15,2,$Q$11:$Q$15)</f>
        <v>16191.83</v>
      </c>
      <c r="W12" s="41">
        <f>SUMIF($S$11:$S$15,2,$T$11:$T$15)</f>
        <v>1872.3600000000001</v>
      </c>
    </row>
    <row r="13" spans="1:23" s="17" customFormat="1" ht="15.75" hidden="1" x14ac:dyDescent="0.25">
      <c r="A13" s="26">
        <f>Dados!B9</f>
        <v>1</v>
      </c>
      <c r="B13" s="27" t="str">
        <f>Dados!C9</f>
        <v>Servente de Limpeza</v>
      </c>
      <c r="C13" s="28">
        <f>Dados!D9</f>
        <v>200</v>
      </c>
      <c r="D13" s="29">
        <v>0</v>
      </c>
      <c r="E13" s="26" t="s">
        <v>46</v>
      </c>
      <c r="F13" s="28">
        <f>IF(E13="NÃO",0,D13*Dados!$G$35)</f>
        <v>0</v>
      </c>
      <c r="G13" s="30">
        <v>0</v>
      </c>
      <c r="H13" s="29">
        <v>0</v>
      </c>
      <c r="I13" s="31">
        <v>0</v>
      </c>
      <c r="J13" s="30">
        <v>0</v>
      </c>
      <c r="K13" s="32">
        <f>I13+J13</f>
        <v>0</v>
      </c>
      <c r="L13" s="33">
        <v>0</v>
      </c>
      <c r="M13" s="33">
        <v>0</v>
      </c>
      <c r="N13" s="33">
        <v>0</v>
      </c>
      <c r="O13" s="35">
        <f>Resumo!S14</f>
        <v>0</v>
      </c>
      <c r="P13" s="39">
        <f>Resumo!V14</f>
        <v>0</v>
      </c>
      <c r="Q13" s="37">
        <f>Resumo!W14</f>
        <v>4385.54</v>
      </c>
      <c r="R13" s="38">
        <f>Dados!O9+Dados!P9</f>
        <v>672.05</v>
      </c>
      <c r="S13" s="26">
        <v>2</v>
      </c>
      <c r="T13" s="39">
        <f>ROUND((Dados!M9*Encargos!$H$59*A13),2)</f>
        <v>450.74</v>
      </c>
      <c r="U13" s="39" t="s">
        <v>47</v>
      </c>
      <c r="V13" s="40"/>
      <c r="W13" s="41">
        <f>SUMIF($S$11:$S$15,3,$T$11:$T$15)</f>
        <v>0</v>
      </c>
    </row>
    <row r="14" spans="1:23" s="17" customFormat="1" ht="15.75" hidden="1" x14ac:dyDescent="0.2">
      <c r="A14" s="26">
        <f>Dados!B10</f>
        <v>1</v>
      </c>
      <c r="B14" s="27" t="str">
        <f>Dados!C10</f>
        <v>Porteiro</v>
      </c>
      <c r="C14" s="28">
        <f>Dados!D10</f>
        <v>150</v>
      </c>
      <c r="D14" s="29">
        <v>0</v>
      </c>
      <c r="E14" s="26" t="s">
        <v>46</v>
      </c>
      <c r="F14" s="28">
        <f>IF(E14="NÃO",0,D14*Dados!$G$35)</f>
        <v>0</v>
      </c>
      <c r="G14" s="30">
        <v>0</v>
      </c>
      <c r="H14" s="29">
        <v>0</v>
      </c>
      <c r="I14" s="31">
        <v>0</v>
      </c>
      <c r="J14" s="30">
        <v>0</v>
      </c>
      <c r="K14" s="32">
        <f>I14+J14</f>
        <v>0</v>
      </c>
      <c r="L14" s="33">
        <v>0</v>
      </c>
      <c r="M14" s="33">
        <v>0</v>
      </c>
      <c r="N14" s="34"/>
      <c r="O14" s="42">
        <f>Resumo!S15</f>
        <v>0</v>
      </c>
      <c r="P14" s="36">
        <f>Resumo!V15</f>
        <v>0</v>
      </c>
      <c r="Q14" s="43">
        <f>Resumo!W15</f>
        <v>2956.65</v>
      </c>
      <c r="R14" s="38">
        <f>Dados!O10+Dados!P10</f>
        <v>0</v>
      </c>
      <c r="S14" s="26">
        <f>Dados!S10</f>
        <v>2</v>
      </c>
      <c r="T14" s="39">
        <f>ROUND((Dados!M10*Encargos!$H$59*A14),2)</f>
        <v>437.61</v>
      </c>
      <c r="U14" s="39" t="s">
        <v>47</v>
      </c>
      <c r="V14" s="40">
        <f>SUMIF($S$11:$S$15,4,$Q$11:$Q$15)</f>
        <v>0</v>
      </c>
      <c r="W14" s="41">
        <f>SUMIF($S$11:$S$15,4,$T$11:$T$15)</f>
        <v>0</v>
      </c>
    </row>
    <row r="15" spans="1:23" s="17" customFormat="1" ht="15.75" hidden="1" x14ac:dyDescent="0.2">
      <c r="A15" s="26">
        <f>Dados!B11</f>
        <v>4</v>
      </c>
      <c r="B15" s="27" t="str">
        <f>Dados!C11</f>
        <v>Auxiliar Administrativo</v>
      </c>
      <c r="C15" s="28">
        <f>Dados!D11</f>
        <v>150</v>
      </c>
      <c r="D15" s="29">
        <v>0</v>
      </c>
      <c r="E15" s="44" t="s">
        <v>46</v>
      </c>
      <c r="F15" s="45">
        <f>IF(E15="NÃO",0,D15*Dados!$G$35)</f>
        <v>0</v>
      </c>
      <c r="G15" s="46">
        <v>0</v>
      </c>
      <c r="H15" s="47">
        <v>0</v>
      </c>
      <c r="I15" s="48">
        <v>0</v>
      </c>
      <c r="J15" s="46">
        <v>0</v>
      </c>
      <c r="K15" s="49">
        <f>I15+J15</f>
        <v>0</v>
      </c>
      <c r="L15" s="50">
        <v>0</v>
      </c>
      <c r="M15" s="50">
        <v>0</v>
      </c>
      <c r="N15" s="34"/>
      <c r="O15" s="42">
        <f>Resumo!S16</f>
        <v>0</v>
      </c>
      <c r="P15" s="36">
        <f>Resumo!V16</f>
        <v>0</v>
      </c>
      <c r="Q15" s="43">
        <f>Resumo!W16</f>
        <v>11390.12</v>
      </c>
      <c r="R15" s="38">
        <f>Dados!O11+Dados!P11</f>
        <v>0</v>
      </c>
      <c r="S15" s="26">
        <f>Dados!S11</f>
        <v>1</v>
      </c>
      <c r="T15" s="39">
        <f>ROUND((Dados!M11*Encargos!$H$59*A15),2)</f>
        <v>1679.27</v>
      </c>
      <c r="U15" s="39" t="s">
        <v>48</v>
      </c>
      <c r="V15" s="40">
        <f>SUMIF($S$11:$S$15,5,$Q$11:$Q$15)</f>
        <v>0</v>
      </c>
      <c r="W15" s="41">
        <f>SUMIF($S$11:$S$15,5,$T$11:$T$15)</f>
        <v>0</v>
      </c>
    </row>
    <row r="16" spans="1:23" s="60" customFormat="1" ht="13.5" hidden="1" customHeight="1" x14ac:dyDescent="0.2">
      <c r="A16" s="601" t="s">
        <v>49</v>
      </c>
      <c r="B16" s="601"/>
      <c r="C16" s="601"/>
      <c r="D16" s="601"/>
      <c r="E16" s="601"/>
      <c r="F16" s="601"/>
      <c r="G16" s="601"/>
      <c r="H16" s="51">
        <f>Resumo!I17</f>
        <v>0</v>
      </c>
      <c r="I16" s="602"/>
      <c r="J16" s="602"/>
      <c r="K16" s="52">
        <f>Resumo!L17</f>
        <v>0</v>
      </c>
      <c r="L16" s="53">
        <f>Resumo!O17</f>
        <v>0</v>
      </c>
      <c r="M16" s="53">
        <f>Resumo!R17</f>
        <v>0</v>
      </c>
      <c r="N16" s="54">
        <f>Resumo!V17</f>
        <v>0</v>
      </c>
      <c r="O16" s="55">
        <f>(H16+K16+L16+M16)</f>
        <v>0</v>
      </c>
      <c r="P16" s="56">
        <f>Resumo!V17</f>
        <v>0</v>
      </c>
      <c r="Q16" s="57">
        <f>SUM(Q11:Q15)</f>
        <v>27581.95</v>
      </c>
      <c r="R16" s="58">
        <f>SUM(R11:R15)</f>
        <v>2088.0599999999995</v>
      </c>
      <c r="S16" s="59"/>
      <c r="T16" s="57">
        <f>SUM(T11:T15)</f>
        <v>3551.63</v>
      </c>
      <c r="U16" s="56"/>
      <c r="V16" s="57">
        <f>SUM(V11:V15)</f>
        <v>27581.95</v>
      </c>
      <c r="W16" s="58">
        <f>SUM(W11:W15)</f>
        <v>3551.63</v>
      </c>
    </row>
    <row r="17" spans="1:23" hidden="1" x14ac:dyDescent="0.25">
      <c r="A17" s="61" t="s">
        <v>50</v>
      </c>
      <c r="B17" s="62"/>
      <c r="C17" s="62"/>
      <c r="D17" s="62"/>
      <c r="E17" s="62"/>
      <c r="F17" s="62"/>
      <c r="G17" s="62"/>
      <c r="H17" s="62"/>
      <c r="I17" s="62"/>
      <c r="J17" s="62"/>
    </row>
    <row r="18" spans="1:23" hidden="1" x14ac:dyDescent="0.25">
      <c r="A18" s="63" t="s">
        <v>51</v>
      </c>
      <c r="B18" s="64"/>
      <c r="C18" s="64"/>
      <c r="D18" s="64"/>
      <c r="E18" s="64"/>
      <c r="F18" s="64"/>
      <c r="G18" s="64"/>
      <c r="H18" s="64"/>
      <c r="I18" s="64"/>
      <c r="J18" s="64"/>
    </row>
    <row r="19" spans="1:23" s="60" customFormat="1" ht="25.5" hidden="1" customHeight="1" x14ac:dyDescent="0.25">
      <c r="A19" s="594" t="s">
        <v>52</v>
      </c>
      <c r="B19" s="594"/>
      <c r="C19" s="65" t="s">
        <v>53</v>
      </c>
      <c r="D19" s="65" t="s">
        <v>54</v>
      </c>
      <c r="E19" s="65" t="s">
        <v>55</v>
      </c>
      <c r="F19" s="65" t="s">
        <v>56</v>
      </c>
      <c r="H19" s="63"/>
      <c r="I19" s="66"/>
      <c r="J19" s="63"/>
      <c r="K19" s="66"/>
      <c r="L19" s="66"/>
      <c r="M19" s="66"/>
      <c r="R19" s="66"/>
      <c r="S19" s="66"/>
      <c r="T19" s="66"/>
      <c r="U19" s="66"/>
      <c r="V19" s="66"/>
      <c r="W19" s="66"/>
    </row>
    <row r="20" spans="1:23" s="60" customFormat="1" ht="12.75" hidden="1" x14ac:dyDescent="0.25">
      <c r="A20" s="594"/>
      <c r="B20" s="594"/>
      <c r="C20" s="67">
        <v>220</v>
      </c>
      <c r="D20" s="67">
        <v>10</v>
      </c>
      <c r="E20" s="67">
        <v>25</v>
      </c>
      <c r="F20" s="68">
        <f>ROUND((D20/VLOOKUP(C20,$B$86:$C$92,2,FALSE())+E20/60/VLOOKUP(C20,$B$86:$C$92,2,FALSE())),2)</f>
        <v>1.18</v>
      </c>
      <c r="H20" s="63"/>
      <c r="I20" s="66"/>
      <c r="J20" s="63"/>
      <c r="K20" s="66"/>
      <c r="L20" s="66"/>
      <c r="M20" s="66"/>
      <c r="R20" s="66"/>
      <c r="S20" s="66"/>
      <c r="T20" s="66"/>
      <c r="U20" s="66"/>
      <c r="V20" s="66"/>
      <c r="W20" s="66"/>
    </row>
    <row r="21" spans="1:23" s="60" customFormat="1" ht="15" hidden="1" customHeight="1" x14ac:dyDescent="0.25">
      <c r="A21" s="603" t="s">
        <v>57</v>
      </c>
      <c r="B21" s="603"/>
      <c r="C21" s="603"/>
      <c r="D21" s="603"/>
      <c r="E21" s="603"/>
      <c r="F21" s="603"/>
      <c r="G21" s="14"/>
      <c r="H21" s="14"/>
      <c r="I21" s="14"/>
      <c r="J21" s="63"/>
      <c r="K21" s="66"/>
      <c r="L21" s="66"/>
      <c r="M21" s="66"/>
      <c r="R21" s="66"/>
      <c r="S21" s="66"/>
      <c r="T21" s="66"/>
      <c r="U21" s="66"/>
      <c r="V21" s="66"/>
      <c r="W21" s="66"/>
    </row>
    <row r="22" spans="1:23" s="60" customFormat="1" hidden="1" x14ac:dyDescent="0.25">
      <c r="A22" s="603"/>
      <c r="B22" s="603"/>
      <c r="C22" s="603"/>
      <c r="D22" s="603"/>
      <c r="E22" s="603"/>
      <c r="F22" s="603"/>
      <c r="G22" s="14"/>
      <c r="H22" s="69"/>
      <c r="I22" s="14"/>
      <c r="J22" s="63"/>
      <c r="K22" s="66"/>
      <c r="L22" s="66"/>
      <c r="M22" s="66"/>
      <c r="R22" s="66"/>
      <c r="S22" s="66"/>
      <c r="T22" s="66"/>
      <c r="U22" s="66"/>
      <c r="V22" s="66"/>
      <c r="W22" s="66"/>
    </row>
    <row r="23" spans="1:23" hidden="1" x14ac:dyDescent="0.25">
      <c r="A23" s="63" t="s">
        <v>58</v>
      </c>
      <c r="B23" s="62"/>
      <c r="C23" s="62"/>
      <c r="D23" s="62"/>
      <c r="E23" s="62"/>
      <c r="F23" s="62"/>
      <c r="G23" s="62"/>
      <c r="H23" s="62"/>
      <c r="I23" s="62"/>
      <c r="J23" s="62"/>
    </row>
    <row r="24" spans="1:23" hidden="1" x14ac:dyDescent="0.25">
      <c r="A24" s="62"/>
      <c r="B24" s="62"/>
      <c r="C24" s="62"/>
      <c r="D24" s="62"/>
      <c r="E24" s="62"/>
      <c r="F24" s="62"/>
      <c r="G24" s="62"/>
      <c r="H24" s="62"/>
      <c r="I24" s="62"/>
      <c r="J24" s="62"/>
      <c r="N24" s="70"/>
      <c r="O24" s="71"/>
      <c r="P24" s="71"/>
    </row>
    <row r="25" spans="1:23" ht="30.75" hidden="1" customHeight="1" x14ac:dyDescent="0.25">
      <c r="A25" s="592" t="s">
        <v>59</v>
      </c>
      <c r="B25" s="604" t="s">
        <v>60</v>
      </c>
      <c r="C25" s="604"/>
      <c r="D25" s="604"/>
      <c r="E25" s="604"/>
      <c r="F25" s="605" t="s">
        <v>61</v>
      </c>
      <c r="G25" s="605"/>
      <c r="H25" s="605"/>
      <c r="I25" s="598" t="s">
        <v>62</v>
      </c>
      <c r="J25" s="598"/>
      <c r="K25" s="598"/>
      <c r="L25" s="606" t="s">
        <v>63</v>
      </c>
      <c r="M25" s="606"/>
      <c r="N25" s="606"/>
      <c r="O25" s="606"/>
      <c r="V25" s="2"/>
      <c r="W25" s="2"/>
    </row>
    <row r="26" spans="1:23" ht="38.25" hidden="1" customHeight="1" x14ac:dyDescent="0.25">
      <c r="A26" s="592"/>
      <c r="B26" s="594" t="s">
        <v>64</v>
      </c>
      <c r="C26" s="594"/>
      <c r="D26" s="594"/>
      <c r="E26" s="65" t="s">
        <v>65</v>
      </c>
      <c r="F26" s="65" t="s">
        <v>66</v>
      </c>
      <c r="G26" s="65" t="s">
        <v>67</v>
      </c>
      <c r="H26" s="75" t="s">
        <v>68</v>
      </c>
      <c r="I26" s="598"/>
      <c r="J26" s="598"/>
      <c r="K26" s="598"/>
      <c r="L26" s="72" t="s">
        <v>69</v>
      </c>
      <c r="M26" s="73" t="s">
        <v>70</v>
      </c>
      <c r="N26" s="73" t="s">
        <v>71</v>
      </c>
      <c r="O26" s="74" t="s">
        <v>72</v>
      </c>
      <c r="V26" s="14"/>
      <c r="W26" s="2"/>
    </row>
    <row r="27" spans="1:23" hidden="1" x14ac:dyDescent="0.25">
      <c r="A27" s="76">
        <v>1</v>
      </c>
      <c r="B27" s="599" t="str">
        <f>Mat!B9</f>
        <v>Alcool Líquido 70% - 1L</v>
      </c>
      <c r="C27" s="599"/>
      <c r="D27" s="599"/>
      <c r="E27" s="78" t="str">
        <f>Mat!C9</f>
        <v>Unid.</v>
      </c>
      <c r="F27" s="78"/>
      <c r="G27" s="79">
        <f t="shared" ref="G27:G56" si="0">IF($D$4="PLANILHA PARA LICITAÇÃO (PRECIFICAÇÃO)",L27,0)</f>
        <v>3</v>
      </c>
      <c r="H27" s="80">
        <f>G27*Mat!G9</f>
        <v>23.1</v>
      </c>
      <c r="I27" s="591" t="str">
        <f t="shared" ref="I27:I56" si="1">IF(G27&lt;L27,"Fornecimento inferior ao estimado mensalmente",IF(G27=L27,"Fornecimento igual ao estimado mensalmente",IF(G27&gt;L27,"Fornecimento superior ao estimado mensalmente",)))</f>
        <v>Fornecimento igual ao estimado mensalmente</v>
      </c>
      <c r="J27" s="591"/>
      <c r="K27" s="591"/>
      <c r="L27" s="81">
        <f t="shared" ref="L27:L56" si="2">M27/O27</f>
        <v>3</v>
      </c>
      <c r="M27" s="82">
        <f>Mat!E9</f>
        <v>3</v>
      </c>
      <c r="N27" s="83" t="str">
        <f>Mat!F9</f>
        <v>Mensal</v>
      </c>
      <c r="O27" s="84">
        <f t="shared" ref="O27:O56" si="3">IF(N27="MENSAL",1,IF(N27="BIMESTRAL",2,IF(N27="TRIMESTRAL",3,IF(N27="QUADRIMESTRAL",4,IF(N27="SEMESTRAL",6,IF(N27="ANUAL",12,IF(N27="BIENAL",24,"")))))))</f>
        <v>1</v>
      </c>
      <c r="W27" s="2"/>
    </row>
    <row r="28" spans="1:23" ht="52.5" hidden="1" customHeight="1" x14ac:dyDescent="0.25">
      <c r="A28" s="85">
        <v>2</v>
      </c>
      <c r="B28" s="599" t="str">
        <f>Mat!B10</f>
        <v>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v>
      </c>
      <c r="C28" s="599"/>
      <c r="D28" s="599"/>
      <c r="E28" s="78" t="str">
        <f>Mat!C10</f>
        <v>Galão</v>
      </c>
      <c r="F28" s="78" t="str">
        <f>Mat!D10</f>
        <v>Facilita, Gelalcool</v>
      </c>
      <c r="G28" s="79">
        <f t="shared" si="0"/>
        <v>1</v>
      </c>
      <c r="H28" s="80">
        <f>G28*Mat!G10</f>
        <v>36.800000000000004</v>
      </c>
      <c r="I28" s="591" t="str">
        <f t="shared" si="1"/>
        <v>Fornecimento igual ao estimado mensalmente</v>
      </c>
      <c r="J28" s="591"/>
      <c r="K28" s="591"/>
      <c r="L28" s="81">
        <f t="shared" si="2"/>
        <v>1</v>
      </c>
      <c r="M28" s="82">
        <f>Mat!E10</f>
        <v>1</v>
      </c>
      <c r="N28" s="83" t="str">
        <f>Mat!F10</f>
        <v>Mensal</v>
      </c>
      <c r="O28" s="84">
        <f t="shared" si="3"/>
        <v>1</v>
      </c>
      <c r="W28" s="2"/>
    </row>
    <row r="29" spans="1:23" ht="15" hidden="1" customHeight="1" x14ac:dyDescent="0.25">
      <c r="A29" s="85">
        <v>3</v>
      </c>
      <c r="B29" s="599" t="str">
        <f>Mat!B11</f>
        <v>Balde Material: Plástico , Material Alça: Arame Galvanizado , Capacidade: 12 L,Cor: Preta , Características Adicionais: Reforço Fundo E Borda</v>
      </c>
      <c r="C29" s="599"/>
      <c r="D29" s="599"/>
      <c r="E29" s="78" t="str">
        <f>Mat!C11</f>
        <v>Unid.</v>
      </c>
      <c r="F29" s="78" t="str">
        <f>Mat!D11</f>
        <v>Arqplast</v>
      </c>
      <c r="G29" s="79">
        <f t="shared" si="0"/>
        <v>0.25</v>
      </c>
      <c r="H29" s="80">
        <f>G29*Mat!G11</f>
        <v>3.2250000000000001</v>
      </c>
      <c r="I29" s="591" t="str">
        <f t="shared" si="1"/>
        <v>Fornecimento igual ao estimado mensalmente</v>
      </c>
      <c r="J29" s="591"/>
      <c r="K29" s="591"/>
      <c r="L29" s="81">
        <f t="shared" si="2"/>
        <v>0.25</v>
      </c>
      <c r="M29" s="82">
        <f>Mat!E11</f>
        <v>3</v>
      </c>
      <c r="N29" s="83" t="str">
        <f>Mat!F11</f>
        <v>Anual</v>
      </c>
      <c r="O29" s="84">
        <f t="shared" si="3"/>
        <v>12</v>
      </c>
      <c r="W29" s="2"/>
    </row>
    <row r="30" spans="1:23" ht="15" hidden="1" customHeight="1" x14ac:dyDescent="0.25">
      <c r="A30" s="85">
        <v>4</v>
      </c>
      <c r="B30" s="599" t="str">
        <f>Mat!B12</f>
        <v xml:space="preserve"> Toalha Mágica - Pano Limpeza Material: Microfibra. , Aplicação: Uso
 Geral, Comprimento: 60 CM, Tipo: Toalha , Largura: 40 CM,
 Características Adicionais: Alto Grau Absorção</v>
      </c>
      <c r="C30" s="599"/>
      <c r="D30" s="599"/>
      <c r="E30" s="78" t="str">
        <f>Mat!C12</f>
        <v>Unid.</v>
      </c>
      <c r="F30" s="78" t="str">
        <f>Mat!D12</f>
        <v>Detailer</v>
      </c>
      <c r="G30" s="79">
        <f t="shared" si="0"/>
        <v>1</v>
      </c>
      <c r="H30" s="80">
        <f>G30*Mat!G12</f>
        <v>24.93</v>
      </c>
      <c r="I30" s="591" t="str">
        <f t="shared" si="1"/>
        <v>Fornecimento igual ao estimado mensalmente</v>
      </c>
      <c r="J30" s="591"/>
      <c r="K30" s="591"/>
      <c r="L30" s="81">
        <f t="shared" si="2"/>
        <v>1</v>
      </c>
      <c r="M30" s="82">
        <f>Mat!E12</f>
        <v>1</v>
      </c>
      <c r="N30" s="83" t="str">
        <f>Mat!F12</f>
        <v>Mensal</v>
      </c>
      <c r="O30" s="84">
        <f t="shared" si="3"/>
        <v>1</v>
      </c>
      <c r="W30" s="2"/>
    </row>
    <row r="31" spans="1:23" ht="15" hidden="1" customHeight="1" x14ac:dyDescent="0.25">
      <c r="A31" s="85">
        <v>5</v>
      </c>
      <c r="B31" s="599" t="str">
        <f>Mat!B13</f>
        <v>Desinfetante concentrado 1x25 - fragância Floral - Galão de 5 litros</v>
      </c>
      <c r="C31" s="599"/>
      <c r="D31" s="599"/>
      <c r="E31" s="78" t="str">
        <f>Mat!C13</f>
        <v>Galão</v>
      </c>
      <c r="F31" s="78" t="str">
        <f>Mat!D13</f>
        <v>Audax</v>
      </c>
      <c r="G31" s="79">
        <f t="shared" si="0"/>
        <v>1</v>
      </c>
      <c r="H31" s="80">
        <f>G31*Mat!G13</f>
        <v>60.9</v>
      </c>
      <c r="I31" s="591" t="str">
        <f t="shared" si="1"/>
        <v>Fornecimento igual ao estimado mensalmente</v>
      </c>
      <c r="J31" s="591"/>
      <c r="K31" s="591"/>
      <c r="L31" s="81">
        <f t="shared" si="2"/>
        <v>1</v>
      </c>
      <c r="M31" s="82">
        <f>Mat!E13</f>
        <v>1</v>
      </c>
      <c r="N31" s="83" t="str">
        <f>Mat!F13</f>
        <v>Mensal</v>
      </c>
      <c r="O31" s="84">
        <f t="shared" si="3"/>
        <v>1</v>
      </c>
      <c r="W31" s="2"/>
    </row>
    <row r="32" spans="1:23" ht="15" hidden="1" customHeight="1" x14ac:dyDescent="0.25">
      <c r="A32" s="85">
        <v>6</v>
      </c>
      <c r="B32" s="599" t="str">
        <f>Mat!B14</f>
        <v>Desodorizador de ar, neuralizador de odor, aerosol 360ml</v>
      </c>
      <c r="C32" s="599"/>
      <c r="D32" s="599"/>
      <c r="E32" s="78" t="str">
        <f>Mat!C14</f>
        <v>Unid.</v>
      </c>
      <c r="F32" s="78"/>
      <c r="G32" s="79">
        <f t="shared" si="0"/>
        <v>1</v>
      </c>
      <c r="H32" s="80">
        <f>G32*Mat!G14</f>
        <v>15.35</v>
      </c>
      <c r="I32" s="591" t="str">
        <f t="shared" si="1"/>
        <v>Fornecimento igual ao estimado mensalmente</v>
      </c>
      <c r="J32" s="591"/>
      <c r="K32" s="591"/>
      <c r="L32" s="81">
        <f t="shared" si="2"/>
        <v>1</v>
      </c>
      <c r="M32" s="82">
        <f>Mat!E14</f>
        <v>1</v>
      </c>
      <c r="N32" s="83" t="str">
        <f>Mat!F14</f>
        <v>Mensal</v>
      </c>
      <c r="O32" s="84">
        <f t="shared" si="3"/>
        <v>1</v>
      </c>
      <c r="W32" s="2"/>
    </row>
    <row r="33" spans="1:23" ht="15" hidden="1" customHeight="1" x14ac:dyDescent="0.25">
      <c r="A33" s="85">
        <v>7</v>
      </c>
      <c r="B33" s="599" t="str">
        <f>Mat!B15</f>
        <v>Detergente líquido para louça, neutro, embalagem de 500ml, com tampa Push Pool. Deverá conter glicerina e ser testado e aprovado por dermatologistas. Com fórmula biodegradável. Deve possuir registro na Anvisa/Ministério da Saúde, o qual deverá estar impre</v>
      </c>
      <c r="C33" s="599"/>
      <c r="D33" s="599"/>
      <c r="E33" s="78" t="str">
        <f>Mat!C15</f>
        <v>Unid.</v>
      </c>
      <c r="F33" s="78" t="str">
        <f>Mat!D15</f>
        <v>Ypê ou similar</v>
      </c>
      <c r="G33" s="79">
        <f t="shared" si="0"/>
        <v>6</v>
      </c>
      <c r="H33" s="80">
        <f>G33*Mat!G15</f>
        <v>18</v>
      </c>
      <c r="I33" s="591" t="str">
        <f t="shared" si="1"/>
        <v>Fornecimento igual ao estimado mensalmente</v>
      </c>
      <c r="J33" s="591"/>
      <c r="K33" s="591"/>
      <c r="L33" s="81">
        <f t="shared" si="2"/>
        <v>6</v>
      </c>
      <c r="M33" s="82">
        <f>Mat!E15</f>
        <v>6</v>
      </c>
      <c r="N33" s="83" t="str">
        <f>Mat!F15</f>
        <v>Mensal</v>
      </c>
      <c r="O33" s="84">
        <f t="shared" si="3"/>
        <v>1</v>
      </c>
      <c r="W33" s="2"/>
    </row>
    <row r="34" spans="1:23" ht="15" hidden="1" customHeight="1" x14ac:dyDescent="0.25">
      <c r="A34" s="85">
        <v>8</v>
      </c>
      <c r="B34" s="599" t="str">
        <f>Mat!B16</f>
        <v xml:space="preserve"> Esponja Para Lavagem De Louças E Limpeza Em Geral, Dupla Face
 Sintética, Um Lado Em Espuma Poliuretano E Outro Em Fibra Sintética
 Abrasiva, Antibacteriana, Embalagem Com 3(Três) Unid, Formato
 Retangular, Medindo Aproximadamente 110mm X 75mm X 20mm De
 Espessura</v>
      </c>
      <c r="C34" s="599"/>
      <c r="D34" s="599"/>
      <c r="E34" s="78" t="str">
        <f>Mat!C16</f>
        <v>Unid.</v>
      </c>
      <c r="F34" s="78" t="str">
        <f>Mat!D16</f>
        <v>Scotch-Brite</v>
      </c>
      <c r="G34" s="79">
        <f t="shared" si="0"/>
        <v>5</v>
      </c>
      <c r="H34" s="80">
        <f>G34*Mat!G16</f>
        <v>16.5</v>
      </c>
      <c r="I34" s="591" t="str">
        <f t="shared" si="1"/>
        <v>Fornecimento igual ao estimado mensalmente</v>
      </c>
      <c r="J34" s="591"/>
      <c r="K34" s="591"/>
      <c r="L34" s="81">
        <f t="shared" si="2"/>
        <v>5</v>
      </c>
      <c r="M34" s="82">
        <f>Mat!E16</f>
        <v>5</v>
      </c>
      <c r="N34" s="83" t="str">
        <f>Mat!F16</f>
        <v>Mensal</v>
      </c>
      <c r="O34" s="84">
        <f t="shared" si="3"/>
        <v>1</v>
      </c>
      <c r="W34" s="2"/>
    </row>
    <row r="35" spans="1:23" hidden="1" x14ac:dyDescent="0.25">
      <c r="A35" s="85">
        <v>9</v>
      </c>
      <c r="B35" s="599" t="str">
        <f>Mat!B17</f>
        <v>Flanela branca 38 x 58cm</v>
      </c>
      <c r="C35" s="599"/>
      <c r="D35" s="599"/>
      <c r="E35" s="78" t="str">
        <f>Mat!C17</f>
        <v>Unid.</v>
      </c>
      <c r="F35" s="78"/>
      <c r="G35" s="79">
        <f t="shared" si="0"/>
        <v>3</v>
      </c>
      <c r="H35" s="80">
        <f>G35*Mat!G17</f>
        <v>6.6899999999999995</v>
      </c>
      <c r="I35" s="591" t="str">
        <f t="shared" si="1"/>
        <v>Fornecimento igual ao estimado mensalmente</v>
      </c>
      <c r="J35" s="591"/>
      <c r="K35" s="591"/>
      <c r="L35" s="81">
        <f t="shared" si="2"/>
        <v>3</v>
      </c>
      <c r="M35" s="82">
        <f>Mat!E17</f>
        <v>3</v>
      </c>
      <c r="N35" s="83" t="str">
        <f>Mat!F17</f>
        <v>Mensal</v>
      </c>
      <c r="O35" s="84">
        <f t="shared" si="3"/>
        <v>1</v>
      </c>
      <c r="W35" s="2"/>
    </row>
    <row r="36" spans="1:23" ht="25.5" hidden="1" x14ac:dyDescent="0.25">
      <c r="A36" s="86">
        <v>10</v>
      </c>
      <c r="B36" s="599" t="str">
        <f>Mat!B18</f>
        <v>Lã de aço pct c/ 8 unidades</v>
      </c>
      <c r="C36" s="599"/>
      <c r="D36" s="599"/>
      <c r="E36" s="78" t="str">
        <f>Mat!C18</f>
        <v>Pacte.</v>
      </c>
      <c r="F36" s="78" t="str">
        <f>Mat!D18</f>
        <v>Bombril, Assolan ou similar</v>
      </c>
      <c r="G36" s="79">
        <f t="shared" si="0"/>
        <v>3</v>
      </c>
      <c r="H36" s="80">
        <f>G36*Mat!G18</f>
        <v>6.2099999999999991</v>
      </c>
      <c r="I36" s="591" t="str">
        <f t="shared" si="1"/>
        <v>Fornecimento igual ao estimado mensalmente</v>
      </c>
      <c r="J36" s="591"/>
      <c r="K36" s="591"/>
      <c r="L36" s="81">
        <f t="shared" si="2"/>
        <v>3</v>
      </c>
      <c r="M36" s="82">
        <f>Mat!E18</f>
        <v>3</v>
      </c>
      <c r="N36" s="83" t="str">
        <f>Mat!F18</f>
        <v>Mensal</v>
      </c>
      <c r="O36" s="84">
        <f t="shared" si="3"/>
        <v>1</v>
      </c>
      <c r="W36" s="2"/>
    </row>
    <row r="37" spans="1:23" ht="15" hidden="1" customHeight="1" x14ac:dyDescent="0.25">
      <c r="A37" s="85">
        <v>11</v>
      </c>
      <c r="B37" s="599" t="str">
        <f>Mat!B19</f>
        <v>Limpa Vidros - 500ml</v>
      </c>
      <c r="C37" s="599"/>
      <c r="D37" s="599"/>
      <c r="E37" s="78" t="str">
        <f>Mat!C19</f>
        <v>Unid.</v>
      </c>
      <c r="F37" s="78" t="str">
        <f>Mat!D19</f>
        <v>Veja, Uau ou similar</v>
      </c>
      <c r="G37" s="79">
        <f t="shared" si="0"/>
        <v>0.66666666666666663</v>
      </c>
      <c r="H37" s="80">
        <f>G37*Mat!G19</f>
        <v>2.4333333333333331</v>
      </c>
      <c r="I37" s="591" t="str">
        <f t="shared" si="1"/>
        <v>Fornecimento igual ao estimado mensalmente</v>
      </c>
      <c r="J37" s="591"/>
      <c r="K37" s="591"/>
      <c r="L37" s="81">
        <f t="shared" si="2"/>
        <v>0.66666666666666663</v>
      </c>
      <c r="M37" s="82">
        <f>Mat!E19</f>
        <v>2</v>
      </c>
      <c r="N37" s="83" t="str">
        <f>Mat!F19</f>
        <v>Trimestral</v>
      </c>
      <c r="O37" s="84">
        <f t="shared" si="3"/>
        <v>3</v>
      </c>
      <c r="W37" s="2"/>
    </row>
    <row r="38" spans="1:23" ht="25.5" hidden="1" x14ac:dyDescent="0.25">
      <c r="A38" s="85">
        <v>12</v>
      </c>
      <c r="B38" s="599" t="str">
        <f>Mat!B20</f>
        <v>Limpador para limpeza pesada - 500ml</v>
      </c>
      <c r="C38" s="599"/>
      <c r="D38" s="599"/>
      <c r="E38" s="78" t="str">
        <f>Mat!C20</f>
        <v>Unid.</v>
      </c>
      <c r="F38" s="78" t="str">
        <f>Mat!D20</f>
        <v>Veja, Uau ou similar</v>
      </c>
      <c r="G38" s="79">
        <f t="shared" si="0"/>
        <v>6</v>
      </c>
      <c r="H38" s="80">
        <f>G38*Mat!G20</f>
        <v>37.049999999999997</v>
      </c>
      <c r="I38" s="591" t="str">
        <f t="shared" si="1"/>
        <v>Fornecimento igual ao estimado mensalmente</v>
      </c>
      <c r="J38" s="591"/>
      <c r="K38" s="591"/>
      <c r="L38" s="81">
        <f t="shared" si="2"/>
        <v>6</v>
      </c>
      <c r="M38" s="82">
        <f>Mat!E20</f>
        <v>6</v>
      </c>
      <c r="N38" s="83" t="str">
        <f>Mat!F20</f>
        <v>Mensal</v>
      </c>
      <c r="O38" s="84">
        <f t="shared" si="3"/>
        <v>1</v>
      </c>
      <c r="W38" s="2"/>
    </row>
    <row r="39" spans="1:23" hidden="1" x14ac:dyDescent="0.25">
      <c r="A39" s="86">
        <v>13</v>
      </c>
      <c r="B39" s="599" t="str">
        <f>Mat!B21</f>
        <v>Lustra móveis - 200ml</v>
      </c>
      <c r="C39" s="599"/>
      <c r="D39" s="599"/>
      <c r="E39" s="78" t="str">
        <f>Mat!C21</f>
        <v>Unid.</v>
      </c>
      <c r="F39" s="78" t="str">
        <f>Mat!D21</f>
        <v>Facilita ou similar</v>
      </c>
      <c r="G39" s="79">
        <f t="shared" si="0"/>
        <v>0.16666666666666666</v>
      </c>
      <c r="H39" s="80">
        <f>G39*Mat!G21</f>
        <v>1.9</v>
      </c>
      <c r="I39" s="591" t="str">
        <f t="shared" si="1"/>
        <v>Fornecimento igual ao estimado mensalmente</v>
      </c>
      <c r="J39" s="591"/>
      <c r="K39" s="591"/>
      <c r="L39" s="81">
        <f t="shared" si="2"/>
        <v>0.16666666666666666</v>
      </c>
      <c r="M39" s="82">
        <f>Mat!E21</f>
        <v>1</v>
      </c>
      <c r="N39" s="83" t="str">
        <f>Mat!F21</f>
        <v>Semestral</v>
      </c>
      <c r="O39" s="84">
        <f t="shared" si="3"/>
        <v>6</v>
      </c>
      <c r="W39" s="2"/>
    </row>
    <row r="40" spans="1:23" ht="15" hidden="1" customHeight="1" x14ac:dyDescent="0.25">
      <c r="A40" s="85">
        <v>14</v>
      </c>
      <c r="B40" s="599" t="str">
        <f>Mat!B22</f>
        <v>Luvas de Látex, forrada, de boa qualidade</v>
      </c>
      <c r="C40" s="599"/>
      <c r="D40" s="599"/>
      <c r="E40" s="78" t="str">
        <f>Mat!C22</f>
        <v>Unid.</v>
      </c>
      <c r="F40" s="78"/>
      <c r="G40" s="79">
        <f t="shared" si="0"/>
        <v>3</v>
      </c>
      <c r="H40" s="80">
        <f>G40*Mat!G22</f>
        <v>17.07</v>
      </c>
      <c r="I40" s="591" t="str">
        <f t="shared" si="1"/>
        <v>Fornecimento igual ao estimado mensalmente</v>
      </c>
      <c r="J40" s="591"/>
      <c r="K40" s="591"/>
      <c r="L40" s="81">
        <f t="shared" si="2"/>
        <v>3</v>
      </c>
      <c r="M40" s="82">
        <f>Mat!E22</f>
        <v>3</v>
      </c>
      <c r="N40" s="83" t="str">
        <f>Mat!F22</f>
        <v>Mensal</v>
      </c>
      <c r="O40" s="84">
        <f t="shared" si="3"/>
        <v>1</v>
      </c>
      <c r="W40" s="2"/>
    </row>
    <row r="41" spans="1:23" ht="15" hidden="1" customHeight="1" x14ac:dyDescent="0.25">
      <c r="A41" s="85">
        <v>15</v>
      </c>
      <c r="B41" s="599" t="str">
        <f>Mat!B23</f>
        <v xml:space="preserve"> Brilho alumínio 500 ml – serve para limpar e dar brilho aos alumínios e
 inox. formula composta basicamente por detergentes de alta
 umectação associados à componentes ácidos que lavam e eliminam
 manchas dos utensílios domésticos.</v>
      </c>
      <c r="C41" s="599"/>
      <c r="D41" s="599"/>
      <c r="E41" s="78" t="str">
        <f>Mat!C23</f>
        <v>Unid.</v>
      </c>
      <c r="F41" s="78" t="str">
        <f>Mat!D23</f>
        <v>Azulim</v>
      </c>
      <c r="G41" s="79">
        <f t="shared" si="0"/>
        <v>2</v>
      </c>
      <c r="H41" s="80">
        <f>G41*Mat!G23</f>
        <v>14.86</v>
      </c>
      <c r="I41" s="591" t="str">
        <f t="shared" si="1"/>
        <v>Fornecimento igual ao estimado mensalmente</v>
      </c>
      <c r="J41" s="591"/>
      <c r="K41" s="591"/>
      <c r="L41" s="81">
        <f t="shared" si="2"/>
        <v>2</v>
      </c>
      <c r="M41" s="82">
        <f>Mat!E23</f>
        <v>2</v>
      </c>
      <c r="N41" s="83" t="str">
        <f>Mat!F23</f>
        <v>Mensal</v>
      </c>
      <c r="O41" s="84">
        <f t="shared" si="3"/>
        <v>1</v>
      </c>
      <c r="W41" s="2"/>
    </row>
    <row r="42" spans="1:23" ht="15" hidden="1" customHeight="1" x14ac:dyDescent="0.25">
      <c r="A42" s="85">
        <v>16</v>
      </c>
      <c r="B42" s="599" t="str">
        <f>Mat!B24</f>
        <v xml:space="preserve"> Pá p/ lixo em plástico resistente c/ cabo de madeira de 60cm de altura
 na vertical.</v>
      </c>
      <c r="C42" s="599"/>
      <c r="D42" s="599"/>
      <c r="E42" s="78" t="str">
        <f>Mat!C24</f>
        <v>Unid.</v>
      </c>
      <c r="F42" s="78" t="str">
        <f>Mat!D24</f>
        <v>Bettanin ou similar</v>
      </c>
      <c r="G42" s="79">
        <f t="shared" si="0"/>
        <v>0.16666666666666666</v>
      </c>
      <c r="H42" s="80">
        <f>G42*Mat!G24</f>
        <v>1.2999999999999998</v>
      </c>
      <c r="I42" s="591" t="str">
        <f t="shared" si="1"/>
        <v>Fornecimento igual ao estimado mensalmente</v>
      </c>
      <c r="J42" s="591"/>
      <c r="K42" s="591"/>
      <c r="L42" s="81">
        <f t="shared" si="2"/>
        <v>0.16666666666666666</v>
      </c>
      <c r="M42" s="82">
        <f>Mat!E24</f>
        <v>1</v>
      </c>
      <c r="N42" s="83" t="str">
        <f>Mat!F24</f>
        <v>Semestral</v>
      </c>
      <c r="O42" s="84">
        <f t="shared" si="3"/>
        <v>6</v>
      </c>
      <c r="W42" s="2"/>
    </row>
    <row r="43" spans="1:23" ht="15" hidden="1" customHeight="1" x14ac:dyDescent="0.25">
      <c r="A43" s="85">
        <v>17</v>
      </c>
      <c r="B43" s="599" t="str">
        <f>Mat!B25</f>
        <v>Papel higiênico branco, folha dupla, de alta qualidade, com dimensões 10cm X 30m, com a marca do fabricante e indicação na embalagem, absorvente e resistente, fardo com 64 rolos de 30 metros. Tipo Neve ou de melhor qualidade</v>
      </c>
      <c r="C43" s="599"/>
      <c r="D43" s="599"/>
      <c r="E43" s="78" t="str">
        <f>Mat!C25</f>
        <v>fardo</v>
      </c>
      <c r="F43" s="78" t="str">
        <f>Mat!D25</f>
        <v>Neve</v>
      </c>
      <c r="G43" s="79">
        <f t="shared" si="0"/>
        <v>6</v>
      </c>
      <c r="H43" s="80">
        <f>G43*Mat!G25</f>
        <v>754.31999999999994</v>
      </c>
      <c r="I43" s="591" t="str">
        <f t="shared" si="1"/>
        <v>Fornecimento igual ao estimado mensalmente</v>
      </c>
      <c r="J43" s="591"/>
      <c r="K43" s="591"/>
      <c r="L43" s="81">
        <f t="shared" si="2"/>
        <v>6</v>
      </c>
      <c r="M43" s="82">
        <f>Mat!E25</f>
        <v>6</v>
      </c>
      <c r="N43" s="83" t="str">
        <f>Mat!F25</f>
        <v>Mensal</v>
      </c>
      <c r="O43" s="84">
        <f t="shared" si="3"/>
        <v>1</v>
      </c>
      <c r="W43" s="2"/>
    </row>
    <row r="44" spans="1:23" ht="15" hidden="1" customHeight="1" x14ac:dyDescent="0.25">
      <c r="A44" s="85">
        <v>18</v>
      </c>
      <c r="B44" s="599" t="str">
        <f>Mat!B26</f>
        <v xml:space="preserve"> Água sanitária galão de 5 litro composição do produto: hipoclorito de
 sódio 2,5%, hidróxido de sódio e veículo. teor de cloro ativo entre 2,0
 e 2,5% p/p.</v>
      </c>
      <c r="C44" s="599"/>
      <c r="D44" s="599"/>
      <c r="E44" s="78" t="str">
        <f>Mat!C26</f>
        <v>Galão</v>
      </c>
      <c r="F44" s="78"/>
      <c r="G44" s="79">
        <f t="shared" si="0"/>
        <v>1</v>
      </c>
      <c r="H44" s="80">
        <f>G44*Mat!G26</f>
        <v>15.2</v>
      </c>
      <c r="I44" s="591" t="str">
        <f t="shared" si="1"/>
        <v>Fornecimento igual ao estimado mensalmente</v>
      </c>
      <c r="J44" s="591"/>
      <c r="K44" s="591"/>
      <c r="L44" s="81">
        <f t="shared" si="2"/>
        <v>1</v>
      </c>
      <c r="M44" s="82">
        <f>Mat!E26</f>
        <v>1</v>
      </c>
      <c r="N44" s="83" t="str">
        <f>Mat!F26</f>
        <v>Mensal</v>
      </c>
      <c r="O44" s="84">
        <f t="shared" si="3"/>
        <v>1</v>
      </c>
      <c r="W44" s="2"/>
    </row>
    <row r="45" spans="1:23" ht="15" hidden="1" customHeight="1" x14ac:dyDescent="0.25">
      <c r="A45" s="85">
        <v>19</v>
      </c>
      <c r="B45" s="599" t="str">
        <f>Mat!B27</f>
        <v xml:space="preserve">	
PAPEL TOALHA INTERFOLHADO, 2 dobras, 100% fibras celulósicas, branco extra luxo, sem pintas ou outros tipos de sujidades, boa qualidade , medindo aproximadamente 23cm x 23 cm , acondicionado em caixa c/1000 folhas</v>
      </c>
      <c r="C45" s="599"/>
      <c r="D45" s="599"/>
      <c r="E45" s="78" t="str">
        <f>Mat!C27</f>
        <v>Unid.</v>
      </c>
      <c r="F45" s="78" t="str">
        <f>Mat!D27</f>
        <v>Economy, Profi Plus</v>
      </c>
      <c r="G45" s="79">
        <f t="shared" si="0"/>
        <v>24</v>
      </c>
      <c r="H45" s="80">
        <f>G45*Mat!G27</f>
        <v>465.59999999999997</v>
      </c>
      <c r="I45" s="591" t="str">
        <f t="shared" si="1"/>
        <v>Fornecimento igual ao estimado mensalmente</v>
      </c>
      <c r="J45" s="591"/>
      <c r="K45" s="591"/>
      <c r="L45" s="81">
        <f t="shared" si="2"/>
        <v>24</v>
      </c>
      <c r="M45" s="82">
        <f>Mat!E27</f>
        <v>24</v>
      </c>
      <c r="N45" s="83" t="str">
        <f>Mat!F27</f>
        <v>Mensal</v>
      </c>
      <c r="O45" s="84">
        <f t="shared" si="3"/>
        <v>1</v>
      </c>
      <c r="W45" s="2"/>
    </row>
    <row r="46" spans="1:23" ht="15" hidden="1" customHeight="1" x14ac:dyDescent="0.25">
      <c r="A46" s="85">
        <v>20</v>
      </c>
      <c r="B46" s="599" t="str">
        <f>Mat!B28</f>
        <v>Rodo com base de plástico e borracha dupla expandida de 40cm de
 largura, acompanha cabo de madeira plastificado de
 aproximadamente 1,26m</v>
      </c>
      <c r="C46" s="599"/>
      <c r="D46" s="599"/>
      <c r="E46" s="78" t="str">
        <f>Mat!C28</f>
        <v>Unid.</v>
      </c>
      <c r="F46" s="78"/>
      <c r="G46" s="79">
        <f t="shared" si="0"/>
        <v>0.25</v>
      </c>
      <c r="H46" s="80">
        <f>G46*Mat!G28</f>
        <v>2.4</v>
      </c>
      <c r="I46" s="591" t="str">
        <f t="shared" si="1"/>
        <v>Fornecimento igual ao estimado mensalmente</v>
      </c>
      <c r="J46" s="591"/>
      <c r="K46" s="591"/>
      <c r="L46" s="81">
        <f t="shared" si="2"/>
        <v>0.25</v>
      </c>
      <c r="M46" s="82">
        <f>Mat!E28</f>
        <v>3</v>
      </c>
      <c r="N46" s="83" t="str">
        <f>Mat!F28</f>
        <v>Anual</v>
      </c>
      <c r="O46" s="84">
        <f t="shared" si="3"/>
        <v>12</v>
      </c>
      <c r="W46" s="2"/>
    </row>
    <row r="47" spans="1:23" ht="15" hidden="1" customHeight="1" x14ac:dyDescent="0.25">
      <c r="A47" s="85">
        <v>21</v>
      </c>
      <c r="B47" s="599" t="str">
        <f>Mat!B29</f>
        <v>RODO PLÁSTICO 60cm, com borracha dupla, resistente e durável, que
 puxa e seca a água, feita em EVA e cepo em polipropileno com garras
 pontiagudas nas laterais para melhor fixar panos de chão</v>
      </c>
      <c r="C47" s="599"/>
      <c r="D47" s="599"/>
      <c r="E47" s="78" t="str">
        <f>Mat!C29</f>
        <v>Unid.</v>
      </c>
      <c r="F47" s="78"/>
      <c r="G47" s="79">
        <f t="shared" si="0"/>
        <v>8.3333333333333329E-2</v>
      </c>
      <c r="H47" s="80">
        <f>G47*Mat!G29</f>
        <v>1.0141666666666667</v>
      </c>
      <c r="I47" s="591" t="str">
        <f t="shared" si="1"/>
        <v>Fornecimento igual ao estimado mensalmente</v>
      </c>
      <c r="J47" s="591"/>
      <c r="K47" s="591"/>
      <c r="L47" s="81">
        <f t="shared" si="2"/>
        <v>8.3333333333333329E-2</v>
      </c>
      <c r="M47" s="82">
        <f>Mat!E29</f>
        <v>1</v>
      </c>
      <c r="N47" s="83" t="str">
        <f>Mat!F29</f>
        <v>Anual</v>
      </c>
      <c r="O47" s="84">
        <f t="shared" si="3"/>
        <v>12</v>
      </c>
      <c r="W47" s="2"/>
    </row>
    <row r="48" spans="1:23" ht="15" hidden="1" customHeight="1" x14ac:dyDescent="0.25">
      <c r="A48" s="85">
        <v>22</v>
      </c>
      <c r="B48" s="599" t="str">
        <f>Mat!B30</f>
        <v>Sabão em Pó – Caixa íntegra de 1,6Kg. Sabão em pó, convencional, de
 primeira linha. Para lavar roupas e limpeza em geral.</v>
      </c>
      <c r="C48" s="599"/>
      <c r="D48" s="599"/>
      <c r="E48" s="78" t="str">
        <f>Mat!C30</f>
        <v>Unid.</v>
      </c>
      <c r="F48" s="78" t="str">
        <f>Mat!D30</f>
        <v>OMO ou similar</v>
      </c>
      <c r="G48" s="79">
        <f t="shared" si="0"/>
        <v>1</v>
      </c>
      <c r="H48" s="80">
        <f>G48*Mat!G30</f>
        <v>9</v>
      </c>
      <c r="I48" s="591" t="str">
        <f t="shared" si="1"/>
        <v>Fornecimento igual ao estimado mensalmente</v>
      </c>
      <c r="J48" s="591"/>
      <c r="K48" s="591"/>
      <c r="L48" s="81">
        <f t="shared" si="2"/>
        <v>1</v>
      </c>
      <c r="M48" s="82">
        <f>Mat!E30</f>
        <v>1</v>
      </c>
      <c r="N48" s="83" t="str">
        <f>Mat!F30</f>
        <v>Mensal</v>
      </c>
      <c r="O48" s="84">
        <f t="shared" si="3"/>
        <v>1</v>
      </c>
      <c r="W48" s="2"/>
    </row>
    <row r="49" spans="1:23" ht="15" hidden="1" customHeight="1" x14ac:dyDescent="0.25">
      <c r="A49" s="85">
        <v>23</v>
      </c>
      <c r="B49" s="599" t="str">
        <f>Mat!B31</f>
        <v>Sabonete Líquido Perolizado, Erva Doce, Concentrado - Galão com 5l</v>
      </c>
      <c r="C49" s="599"/>
      <c r="D49" s="599"/>
      <c r="E49" s="78" t="str">
        <f>Mat!C31</f>
        <v>Galão</v>
      </c>
      <c r="F49" s="78"/>
      <c r="G49" s="79">
        <f t="shared" si="0"/>
        <v>2</v>
      </c>
      <c r="H49" s="80">
        <f>G49*Mat!G31</f>
        <v>68</v>
      </c>
      <c r="I49" s="591" t="str">
        <f t="shared" si="1"/>
        <v>Fornecimento igual ao estimado mensalmente</v>
      </c>
      <c r="J49" s="591"/>
      <c r="K49" s="591"/>
      <c r="L49" s="81">
        <f t="shared" si="2"/>
        <v>2</v>
      </c>
      <c r="M49" s="82">
        <f>Mat!E31</f>
        <v>2</v>
      </c>
      <c r="N49" s="83" t="str">
        <f>Mat!F31</f>
        <v>Mensal</v>
      </c>
      <c r="O49" s="84">
        <f t="shared" si="3"/>
        <v>1</v>
      </c>
      <c r="W49" s="2"/>
    </row>
    <row r="50" spans="1:23" ht="25.5" hidden="1" customHeight="1" x14ac:dyDescent="0.25">
      <c r="A50" s="85">
        <v>24</v>
      </c>
      <c r="B50" s="599" t="str">
        <f>Mat!B32</f>
        <v>Saco de Algodão Tipo: Alvejado , Tamanho: 60 X 80 CM, Cor: Branco,
 Características Adicionais: Dupla Face</v>
      </c>
      <c r="C50" s="599"/>
      <c r="D50" s="599"/>
      <c r="E50" s="78" t="str">
        <f>Mat!C32</f>
        <v>Unid.</v>
      </c>
      <c r="F50" s="78"/>
      <c r="G50" s="79">
        <f t="shared" si="0"/>
        <v>6</v>
      </c>
      <c r="H50" s="80">
        <f>G50*Mat!G32</f>
        <v>33</v>
      </c>
      <c r="I50" s="591" t="str">
        <f t="shared" si="1"/>
        <v>Fornecimento igual ao estimado mensalmente</v>
      </c>
      <c r="J50" s="591"/>
      <c r="K50" s="591"/>
      <c r="L50" s="81">
        <f t="shared" si="2"/>
        <v>6</v>
      </c>
      <c r="M50" s="82">
        <f>Mat!E32</f>
        <v>6</v>
      </c>
      <c r="N50" s="83" t="str">
        <f>Mat!F32</f>
        <v>Mensal</v>
      </c>
      <c r="O50" s="84">
        <f t="shared" si="3"/>
        <v>1</v>
      </c>
      <c r="W50" s="2"/>
    </row>
    <row r="51" spans="1:23" ht="15.75" hidden="1" customHeight="1" x14ac:dyDescent="0.25">
      <c r="A51" s="85">
        <v>25</v>
      </c>
      <c r="B51" s="599" t="str">
        <f>Mat!B33</f>
        <v>Saco plástico reforçado para lixo 100 litros em polietileno, com capacidade de 100 litros, com estanqueidade suficiente para que não haja vazamento de lixo líquido. com espessura mínima de 10 micra, na cor preta. pacote com 100 unidades.</v>
      </c>
      <c r="C51" s="599"/>
      <c r="D51" s="599"/>
      <c r="E51" s="78" t="str">
        <f>Mat!C33</f>
        <v>cento</v>
      </c>
      <c r="F51" s="78" t="str">
        <f>Mat!D33</f>
        <v>Bunzl ou similar</v>
      </c>
      <c r="G51" s="79">
        <f t="shared" si="0"/>
        <v>4</v>
      </c>
      <c r="H51" s="80">
        <f>G51*Mat!G33</f>
        <v>219.6</v>
      </c>
      <c r="I51" s="591" t="str">
        <f t="shared" si="1"/>
        <v>Fornecimento igual ao estimado mensalmente</v>
      </c>
      <c r="J51" s="591"/>
      <c r="K51" s="591"/>
      <c r="L51" s="81">
        <f t="shared" si="2"/>
        <v>4</v>
      </c>
      <c r="M51" s="82">
        <f>Mat!E33</f>
        <v>4</v>
      </c>
      <c r="N51" s="83" t="str">
        <f>Mat!F33</f>
        <v>Mensal</v>
      </c>
      <c r="O51" s="84">
        <f t="shared" si="3"/>
        <v>1</v>
      </c>
      <c r="W51" s="2"/>
    </row>
    <row r="52" spans="1:23" ht="15" hidden="1" customHeight="1" x14ac:dyDescent="0.25">
      <c r="A52" s="85">
        <v>26</v>
      </c>
      <c r="B52" s="599" t="str">
        <f>Mat!B34</f>
        <v>Saco para lixo, 09 micras, reforçado - pacote -com 100 unidades - 20 litros</v>
      </c>
      <c r="C52" s="599"/>
      <c r="D52" s="599"/>
      <c r="E52" s="78" t="str">
        <f>Mat!C34</f>
        <v>cento</v>
      </c>
      <c r="F52" s="78" t="str">
        <f>Mat!D34</f>
        <v>Bunzl ou similar</v>
      </c>
      <c r="G52" s="79">
        <f t="shared" si="0"/>
        <v>1</v>
      </c>
      <c r="H52" s="80">
        <f>G52*Mat!G34</f>
        <v>16</v>
      </c>
      <c r="I52" s="591" t="str">
        <f t="shared" si="1"/>
        <v>Fornecimento igual ao estimado mensalmente</v>
      </c>
      <c r="J52" s="591"/>
      <c r="K52" s="591"/>
      <c r="L52" s="81">
        <f t="shared" si="2"/>
        <v>1</v>
      </c>
      <c r="M52" s="82">
        <f>Mat!E34</f>
        <v>1</v>
      </c>
      <c r="N52" s="83" t="str">
        <f>Mat!F34</f>
        <v>Mensal</v>
      </c>
      <c r="O52" s="84">
        <f t="shared" si="3"/>
        <v>1</v>
      </c>
      <c r="W52" s="2"/>
    </row>
    <row r="53" spans="1:23" ht="15" hidden="1" customHeight="1" x14ac:dyDescent="0.25">
      <c r="A53" s="85">
        <v>27</v>
      </c>
      <c r="B53" s="599" t="str">
        <f>Mat!B35</f>
        <v>Saco de 60l, preto, resistente</v>
      </c>
      <c r="C53" s="599"/>
      <c r="D53" s="599"/>
      <c r="E53" s="78" t="str">
        <f>Mat!C35</f>
        <v>cento</v>
      </c>
      <c r="F53" s="78" t="str">
        <f>Mat!D35</f>
        <v>Bunzl ou similar</v>
      </c>
      <c r="G53" s="79">
        <f t="shared" si="0"/>
        <v>4</v>
      </c>
      <c r="H53" s="80">
        <f>G53*Mat!G35</f>
        <v>128</v>
      </c>
      <c r="I53" s="591" t="str">
        <f t="shared" si="1"/>
        <v>Fornecimento igual ao estimado mensalmente</v>
      </c>
      <c r="J53" s="591"/>
      <c r="K53" s="591"/>
      <c r="L53" s="81">
        <f t="shared" si="2"/>
        <v>4</v>
      </c>
      <c r="M53" s="82">
        <f>Mat!E35</f>
        <v>4</v>
      </c>
      <c r="N53" s="83" t="str">
        <f>Mat!F35</f>
        <v>Mensal</v>
      </c>
      <c r="O53" s="84">
        <f t="shared" si="3"/>
        <v>1</v>
      </c>
      <c r="W53" s="2"/>
    </row>
    <row r="54" spans="1:23" ht="15" hidden="1" customHeight="1" x14ac:dyDescent="0.25">
      <c r="A54" s="85">
        <v>28</v>
      </c>
      <c r="B54" s="599" t="str">
        <f>Mat!B36</f>
        <v xml:space="preserve">	
Vassoura Material Cerdas: Pêlo Sintético , Comprimento Cepa: 60 CM, Tipo Cabo: Reforçado, Material Cabo: Madeira</v>
      </c>
      <c r="C54" s="599"/>
      <c r="D54" s="599"/>
      <c r="E54" s="78" t="str">
        <f>Mat!C36</f>
        <v>Unid.</v>
      </c>
      <c r="F54" s="78" t="str">
        <f>Mat!D36</f>
        <v>Bettanin</v>
      </c>
      <c r="G54" s="79">
        <f t="shared" si="0"/>
        <v>0.25</v>
      </c>
      <c r="H54" s="80">
        <f>G54*Mat!G36</f>
        <v>4.95</v>
      </c>
      <c r="I54" s="591" t="str">
        <f t="shared" si="1"/>
        <v>Fornecimento igual ao estimado mensalmente</v>
      </c>
      <c r="J54" s="591"/>
      <c r="K54" s="591"/>
      <c r="L54" s="81">
        <f t="shared" si="2"/>
        <v>0.25</v>
      </c>
      <c r="M54" s="82">
        <f>Mat!E36</f>
        <v>3</v>
      </c>
      <c r="N54" s="83" t="str">
        <f>Mat!F36</f>
        <v>Anual</v>
      </c>
      <c r="O54" s="84">
        <f t="shared" si="3"/>
        <v>12</v>
      </c>
      <c r="W54" s="2"/>
    </row>
    <row r="55" spans="1:23" ht="15" hidden="1" customHeight="1" x14ac:dyDescent="0.25">
      <c r="A55" s="85">
        <v>29</v>
      </c>
      <c r="B55" s="599" t="str">
        <f>Mat!B37</f>
        <v>Vassoura Material Cerdas: Piaçava , Aplicação: Limpeza , Material Cepa: Madeira , Comprimento Cepa: 40 CM, Comprimento Cerdas: 13 CM, Largura Cepa: 5 CM, Altura Cepa: 4 CM, Material Cabo: Madeira</v>
      </c>
      <c r="C55" s="599"/>
      <c r="D55" s="599"/>
      <c r="E55" s="78" t="str">
        <f>Mat!C37</f>
        <v>Unid.</v>
      </c>
      <c r="F55" s="78" t="str">
        <f>Mat!D37</f>
        <v>Bettanin</v>
      </c>
      <c r="G55" s="79">
        <f t="shared" si="0"/>
        <v>0.25</v>
      </c>
      <c r="H55" s="80">
        <f>G55*Mat!G37</f>
        <v>6.125</v>
      </c>
      <c r="I55" s="591" t="str">
        <f t="shared" si="1"/>
        <v>Fornecimento igual ao estimado mensalmente</v>
      </c>
      <c r="J55" s="591"/>
      <c r="K55" s="591"/>
      <c r="L55" s="81">
        <f t="shared" si="2"/>
        <v>0.25</v>
      </c>
      <c r="M55" s="82">
        <f>Mat!E37</f>
        <v>3</v>
      </c>
      <c r="N55" s="83" t="str">
        <f>Mat!F37</f>
        <v>Anual</v>
      </c>
      <c r="O55" s="84">
        <f t="shared" si="3"/>
        <v>12</v>
      </c>
      <c r="W55" s="2"/>
    </row>
    <row r="56" spans="1:23" ht="15" hidden="1" customHeight="1" x14ac:dyDescent="0.25">
      <c r="A56" s="85">
        <v>30</v>
      </c>
      <c r="B56" s="599" t="str">
        <f>Mat!B39</f>
        <v>Vassoura redonda p/ vaso sanitário com suporte</v>
      </c>
      <c r="C56" s="599"/>
      <c r="D56" s="599"/>
      <c r="E56" s="78" t="str">
        <f>Mat!C39</f>
        <v>Unid.</v>
      </c>
      <c r="F56" s="78" t="str">
        <f>Mat!D39</f>
        <v>Bettanin</v>
      </c>
      <c r="G56" s="79">
        <f t="shared" si="0"/>
        <v>0.33333333333333331</v>
      </c>
      <c r="H56" s="80">
        <f>G56*Mat!G39</f>
        <v>4.0666666666666664</v>
      </c>
      <c r="I56" s="591" t="str">
        <f t="shared" si="1"/>
        <v>Fornecimento igual ao estimado mensalmente</v>
      </c>
      <c r="J56" s="591"/>
      <c r="K56" s="591"/>
      <c r="L56" s="81">
        <f t="shared" si="2"/>
        <v>0.33333333333333331</v>
      </c>
      <c r="M56" s="82">
        <f>Mat!E39</f>
        <v>4</v>
      </c>
      <c r="N56" s="83" t="str">
        <f>Mat!F39</f>
        <v>Anual</v>
      </c>
      <c r="O56" s="84">
        <f t="shared" si="3"/>
        <v>12</v>
      </c>
      <c r="W56" s="2"/>
    </row>
    <row r="57" spans="1:23" ht="15" hidden="1" customHeight="1" x14ac:dyDescent="0.25">
      <c r="A57" s="595" t="s">
        <v>73</v>
      </c>
      <c r="B57" s="595"/>
      <c r="C57" s="595"/>
      <c r="D57" s="595"/>
      <c r="E57" s="595"/>
      <c r="F57" s="595"/>
      <c r="G57" s="595"/>
      <c r="H57" s="87">
        <f>ROUND(SUM(H27:H56),2)</f>
        <v>2013.59</v>
      </c>
      <c r="I57" s="60"/>
      <c r="J57" s="60"/>
      <c r="K57" s="2"/>
      <c r="L57" s="2"/>
      <c r="M57" s="2"/>
      <c r="N57" s="71"/>
      <c r="O57" s="71"/>
    </row>
    <row r="58" spans="1:23" ht="15" hidden="1" customHeight="1" x14ac:dyDescent="0.25">
      <c r="A58" s="587" t="s">
        <v>74</v>
      </c>
      <c r="B58" s="587"/>
      <c r="C58" s="587"/>
      <c r="D58" s="587"/>
      <c r="E58" s="587"/>
      <c r="F58" s="587"/>
      <c r="G58" s="88">
        <f>Dados!G44</f>
        <v>0.03</v>
      </c>
      <c r="H58" s="89">
        <f>ROUND((H57*G58),2)</f>
        <v>60.41</v>
      </c>
      <c r="I58" s="60"/>
      <c r="J58" s="60"/>
      <c r="K58" s="2"/>
      <c r="L58" s="2"/>
      <c r="M58" s="2"/>
      <c r="N58" s="71"/>
      <c r="O58" s="71"/>
    </row>
    <row r="59" spans="1:23" ht="15" hidden="1" customHeight="1" x14ac:dyDescent="0.25">
      <c r="A59" s="587" t="s">
        <v>75</v>
      </c>
      <c r="B59" s="587"/>
      <c r="C59" s="587"/>
      <c r="D59" s="587"/>
      <c r="E59" s="587"/>
      <c r="F59" s="587"/>
      <c r="G59" s="88">
        <f>Dados!G45</f>
        <v>6.7900000000000002E-2</v>
      </c>
      <c r="H59" s="89">
        <f>ROUND((SUM(H57:H58)*G59),2)</f>
        <v>140.82</v>
      </c>
      <c r="I59" s="60"/>
      <c r="J59" s="60"/>
      <c r="K59" s="2"/>
      <c r="L59" s="2"/>
      <c r="M59" s="2"/>
      <c r="N59" s="71"/>
      <c r="O59" s="71"/>
    </row>
    <row r="60" spans="1:23" ht="15" hidden="1" customHeight="1" x14ac:dyDescent="0.25">
      <c r="A60" s="587" t="s">
        <v>76</v>
      </c>
      <c r="B60" s="587"/>
      <c r="C60" s="587"/>
      <c r="D60" s="587"/>
      <c r="E60" s="587"/>
      <c r="F60" s="587"/>
      <c r="G60" s="88">
        <f>Dados!G56</f>
        <v>6.7290000000000003E-2</v>
      </c>
      <c r="H60" s="89">
        <f>ROUND((H61*G60),2)</f>
        <v>159.79</v>
      </c>
      <c r="I60" s="60"/>
      <c r="J60" s="60"/>
      <c r="K60" s="2"/>
      <c r="L60" s="2"/>
      <c r="M60" s="2"/>
      <c r="N60" s="71"/>
      <c r="O60" s="71"/>
    </row>
    <row r="61" spans="1:23" ht="15.75" hidden="1" customHeight="1" x14ac:dyDescent="0.25">
      <c r="A61" s="588" t="s">
        <v>77</v>
      </c>
      <c r="B61" s="588"/>
      <c r="C61" s="588"/>
      <c r="D61" s="588"/>
      <c r="E61" s="588"/>
      <c r="F61" s="588"/>
      <c r="G61" s="588"/>
      <c r="H61" s="90">
        <f>ROUND((SUM(H57:H59)/(1-G60)),2)</f>
        <v>2374.61</v>
      </c>
      <c r="I61" s="60"/>
      <c r="J61" s="60"/>
      <c r="K61" s="2"/>
      <c r="L61" s="2"/>
      <c r="M61" s="2"/>
      <c r="N61" s="71"/>
      <c r="O61" s="71"/>
    </row>
    <row r="62" spans="1:23" hidden="1" x14ac:dyDescent="0.25">
      <c r="A62" s="66"/>
      <c r="B62" s="71"/>
      <c r="C62" s="71"/>
      <c r="D62" s="71"/>
      <c r="E62" s="71"/>
      <c r="F62" s="71"/>
      <c r="G62" s="66"/>
      <c r="H62" s="71"/>
      <c r="I62" s="71"/>
      <c r="J62" s="71"/>
      <c r="K62" s="2"/>
      <c r="L62" s="2"/>
      <c r="M62" s="2"/>
      <c r="N62" s="71"/>
      <c r="O62" s="71"/>
    </row>
    <row r="63" spans="1:23" ht="15.75" hidden="1" customHeight="1" x14ac:dyDescent="0.25">
      <c r="A63" s="592" t="s">
        <v>59</v>
      </c>
      <c r="B63" s="596" t="s">
        <v>78</v>
      </c>
      <c r="C63" s="596"/>
      <c r="D63" s="596"/>
      <c r="E63" s="596"/>
      <c r="F63" s="597" t="s">
        <v>61</v>
      </c>
      <c r="G63" s="597"/>
      <c r="H63" s="597"/>
      <c r="I63" s="598" t="s">
        <v>62</v>
      </c>
      <c r="J63" s="598"/>
      <c r="K63" s="598"/>
      <c r="L63" s="593" t="s">
        <v>63</v>
      </c>
      <c r="M63" s="593"/>
      <c r="N63" s="593"/>
      <c r="O63" s="593"/>
      <c r="V63" s="2"/>
      <c r="W63" s="2"/>
    </row>
    <row r="64" spans="1:23" ht="38.25" hidden="1" customHeight="1" x14ac:dyDescent="0.25">
      <c r="A64" s="592"/>
      <c r="B64" s="594" t="s">
        <v>64</v>
      </c>
      <c r="C64" s="594"/>
      <c r="D64" s="594"/>
      <c r="E64" s="65" t="s">
        <v>65</v>
      </c>
      <c r="F64" s="65" t="s">
        <v>66</v>
      </c>
      <c r="G64" s="65" t="s">
        <v>67</v>
      </c>
      <c r="H64" s="75" t="s">
        <v>68</v>
      </c>
      <c r="I64" s="598"/>
      <c r="J64" s="598"/>
      <c r="K64" s="598"/>
      <c r="L64" s="72" t="s">
        <v>69</v>
      </c>
      <c r="M64" s="73" t="s">
        <v>70</v>
      </c>
      <c r="N64" s="73" t="s">
        <v>71</v>
      </c>
      <c r="O64" s="74" t="s">
        <v>72</v>
      </c>
      <c r="V64" s="2"/>
      <c r="W64" s="2"/>
    </row>
    <row r="65" spans="1:23" hidden="1" x14ac:dyDescent="0.25">
      <c r="A65" s="91">
        <v>1</v>
      </c>
      <c r="B65" s="590" t="str">
        <f>Mat!B46</f>
        <v>COADOR DE CAFÉ. Especificação: Em pano 100%algodão, cor branca, dimensões de 20cm (diâmetro) x 30cm (profundidade), cabo 16 cm de comprimento feito de arame de aço galvanizado revestido com PVC. O rótulo do produto deve estampar o nome do fabricante.</v>
      </c>
      <c r="C65" s="590"/>
      <c r="D65" s="590"/>
      <c r="E65" s="78" t="str">
        <f>Mat!C46</f>
        <v>Unid</v>
      </c>
      <c r="F65" s="78"/>
      <c r="G65" s="79">
        <f t="shared" ref="G65:G71" si="4">IF($D$4="PLANILHA PARA LICITAÇÃO (PRECIFICAÇÃO)",L65,0)</f>
        <v>2</v>
      </c>
      <c r="H65" s="80">
        <f>G65*Mat!G46</f>
        <v>15.6</v>
      </c>
      <c r="I65" s="591" t="str">
        <f t="shared" ref="I65:I71" si="5">IF(G65&lt;L65,"Fornecimento inferior ao estimado mensalmente",IF(G65=L65,"Fornecimento igual ao estimado mensalmente",IF(G65&gt;L65,"Fornecimento superior ao estimado mensalmente",)))</f>
        <v>Fornecimento igual ao estimado mensalmente</v>
      </c>
      <c r="J65" s="591"/>
      <c r="K65" s="591"/>
      <c r="L65" s="81">
        <f t="shared" ref="L65:L71" si="6">M65/O65</f>
        <v>2</v>
      </c>
      <c r="M65" s="92">
        <f>Mat!E46</f>
        <v>2</v>
      </c>
      <c r="N65" s="92" t="str">
        <f>Mat!F46</f>
        <v>Mensal</v>
      </c>
      <c r="O65" s="84">
        <f t="shared" ref="O65:O71" si="7">IF(N65="MENSAL",1,IF(N65="BIMESTRAL",2,IF(N65="TRIMESTRAL",3,IF(N65="QUADRIMESTRAL",4,IF(N65="SEMESTRAL",6,IF(N65="ANUAL",12,IF(N65="BIENAL",24,"")))))))</f>
        <v>1</v>
      </c>
      <c r="W65" s="2"/>
    </row>
    <row r="66" spans="1:23" ht="15" hidden="1" customHeight="1" x14ac:dyDescent="0.25">
      <c r="A66" s="91">
        <v>2</v>
      </c>
      <c r="B66" s="590" t="str">
        <f>Mat!B47</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66" s="590"/>
      <c r="D66" s="590"/>
      <c r="E66" s="78" t="str">
        <f>Mat!C47</f>
        <v>unid</v>
      </c>
      <c r="F66" s="78" t="str">
        <f>Mat!D47</f>
        <v>Ypê, Limpol</v>
      </c>
      <c r="G66" s="79">
        <f t="shared" si="4"/>
        <v>3</v>
      </c>
      <c r="H66" s="80">
        <f>G66*Mat!G47</f>
        <v>13.5</v>
      </c>
      <c r="I66" s="591" t="str">
        <f t="shared" si="5"/>
        <v>Fornecimento igual ao estimado mensalmente</v>
      </c>
      <c r="J66" s="591"/>
      <c r="K66" s="591"/>
      <c r="L66" s="81">
        <f t="shared" si="6"/>
        <v>3</v>
      </c>
      <c r="M66" s="92">
        <f>Mat!E47</f>
        <v>3</v>
      </c>
      <c r="N66" s="92" t="str">
        <f>Mat!F47</f>
        <v>Mensal</v>
      </c>
      <c r="O66" s="84">
        <f t="shared" si="7"/>
        <v>1</v>
      </c>
      <c r="W66" s="2"/>
    </row>
    <row r="67" spans="1:23" ht="39.75" hidden="1" customHeight="1" x14ac:dyDescent="0.25">
      <c r="A67" s="91">
        <v>3</v>
      </c>
      <c r="B67" s="590" t="str">
        <f>Mat!B48</f>
        <v>Esponja Limpeza Material: Fibra Vegetal , Aplicação: Utensílios Domésticos , Abrasividade: Mínima / Média , Características Adicionais: Dupla Face, Formato: Retangular</v>
      </c>
      <c r="C67" s="590"/>
      <c r="D67" s="590"/>
      <c r="E67" s="78" t="str">
        <f>Mat!C48</f>
        <v>unid.</v>
      </c>
      <c r="F67" s="78" t="str">
        <f>Mat!D48</f>
        <v>Bombril, Assonlan ou similar</v>
      </c>
      <c r="G67" s="79">
        <f t="shared" si="4"/>
        <v>2</v>
      </c>
      <c r="H67" s="80">
        <f>G67*Mat!G48</f>
        <v>6.6</v>
      </c>
      <c r="I67" s="591" t="str">
        <f t="shared" si="5"/>
        <v>Fornecimento igual ao estimado mensalmente</v>
      </c>
      <c r="J67" s="591"/>
      <c r="K67" s="591"/>
      <c r="L67" s="81">
        <f t="shared" si="6"/>
        <v>2</v>
      </c>
      <c r="M67" s="92">
        <f>Mat!E48</f>
        <v>2</v>
      </c>
      <c r="N67" s="92" t="str">
        <f>Mat!F48</f>
        <v>Mensal</v>
      </c>
      <c r="O67" s="84">
        <f t="shared" si="7"/>
        <v>1</v>
      </c>
      <c r="W67" s="2"/>
    </row>
    <row r="68" spans="1:23" ht="15" hidden="1" customHeight="1" x14ac:dyDescent="0.25">
      <c r="A68" s="91">
        <v>4</v>
      </c>
      <c r="B68" s="590" t="str">
        <f>Mat!B49</f>
        <v>FLANELA BRANCA 40 cm X 60 cm APLICAÇÃO: para limpeza de móveis, vidros e objetos. CARACTERÍSTICA(S): macia, com bainha em todas as bordas. MATERIAL(IS): 100 % algodão. MEDIDA(S): 38 cm X 58 cm, de largura x comprimento, no mínimo. GRAMATURA: 120 g/m², no mínimo. ACONDICIONAMENTO: embalagem original de fábrica, com identificação e quantidade do material. OBSERVAÇÃO(ÕES): o produto deve conter etiqueta ou vir acompanhado de declaração do fabricante que informe o material em que é fabricado.</v>
      </c>
      <c r="C68" s="590"/>
      <c r="D68" s="590"/>
      <c r="E68" s="78" t="str">
        <f>Mat!C49</f>
        <v>unid</v>
      </c>
      <c r="F68" s="78" t="str">
        <f>Mat!D49</f>
        <v>Kafebom</v>
      </c>
      <c r="G68" s="79">
        <f t="shared" si="4"/>
        <v>1</v>
      </c>
      <c r="H68" s="80">
        <f>G68*Mat!G49</f>
        <v>8</v>
      </c>
      <c r="I68" s="591" t="str">
        <f t="shared" si="5"/>
        <v>Fornecimento igual ao estimado mensalmente</v>
      </c>
      <c r="J68" s="591"/>
      <c r="K68" s="591"/>
      <c r="L68" s="81">
        <f t="shared" si="6"/>
        <v>1</v>
      </c>
      <c r="M68" s="92">
        <f>Mat!E49</f>
        <v>1</v>
      </c>
      <c r="N68" s="92" t="str">
        <f>Mat!F49</f>
        <v>Mensal</v>
      </c>
      <c r="O68" s="84">
        <f t="shared" si="7"/>
        <v>1</v>
      </c>
      <c r="W68" s="2"/>
    </row>
    <row r="69" spans="1:23" ht="15" hidden="1" customHeight="1" x14ac:dyDescent="0.25">
      <c r="A69" s="91">
        <v>5</v>
      </c>
      <c r="B69" s="590" t="str">
        <f>Mat!B50</f>
        <v>Guardanapo de limpeza, em papel absorvente, folha simples, na cor branca, não gofrado, 4 dobras, dimensões mínimas 33cm x 30cm, 100% fibras naturais, embalado em pacote com 50 unidades, com dados do fabricante, data de fabricação e prazo de validade. Produto fabricado de acordo com as normas da ABNT/NBR. Do tipo Coquetel, Santepel, Snob ou de melhor qualidade</v>
      </c>
      <c r="C69" s="590"/>
      <c r="D69" s="590"/>
      <c r="E69" s="78" t="str">
        <f>Mat!C50</f>
        <v>pct</v>
      </c>
      <c r="F69" s="78" t="str">
        <f>Mat!D50</f>
        <v>Santepel</v>
      </c>
      <c r="G69" s="79">
        <f t="shared" si="4"/>
        <v>1</v>
      </c>
      <c r="H69" s="80">
        <f>G69*Mat!G50</f>
        <v>3.31</v>
      </c>
      <c r="I69" s="591" t="str">
        <f t="shared" si="5"/>
        <v>Fornecimento igual ao estimado mensalmente</v>
      </c>
      <c r="J69" s="591"/>
      <c r="K69" s="591"/>
      <c r="L69" s="81">
        <f t="shared" si="6"/>
        <v>1</v>
      </c>
      <c r="M69" s="92">
        <f>Mat!E50</f>
        <v>1</v>
      </c>
      <c r="N69" s="92" t="str">
        <f>Mat!F50</f>
        <v>Mensal</v>
      </c>
      <c r="O69" s="84">
        <f t="shared" si="7"/>
        <v>1</v>
      </c>
      <c r="W69" s="2"/>
    </row>
    <row r="70" spans="1:23" ht="15" hidden="1" customHeight="1" x14ac:dyDescent="0.25">
      <c r="A70" s="91">
        <v>6</v>
      </c>
      <c r="B70" s="590" t="str">
        <f>Mat!B51</f>
        <v>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v>
      </c>
      <c r="C70" s="590"/>
      <c r="D70" s="590"/>
      <c r="E70" s="78" t="str">
        <f>Mat!C51</f>
        <v>unid.</v>
      </c>
      <c r="F70" s="78" t="str">
        <f>Mat!D51</f>
        <v>Veja ou similar</v>
      </c>
      <c r="G70" s="79">
        <f t="shared" si="4"/>
        <v>2</v>
      </c>
      <c r="H70" s="80">
        <f>G70*Mat!G51</f>
        <v>9</v>
      </c>
      <c r="I70" s="591" t="str">
        <f t="shared" si="5"/>
        <v>Fornecimento igual ao estimado mensalmente</v>
      </c>
      <c r="J70" s="591"/>
      <c r="K70" s="591"/>
      <c r="L70" s="81">
        <f t="shared" si="6"/>
        <v>2</v>
      </c>
      <c r="M70" s="92">
        <f>Mat!E51</f>
        <v>2</v>
      </c>
      <c r="N70" s="92" t="str">
        <f>Mat!F51</f>
        <v>Mensal</v>
      </c>
      <c r="O70" s="84">
        <f t="shared" si="7"/>
        <v>1</v>
      </c>
      <c r="W70" s="2"/>
    </row>
    <row r="71" spans="1:23" ht="15" hidden="1" customHeight="1" x14ac:dyDescent="0.25">
      <c r="A71" s="91">
        <v>7</v>
      </c>
      <c r="B71" s="590" t="str">
        <f>Mat!B52</f>
        <v>Pano de prato - branco</v>
      </c>
      <c r="C71" s="590"/>
      <c r="D71" s="590"/>
      <c r="E71" s="78" t="str">
        <f>Mat!C52</f>
        <v>unid.</v>
      </c>
      <c r="F71" s="78"/>
      <c r="G71" s="79">
        <f t="shared" si="4"/>
        <v>3</v>
      </c>
      <c r="H71" s="80">
        <f>G71*Mat!G52</f>
        <v>15.899999999999999</v>
      </c>
      <c r="I71" s="591" t="str">
        <f t="shared" si="5"/>
        <v>Fornecimento igual ao estimado mensalmente</v>
      </c>
      <c r="J71" s="591"/>
      <c r="K71" s="591"/>
      <c r="L71" s="81">
        <f t="shared" si="6"/>
        <v>3</v>
      </c>
      <c r="M71" s="92">
        <f>Mat!E52</f>
        <v>3</v>
      </c>
      <c r="N71" s="92" t="str">
        <f>Mat!F52</f>
        <v>Mensal</v>
      </c>
      <c r="O71" s="84">
        <f t="shared" si="7"/>
        <v>1</v>
      </c>
      <c r="W71" s="2"/>
    </row>
    <row r="72" spans="1:23" ht="15" hidden="1" customHeight="1" x14ac:dyDescent="0.25">
      <c r="A72" s="592" t="s">
        <v>73</v>
      </c>
      <c r="B72" s="592"/>
      <c r="C72" s="592"/>
      <c r="D72" s="592"/>
      <c r="E72" s="592"/>
      <c r="F72" s="592"/>
      <c r="G72" s="592"/>
      <c r="H72" s="93">
        <f>SUM(H65:H71)</f>
        <v>71.91</v>
      </c>
      <c r="I72" s="60"/>
      <c r="J72" s="60"/>
      <c r="K72" s="2"/>
      <c r="L72" s="71"/>
      <c r="M72" s="71"/>
      <c r="N72" s="71"/>
      <c r="V72" s="2"/>
      <c r="W72" s="2"/>
    </row>
    <row r="73" spans="1:23" ht="15" hidden="1" customHeight="1" x14ac:dyDescent="0.25">
      <c r="A73" s="587" t="s">
        <v>74</v>
      </c>
      <c r="B73" s="587"/>
      <c r="C73" s="587"/>
      <c r="D73" s="587"/>
      <c r="E73" s="587"/>
      <c r="F73" s="587"/>
      <c r="G73" s="88">
        <f>Dados!$G$44</f>
        <v>0.03</v>
      </c>
      <c r="H73" s="89">
        <f>ROUND((H72*G73),2)</f>
        <v>2.16</v>
      </c>
      <c r="I73" s="71"/>
      <c r="J73" s="71"/>
      <c r="K73" s="2"/>
      <c r="L73" s="71"/>
      <c r="M73" s="71"/>
      <c r="N73" s="71"/>
      <c r="V73" s="2"/>
      <c r="W73" s="2"/>
    </row>
    <row r="74" spans="1:23" ht="15" hidden="1" customHeight="1" x14ac:dyDescent="0.25">
      <c r="A74" s="587" t="s">
        <v>75</v>
      </c>
      <c r="B74" s="587"/>
      <c r="C74" s="587"/>
      <c r="D74" s="587"/>
      <c r="E74" s="587"/>
      <c r="F74" s="587"/>
      <c r="G74" s="88">
        <f>Dados!$G$45</f>
        <v>6.7900000000000002E-2</v>
      </c>
      <c r="H74" s="89">
        <f>ROUND((SUM(H72:H73)*G74),2)</f>
        <v>5.03</v>
      </c>
      <c r="I74" s="71"/>
      <c r="J74" s="71"/>
      <c r="K74" s="2"/>
      <c r="L74" s="71"/>
      <c r="M74" s="71"/>
      <c r="N74" s="71"/>
      <c r="V74" s="2"/>
      <c r="W74" s="2"/>
    </row>
    <row r="75" spans="1:23" ht="15" hidden="1" customHeight="1" x14ac:dyDescent="0.25">
      <c r="A75" s="587" t="s">
        <v>76</v>
      </c>
      <c r="B75" s="587"/>
      <c r="C75" s="587"/>
      <c r="D75" s="587"/>
      <c r="E75" s="587"/>
      <c r="F75" s="587"/>
      <c r="G75" s="88">
        <f>Dados!$G$56</f>
        <v>6.7290000000000003E-2</v>
      </c>
      <c r="H75" s="89">
        <f>ROUND((H76*G75),2)</f>
        <v>5.71</v>
      </c>
      <c r="I75" s="71"/>
      <c r="J75" s="71"/>
      <c r="K75" s="2"/>
      <c r="L75" s="71"/>
      <c r="M75" s="71"/>
      <c r="N75" s="71"/>
      <c r="V75" s="2"/>
      <c r="W75" s="2"/>
    </row>
    <row r="76" spans="1:23" ht="15.75" hidden="1" customHeight="1" x14ac:dyDescent="0.25">
      <c r="A76" s="588" t="s">
        <v>79</v>
      </c>
      <c r="B76" s="588"/>
      <c r="C76" s="588"/>
      <c r="D76" s="588"/>
      <c r="E76" s="588"/>
      <c r="F76" s="588"/>
      <c r="G76" s="588"/>
      <c r="H76" s="90">
        <f>ROUND((SUM(H72:H74)/(1-G75)),2)</f>
        <v>84.81</v>
      </c>
      <c r="I76" s="71"/>
      <c r="J76" s="71"/>
      <c r="K76" s="2"/>
      <c r="L76" s="71"/>
      <c r="M76" s="71"/>
      <c r="N76" s="71"/>
      <c r="V76" s="2"/>
      <c r="W76" s="2"/>
    </row>
    <row r="77" spans="1:23" hidden="1" x14ac:dyDescent="0.25">
      <c r="A77" s="66"/>
      <c r="B77" s="71"/>
      <c r="C77" s="71"/>
      <c r="D77" s="71"/>
      <c r="E77" s="71"/>
      <c r="F77" s="71"/>
      <c r="G77" s="66"/>
      <c r="H77" s="71"/>
      <c r="I77" s="71"/>
      <c r="J77" s="71"/>
      <c r="K77" s="2"/>
      <c r="L77" s="71"/>
      <c r="M77" s="71"/>
      <c r="N77" s="71"/>
      <c r="V77" s="2"/>
      <c r="W77" s="2"/>
    </row>
    <row r="78" spans="1:23" hidden="1" x14ac:dyDescent="0.25">
      <c r="L78" s="2"/>
      <c r="M78" s="2"/>
      <c r="P78" s="4"/>
      <c r="Q78" s="4"/>
      <c r="V78" s="2"/>
      <c r="W78" s="2"/>
    </row>
    <row r="79" spans="1:23" hidden="1" x14ac:dyDescent="0.25"/>
    <row r="80" spans="1:23" hidden="1" x14ac:dyDescent="0.25">
      <c r="B80" s="589" t="s">
        <v>80</v>
      </c>
      <c r="C80" s="589"/>
    </row>
    <row r="81" spans="2:4" hidden="1" x14ac:dyDescent="0.25">
      <c r="B81" s="94" t="s">
        <v>81</v>
      </c>
      <c r="C81" s="95">
        <v>22</v>
      </c>
      <c r="D81" s="2" t="s">
        <v>82</v>
      </c>
    </row>
    <row r="82" spans="2:4" hidden="1" x14ac:dyDescent="0.25">
      <c r="B82" s="94" t="s">
        <v>5</v>
      </c>
      <c r="C82" s="96">
        <v>30</v>
      </c>
      <c r="D82" s="2" t="s">
        <v>83</v>
      </c>
    </row>
    <row r="83" spans="2:4" hidden="1" x14ac:dyDescent="0.25">
      <c r="B83" s="94" t="s">
        <v>84</v>
      </c>
      <c r="C83" s="96" t="s">
        <v>85</v>
      </c>
      <c r="D83" s="2" t="s">
        <v>86</v>
      </c>
    </row>
    <row r="84" spans="2:4" hidden="1" x14ac:dyDescent="0.25"/>
    <row r="85" spans="2:4" hidden="1" x14ac:dyDescent="0.25">
      <c r="B85" s="94" t="s">
        <v>87</v>
      </c>
      <c r="C85" s="94" t="s">
        <v>88</v>
      </c>
    </row>
    <row r="86" spans="2:4" hidden="1" x14ac:dyDescent="0.25">
      <c r="B86" s="94">
        <v>220</v>
      </c>
      <c r="C86" s="94">
        <v>8.8000000000000007</v>
      </c>
    </row>
    <row r="87" spans="2:4" hidden="1" x14ac:dyDescent="0.25">
      <c r="B87" s="94">
        <v>200</v>
      </c>
      <c r="C87" s="94">
        <v>8</v>
      </c>
    </row>
    <row r="88" spans="2:4" hidden="1" x14ac:dyDescent="0.25">
      <c r="B88" s="94">
        <v>180</v>
      </c>
      <c r="C88" s="94">
        <v>7.2</v>
      </c>
    </row>
    <row r="89" spans="2:4" hidden="1" x14ac:dyDescent="0.25">
      <c r="B89" s="94">
        <v>150</v>
      </c>
      <c r="C89" s="94">
        <v>6</v>
      </c>
    </row>
    <row r="90" spans="2:4" hidden="1" x14ac:dyDescent="0.25">
      <c r="B90" s="94">
        <v>120</v>
      </c>
      <c r="C90" s="94">
        <v>4.8</v>
      </c>
    </row>
    <row r="91" spans="2:4" hidden="1" x14ac:dyDescent="0.25">
      <c r="B91" s="94">
        <v>100</v>
      </c>
      <c r="C91" s="94">
        <v>4</v>
      </c>
    </row>
    <row r="92" spans="2:4" hidden="1" x14ac:dyDescent="0.25">
      <c r="B92" s="94">
        <v>75</v>
      </c>
      <c r="C92" s="94">
        <v>3</v>
      </c>
    </row>
    <row r="93" spans="2:4" hidden="1" x14ac:dyDescent="0.25"/>
    <row r="94" spans="2:4" hidden="1" x14ac:dyDescent="0.25">
      <c r="B94" s="94" t="s">
        <v>89</v>
      </c>
    </row>
    <row r="95" spans="2:4" hidden="1" x14ac:dyDescent="0.25">
      <c r="B95" s="97">
        <v>0</v>
      </c>
    </row>
    <row r="96" spans="2:4" hidden="1" x14ac:dyDescent="0.25">
      <c r="B96" s="97">
        <v>1</v>
      </c>
    </row>
    <row r="97" spans="2:2" hidden="1" x14ac:dyDescent="0.25">
      <c r="B97" s="97">
        <v>2</v>
      </c>
    </row>
  </sheetData>
  <sheetProtection sheet="1" objects="1" scenarios="1"/>
  <mergeCells count="124">
    <mergeCell ref="C2:S2"/>
    <mergeCell ref="C3:S3"/>
    <mergeCell ref="A4:C4"/>
    <mergeCell ref="D4:E4"/>
    <mergeCell ref="A5:C5"/>
    <mergeCell ref="A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S7:S9"/>
    <mergeCell ref="T7:W9"/>
    <mergeCell ref="A16:G16"/>
    <mergeCell ref="I16:J16"/>
    <mergeCell ref="A19:B20"/>
    <mergeCell ref="A21:F22"/>
    <mergeCell ref="A25:A26"/>
    <mergeCell ref="B25:E25"/>
    <mergeCell ref="F25:H25"/>
    <mergeCell ref="I25:K26"/>
    <mergeCell ref="L25:O25"/>
    <mergeCell ref="B26:D26"/>
    <mergeCell ref="B27:D27"/>
    <mergeCell ref="I27:K27"/>
    <mergeCell ref="B28:D28"/>
    <mergeCell ref="I28:K28"/>
    <mergeCell ref="B29:D29"/>
    <mergeCell ref="I29:K29"/>
    <mergeCell ref="B30:D30"/>
    <mergeCell ref="I30:K30"/>
    <mergeCell ref="B31:D31"/>
    <mergeCell ref="I31:K31"/>
    <mergeCell ref="B32:D32"/>
    <mergeCell ref="I32:K32"/>
    <mergeCell ref="B33:D33"/>
    <mergeCell ref="I33:K33"/>
    <mergeCell ref="B34:D34"/>
    <mergeCell ref="I34:K34"/>
    <mergeCell ref="B35:D35"/>
    <mergeCell ref="I35:K35"/>
    <mergeCell ref="B36:D36"/>
    <mergeCell ref="I36:K36"/>
    <mergeCell ref="B37:D37"/>
    <mergeCell ref="I37:K37"/>
    <mergeCell ref="B38:D38"/>
    <mergeCell ref="I38:K38"/>
    <mergeCell ref="B39:D39"/>
    <mergeCell ref="I39:K39"/>
    <mergeCell ref="B40:D40"/>
    <mergeCell ref="I40:K40"/>
    <mergeCell ref="B41:D41"/>
    <mergeCell ref="I41:K41"/>
    <mergeCell ref="B42:D42"/>
    <mergeCell ref="I42:K42"/>
    <mergeCell ref="B43:D43"/>
    <mergeCell ref="I43:K43"/>
    <mergeCell ref="B44:D44"/>
    <mergeCell ref="I44:K44"/>
    <mergeCell ref="B45:D45"/>
    <mergeCell ref="I45:K45"/>
    <mergeCell ref="B46:D46"/>
    <mergeCell ref="I46:K46"/>
    <mergeCell ref="B47:D47"/>
    <mergeCell ref="I47:K47"/>
    <mergeCell ref="B48:D48"/>
    <mergeCell ref="I48:K48"/>
    <mergeCell ref="B49:D49"/>
    <mergeCell ref="I49:K49"/>
    <mergeCell ref="B50:D50"/>
    <mergeCell ref="I50:K50"/>
    <mergeCell ref="B51:D51"/>
    <mergeCell ref="I51:K51"/>
    <mergeCell ref="B52:D52"/>
    <mergeCell ref="I52:K52"/>
    <mergeCell ref="B53:D53"/>
    <mergeCell ref="I53:K53"/>
    <mergeCell ref="B54:D54"/>
    <mergeCell ref="I54:K54"/>
    <mergeCell ref="B55:D55"/>
    <mergeCell ref="I55:K55"/>
    <mergeCell ref="B56:D56"/>
    <mergeCell ref="I56:K56"/>
    <mergeCell ref="A57:G57"/>
    <mergeCell ref="A58:F58"/>
    <mergeCell ref="A59:F59"/>
    <mergeCell ref="A60:F60"/>
    <mergeCell ref="A61:G61"/>
    <mergeCell ref="A63:A64"/>
    <mergeCell ref="B63:E63"/>
    <mergeCell ref="F63:H63"/>
    <mergeCell ref="I63:K64"/>
    <mergeCell ref="L63:O63"/>
    <mergeCell ref="B64:D64"/>
    <mergeCell ref="B65:D65"/>
    <mergeCell ref="I65:K65"/>
    <mergeCell ref="B66:D66"/>
    <mergeCell ref="I66:K66"/>
    <mergeCell ref="B67:D67"/>
    <mergeCell ref="I67:K67"/>
    <mergeCell ref="B68:D68"/>
    <mergeCell ref="I68:K68"/>
    <mergeCell ref="A75:F75"/>
    <mergeCell ref="A76:G76"/>
    <mergeCell ref="B80:C80"/>
    <mergeCell ref="B69:D69"/>
    <mergeCell ref="I69:K69"/>
    <mergeCell ref="B70:D70"/>
    <mergeCell ref="I70:K70"/>
    <mergeCell ref="B71:D71"/>
    <mergeCell ref="I71:K71"/>
    <mergeCell ref="A72:G72"/>
    <mergeCell ref="A73:F73"/>
    <mergeCell ref="A74:F74"/>
  </mergeCells>
  <conditionalFormatting sqref="I27:I56 I65:I71">
    <cfRule type="containsText" dxfId="1" priority="2" operator="containsText" text="inferior"/>
    <cfRule type="containsText" dxfId="0" priority="3" operator="containsText" text="superior"/>
  </conditionalFormatting>
  <dataValidations count="7">
    <dataValidation type="list" allowBlank="1" showInputMessage="1" showErrorMessage="1" sqref="N27:N56" xr:uid="{00000000-0002-0000-0000-000000000000}">
      <formula1>"Mensal,Bimestral,Trimestral,Quadrimestral,Semestral,Anual,Bienal"</formula1>
      <formula2>0</formula2>
    </dataValidation>
    <dataValidation type="list" allowBlank="1" showInputMessage="1" showErrorMessage="1" sqref="C20" xr:uid="{00000000-0002-0000-0000-000001000000}">
      <formula1>$B$86:$B$92</formula1>
      <formula2>0</formula2>
    </dataValidation>
    <dataValidation type="list" allowBlank="1" showInputMessage="1" showErrorMessage="1" sqref="D15" xr:uid="{00000000-0002-0000-0000-000002000000}">
      <formula1>$B$95:$B$97</formula1>
      <formula2>0</formula2>
    </dataValidation>
    <dataValidation type="list" allowBlank="1" showInputMessage="1" showErrorMessage="1" sqref="D4:E4" xr:uid="{00000000-0002-0000-0000-000003000000}">
      <formula1>"PLANILHA PARA LICITAÇÃO (PRECIFICAÇÃO),PLANILHA PARA FATURAMENTO"</formula1>
      <formula2>0</formula2>
    </dataValidation>
    <dataValidation type="list" allowBlank="1" showInputMessage="1" showErrorMessage="1" sqref="D5" xr:uid="{00000000-0002-0000-0000-000004000000}">
      <formula1>$B$81:$B$83</formula1>
      <formula2>0</formula2>
    </dataValidation>
    <dataValidation type="list" allowBlank="1" showInputMessage="1" showErrorMessage="1" sqref="E11:E15" xr:uid="{00000000-0002-0000-0000-000005000000}">
      <formula1>"SIM,NÃO"</formula1>
      <formula2>0</formula2>
    </dataValidation>
    <dataValidation type="list" allowBlank="1" showInputMessage="1" showErrorMessage="1" sqref="D11:D14" xr:uid="{00000000-0002-0000-0000-000006000000}">
      <formula1>$B$95:$B$96</formula1>
      <formula2>0</formula2>
    </dataValidation>
  </dataValidations>
  <pageMargins left="0.7" right="0.7" top="0.75" bottom="0.75" header="0.51180555555555496" footer="0.51180555555555496"/>
  <pageSetup paperSize="9" firstPageNumber="0"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K47"/>
  <sheetViews>
    <sheetView showGridLines="0" topLeftCell="A31" zoomScaleNormal="100" workbookViewId="0">
      <selection activeCell="O9" sqref="O9"/>
    </sheetView>
  </sheetViews>
  <sheetFormatPr defaultRowHeight="15" x14ac:dyDescent="0.25"/>
  <cols>
    <col min="1" max="1" width="10.5703125" style="71" customWidth="1"/>
    <col min="2" max="2" width="27.7109375" style="71" customWidth="1"/>
    <col min="3" max="3" width="14.42578125" style="71" customWidth="1"/>
    <col min="4" max="5" width="15" style="71" customWidth="1"/>
    <col min="6" max="6" width="16.7109375" style="349" customWidth="1"/>
    <col min="7" max="8" width="13.140625" style="349" customWidth="1"/>
    <col min="9" max="10" width="12.5703125" style="349" customWidth="1"/>
    <col min="11" max="257" width="9.140625" style="71" customWidth="1"/>
    <col min="258" max="258" width="10.5703125" style="71" customWidth="1"/>
    <col min="259" max="259" width="27.7109375" style="71" customWidth="1"/>
    <col min="260" max="260" width="14.42578125" style="71" customWidth="1"/>
    <col min="261" max="262" width="15" style="71" customWidth="1"/>
    <col min="263" max="263" width="16.7109375" style="71" customWidth="1"/>
    <col min="264" max="264" width="13.140625" style="71" customWidth="1"/>
    <col min="265" max="266" width="12.5703125" style="71" customWidth="1"/>
    <col min="267" max="513" width="9.140625" style="71" customWidth="1"/>
    <col min="514" max="514" width="10.5703125" style="71" customWidth="1"/>
    <col min="515" max="515" width="27.7109375" style="71" customWidth="1"/>
    <col min="516" max="516" width="14.42578125" style="71" customWidth="1"/>
    <col min="517" max="518" width="15" style="71" customWidth="1"/>
    <col min="519" max="519" width="16.7109375" style="71" customWidth="1"/>
    <col min="520" max="520" width="13.140625" style="71" customWidth="1"/>
    <col min="521" max="522" width="12.5703125" style="71" customWidth="1"/>
    <col min="523" max="769" width="9.140625" style="71" customWidth="1"/>
    <col min="770" max="770" width="10.5703125" style="71" customWidth="1"/>
    <col min="771" max="771" width="27.7109375" style="71" customWidth="1"/>
    <col min="772" max="772" width="14.42578125" style="71" customWidth="1"/>
    <col min="773" max="774" width="15" style="71" customWidth="1"/>
    <col min="775" max="775" width="16.7109375" style="71" customWidth="1"/>
    <col min="776" max="776" width="13.140625" style="71" customWidth="1"/>
    <col min="777" max="778" width="12.5703125" style="71" customWidth="1"/>
    <col min="779" max="1025" width="9.140625" style="71" customWidth="1"/>
  </cols>
  <sheetData>
    <row r="1" spans="1:10" x14ac:dyDescent="0.25">
      <c r="A1" s="350"/>
      <c r="B1" s="100" t="str">
        <f>INSTRUÇÕES!B1</f>
        <v>Tribunal Regional Federal da 6ª Região</v>
      </c>
      <c r="C1" s="351"/>
      <c r="D1" s="351"/>
      <c r="E1" s="351"/>
      <c r="F1" s="352"/>
      <c r="G1" s="353"/>
      <c r="H1" s="353"/>
      <c r="I1" s="352"/>
      <c r="J1" s="354"/>
    </row>
    <row r="2" spans="1:10" x14ac:dyDescent="0.25">
      <c r="A2" s="355"/>
      <c r="B2" s="102" t="str">
        <f>INSTRUÇÕES!B2</f>
        <v>Seção Judiciária de Minas Gerais</v>
      </c>
      <c r="C2" s="60"/>
      <c r="D2" s="60"/>
      <c r="E2" s="60"/>
      <c r="F2" s="356"/>
      <c r="I2" s="356"/>
      <c r="J2" s="357"/>
    </row>
    <row r="3" spans="1:10" x14ac:dyDescent="0.25">
      <c r="A3" s="173"/>
      <c r="B3" s="358" t="str">
        <f>INSTRUÇÕES!B3</f>
        <v>Subseção Judiciária de Montes Claros</v>
      </c>
      <c r="C3" s="60"/>
      <c r="D3" s="60"/>
      <c r="E3" s="60"/>
      <c r="F3" s="356"/>
      <c r="I3" s="356"/>
      <c r="J3" s="357"/>
    </row>
    <row r="4" spans="1:10" ht="19.5" customHeight="1" x14ac:dyDescent="0.25">
      <c r="A4" s="707" t="s">
        <v>510</v>
      </c>
      <c r="B4" s="707"/>
      <c r="C4" s="707"/>
      <c r="D4" s="707"/>
      <c r="E4" s="707"/>
      <c r="F4" s="707"/>
      <c r="G4" s="707"/>
      <c r="H4" s="707"/>
      <c r="I4" s="707"/>
      <c r="J4" s="707"/>
    </row>
    <row r="5" spans="1:10" ht="19.5" customHeight="1" x14ac:dyDescent="0.25">
      <c r="A5" s="708" t="s">
        <v>296</v>
      </c>
      <c r="B5" s="708"/>
      <c r="C5" s="708"/>
      <c r="D5" s="708"/>
      <c r="E5" s="708"/>
      <c r="F5" s="708"/>
      <c r="G5" s="708"/>
      <c r="H5" s="708"/>
      <c r="I5" s="708"/>
      <c r="J5" s="708"/>
    </row>
    <row r="6" spans="1:10" ht="36" customHeight="1" x14ac:dyDescent="0.25">
      <c r="A6" s="709" t="str">
        <f>Dados!A4</f>
        <v>Sindicato utilizado - SINSERTH X SINTAPPI. Vigência: 2024. Sendo a data base da categoria 01° DE ABRIL. Com número de registro no MTE MG002103/2024.</v>
      </c>
      <c r="B6" s="709"/>
      <c r="C6" s="709"/>
      <c r="D6" s="709"/>
      <c r="E6" s="709"/>
      <c r="F6" s="709"/>
      <c r="G6" s="709"/>
      <c r="H6" s="709"/>
      <c r="I6" s="709"/>
      <c r="J6" s="709"/>
    </row>
    <row r="7" spans="1:10" ht="19.5" customHeight="1" x14ac:dyDescent="0.25">
      <c r="A7" s="710" t="str">
        <f>Dados!C7</f>
        <v>Servente de Limpeza 40% Insalubridade</v>
      </c>
      <c r="B7" s="710"/>
      <c r="C7" s="710"/>
      <c r="D7" s="710"/>
      <c r="E7" s="710"/>
      <c r="F7" s="711" t="s">
        <v>511</v>
      </c>
      <c r="G7" s="711" t="s">
        <v>512</v>
      </c>
      <c r="H7" s="711" t="s">
        <v>513</v>
      </c>
      <c r="I7" s="711" t="s">
        <v>514</v>
      </c>
      <c r="J7" s="711" t="s">
        <v>515</v>
      </c>
    </row>
    <row r="8" spans="1:10" ht="19.5" customHeight="1" x14ac:dyDescent="0.25">
      <c r="A8" s="712" t="s">
        <v>516</v>
      </c>
      <c r="B8" s="712"/>
      <c r="C8" s="712"/>
      <c r="D8" s="712"/>
      <c r="E8" s="359" t="s">
        <v>462</v>
      </c>
      <c r="F8" s="711"/>
      <c r="G8" s="711"/>
      <c r="H8" s="711"/>
      <c r="I8" s="711"/>
      <c r="J8" s="711"/>
    </row>
    <row r="9" spans="1:10" ht="19.5" customHeight="1" x14ac:dyDescent="0.25">
      <c r="A9" s="691" t="s">
        <v>517</v>
      </c>
      <c r="B9" s="691"/>
      <c r="C9" s="691"/>
      <c r="D9" s="691"/>
      <c r="E9" s="691"/>
      <c r="F9" s="691"/>
      <c r="G9" s="691"/>
      <c r="H9" s="691"/>
      <c r="I9" s="691"/>
      <c r="J9" s="691"/>
    </row>
    <row r="10" spans="1:10" ht="24" customHeight="1" x14ac:dyDescent="0.25">
      <c r="A10" s="178" t="s">
        <v>463</v>
      </c>
      <c r="B10" s="701" t="s">
        <v>518</v>
      </c>
      <c r="C10" s="701"/>
      <c r="D10" s="227" t="s">
        <v>519</v>
      </c>
      <c r="E10" s="360" t="s">
        <v>520</v>
      </c>
      <c r="F10" s="702" t="s">
        <v>466</v>
      </c>
      <c r="G10" s="702"/>
      <c r="H10" s="702"/>
      <c r="I10" s="702"/>
      <c r="J10" s="702"/>
    </row>
    <row r="11" spans="1:10" ht="19.5" customHeight="1" x14ac:dyDescent="0.25">
      <c r="A11" s="703">
        <v>1</v>
      </c>
      <c r="B11" s="704" t="str">
        <f>A7</f>
        <v>Servente de Limpeza 40% Insalubridade</v>
      </c>
      <c r="C11" s="704"/>
      <c r="D11" s="28">
        <f>Dados!D7</f>
        <v>150</v>
      </c>
      <c r="E11" s="362">
        <f>Dados!E7</f>
        <v>1541.23</v>
      </c>
      <c r="F11" s="363">
        <f>ROUND(E11/220*D11,2)</f>
        <v>1050.8399999999999</v>
      </c>
      <c r="G11" s="363">
        <f>F11</f>
        <v>1050.8399999999999</v>
      </c>
      <c r="H11" s="363"/>
      <c r="I11" s="363"/>
      <c r="J11" s="364"/>
    </row>
    <row r="12" spans="1:10" ht="19.5" customHeight="1" x14ac:dyDescent="0.25">
      <c r="A12" s="703"/>
      <c r="B12" s="704" t="s">
        <v>521</v>
      </c>
      <c r="C12" s="704"/>
      <c r="D12" s="365">
        <f>Dados!G7</f>
        <v>0.4</v>
      </c>
      <c r="E12" s="362">
        <f>Dados!G28</f>
        <v>1412</v>
      </c>
      <c r="F12" s="363">
        <f>D12*E12</f>
        <v>564.80000000000007</v>
      </c>
      <c r="G12" s="363">
        <f>F12</f>
        <v>564.80000000000007</v>
      </c>
      <c r="H12" s="363"/>
      <c r="I12" s="363"/>
      <c r="J12" s="364">
        <f>F12</f>
        <v>564.80000000000007</v>
      </c>
    </row>
    <row r="13" spans="1:10" ht="20.25" customHeight="1" x14ac:dyDescent="0.25">
      <c r="A13" s="703"/>
      <c r="B13" s="366" t="s">
        <v>522</v>
      </c>
      <c r="C13" s="367">
        <f>Dados!I7</f>
        <v>0</v>
      </c>
      <c r="D13" s="367">
        <f>Dados!J7</f>
        <v>0</v>
      </c>
      <c r="E13" s="368">
        <f>Dados!K10</f>
        <v>0</v>
      </c>
      <c r="F13" s="369">
        <f>ROUND((E13*D13*C13),2)</f>
        <v>0</v>
      </c>
      <c r="G13" s="369">
        <f>F13</f>
        <v>0</v>
      </c>
      <c r="H13" s="369"/>
      <c r="I13" s="369"/>
      <c r="J13" s="370"/>
    </row>
    <row r="14" spans="1:10" ht="19.5" customHeight="1" x14ac:dyDescent="0.25">
      <c r="A14" s="703"/>
      <c r="B14" s="705" t="s">
        <v>523</v>
      </c>
      <c r="C14" s="705"/>
      <c r="D14" s="705"/>
      <c r="E14" s="705"/>
      <c r="F14" s="371">
        <f>SUM(F11:F13)</f>
        <v>1615.6399999999999</v>
      </c>
      <c r="G14" s="371">
        <f>SUM(G11:G13)</f>
        <v>1615.6399999999999</v>
      </c>
      <c r="H14" s="371">
        <f>SUM(H11:H13)</f>
        <v>0</v>
      </c>
      <c r="I14" s="371">
        <f>SUM(I11:I13)</f>
        <v>0</v>
      </c>
      <c r="J14" s="372">
        <f>SUM(J11:J13)</f>
        <v>564.80000000000007</v>
      </c>
    </row>
    <row r="15" spans="1:10" ht="19.5" customHeight="1" x14ac:dyDescent="0.25">
      <c r="A15" s="703"/>
      <c r="B15" s="706" t="s">
        <v>524</v>
      </c>
      <c r="C15" s="706"/>
      <c r="D15" s="706"/>
      <c r="E15" s="373">
        <f>Encargos!$C$57</f>
        <v>0.7330000000000001</v>
      </c>
      <c r="F15" s="363">
        <f>ROUND((E15*F14),2)</f>
        <v>1184.26</v>
      </c>
      <c r="G15" s="363">
        <f>F15</f>
        <v>1184.26</v>
      </c>
      <c r="H15" s="363"/>
      <c r="I15" s="363"/>
      <c r="J15" s="364">
        <f>ROUND((E15*J14),2)</f>
        <v>414</v>
      </c>
    </row>
    <row r="16" spans="1:10" ht="19.5" customHeight="1" x14ac:dyDescent="0.25">
      <c r="A16" s="697" t="s">
        <v>525</v>
      </c>
      <c r="B16" s="697"/>
      <c r="C16" s="697"/>
      <c r="D16" s="697"/>
      <c r="E16" s="697"/>
      <c r="F16" s="374">
        <f>SUM(F14:F15)</f>
        <v>2799.8999999999996</v>
      </c>
      <c r="G16" s="374">
        <f>SUM(G14:G15)</f>
        <v>2799.8999999999996</v>
      </c>
      <c r="H16" s="374">
        <f>SUM(H14:H15)</f>
        <v>0</v>
      </c>
      <c r="I16" s="374">
        <f>SUM(I14:I15)</f>
        <v>0</v>
      </c>
      <c r="J16" s="375">
        <f>SUM(J14:J15)</f>
        <v>978.80000000000007</v>
      </c>
    </row>
    <row r="17" spans="1:12" ht="19.5" customHeight="1" x14ac:dyDescent="0.25">
      <c r="A17" s="698" t="s">
        <v>526</v>
      </c>
      <c r="B17" s="698"/>
      <c r="C17" s="698"/>
      <c r="D17" s="698"/>
      <c r="E17" s="698"/>
      <c r="F17" s="698"/>
      <c r="G17" s="698"/>
      <c r="H17" s="698"/>
      <c r="I17" s="698"/>
      <c r="J17" s="698"/>
    </row>
    <row r="18" spans="1:12" ht="19.5" customHeight="1" x14ac:dyDescent="0.25">
      <c r="A18" s="692" t="s">
        <v>527</v>
      </c>
      <c r="B18" s="692"/>
      <c r="C18" s="39" t="s">
        <v>465</v>
      </c>
      <c r="D18" s="699" t="s">
        <v>528</v>
      </c>
      <c r="E18" s="699"/>
      <c r="F18" s="700" t="s">
        <v>466</v>
      </c>
      <c r="G18" s="700"/>
      <c r="H18" s="700"/>
      <c r="I18" s="700"/>
      <c r="J18" s="700"/>
    </row>
    <row r="19" spans="1:12" ht="19.5" customHeight="1" x14ac:dyDescent="0.25">
      <c r="A19" s="683" t="s">
        <v>529</v>
      </c>
      <c r="B19" s="683"/>
      <c r="C19" s="378"/>
      <c r="D19" s="378"/>
      <c r="E19" s="378"/>
      <c r="F19" s="363">
        <f>Dados!$N$7</f>
        <v>27.17</v>
      </c>
      <c r="G19" s="363">
        <f t="shared" ref="G19:G24" si="0">F19</f>
        <v>27.17</v>
      </c>
      <c r="H19" s="363"/>
      <c r="I19" s="363"/>
      <c r="J19" s="364"/>
    </row>
    <row r="20" spans="1:12" ht="19.5" customHeight="1" x14ac:dyDescent="0.25">
      <c r="A20" s="683" t="s">
        <v>530</v>
      </c>
      <c r="B20" s="683"/>
      <c r="C20" s="378"/>
      <c r="D20" s="378"/>
      <c r="E20" s="378"/>
      <c r="F20" s="363">
        <f>Dados!$G$31</f>
        <v>3.09</v>
      </c>
      <c r="G20" s="363">
        <f t="shared" si="0"/>
        <v>3.09</v>
      </c>
      <c r="H20" s="363"/>
      <c r="I20" s="363"/>
      <c r="J20" s="364"/>
    </row>
    <row r="21" spans="1:12" ht="23.25" customHeight="1" x14ac:dyDescent="0.25">
      <c r="A21" s="696" t="s">
        <v>226</v>
      </c>
      <c r="B21" s="696"/>
      <c r="C21" s="378"/>
      <c r="D21" s="378"/>
      <c r="E21" s="378"/>
      <c r="F21" s="363">
        <f>Dados!G32</f>
        <v>0</v>
      </c>
      <c r="G21" s="363">
        <f t="shared" si="0"/>
        <v>0</v>
      </c>
      <c r="H21" s="363"/>
      <c r="I21" s="363"/>
      <c r="J21" s="364"/>
    </row>
    <row r="22" spans="1:12" ht="19.5" customHeight="1" x14ac:dyDescent="0.25">
      <c r="A22" s="683" t="s">
        <v>227</v>
      </c>
      <c r="B22" s="683"/>
      <c r="C22" s="379">
        <f>Dados!$G$35</f>
        <v>22</v>
      </c>
      <c r="D22" s="379">
        <f>Dados!$G$34</f>
        <v>2</v>
      </c>
      <c r="E22" s="378">
        <f>Dados!$G$33</f>
        <v>4.25</v>
      </c>
      <c r="F22" s="363">
        <f>IF(ROUND((E22*D22*C22)-(F11*Dados!$G$36),2)&lt;0,0,ROUND((E22*D22*C22)-(F11*Dados!$G$36),2))</f>
        <v>123.95</v>
      </c>
      <c r="G22" s="363">
        <f t="shared" si="0"/>
        <v>123.95</v>
      </c>
      <c r="H22" s="363"/>
      <c r="I22" s="363">
        <f>F22</f>
        <v>123.95</v>
      </c>
      <c r="J22" s="364"/>
    </row>
    <row r="23" spans="1:12" ht="19.5" customHeight="1" x14ac:dyDescent="0.25">
      <c r="A23" s="683" t="s">
        <v>236</v>
      </c>
      <c r="B23" s="683"/>
      <c r="C23" s="379">
        <f>Dados!$G$38</f>
        <v>22</v>
      </c>
      <c r="D23" s="380">
        <f>Dados!$G$39</f>
        <v>0.2</v>
      </c>
      <c r="E23" s="378">
        <f>Dados!$G$37</f>
        <v>27.24</v>
      </c>
      <c r="F23" s="271">
        <f>ROUND((IF(D11&gt;150,((C23*E23)-(C23*(D23*E23))),0)),2)</f>
        <v>0</v>
      </c>
      <c r="G23" s="363">
        <f t="shared" si="0"/>
        <v>0</v>
      </c>
      <c r="H23" s="363">
        <f>$F$23</f>
        <v>0</v>
      </c>
      <c r="I23" s="271"/>
      <c r="J23" s="364"/>
    </row>
    <row r="24" spans="1:12" ht="19.5" customHeight="1" x14ac:dyDescent="0.25">
      <c r="A24" s="683" t="s">
        <v>189</v>
      </c>
      <c r="B24" s="683"/>
      <c r="C24" s="379"/>
      <c r="D24" s="379"/>
      <c r="E24" s="378"/>
      <c r="F24" s="271">
        <f>Dados!Q7</f>
        <v>4.166666666666667</v>
      </c>
      <c r="G24" s="363">
        <f t="shared" si="0"/>
        <v>4.166666666666667</v>
      </c>
      <c r="H24" s="363"/>
      <c r="I24" s="271"/>
      <c r="J24" s="364"/>
    </row>
    <row r="25" spans="1:12" ht="19.5" customHeight="1" x14ac:dyDescent="0.25">
      <c r="A25" s="683" t="s">
        <v>239</v>
      </c>
      <c r="B25" s="683"/>
      <c r="C25" s="379"/>
      <c r="D25" s="379"/>
      <c r="E25" s="378"/>
      <c r="F25" s="271">
        <f>Dados!$G$41</f>
        <v>0</v>
      </c>
      <c r="G25" s="363"/>
      <c r="H25" s="363"/>
      <c r="I25" s="271"/>
      <c r="J25" s="364"/>
    </row>
    <row r="26" spans="1:12" ht="19.5" customHeight="1" x14ac:dyDescent="0.25">
      <c r="A26" s="683" t="s">
        <v>531</v>
      </c>
      <c r="B26" s="683"/>
      <c r="C26" s="379"/>
      <c r="D26" s="378"/>
      <c r="E26" s="378"/>
      <c r="F26" s="363">
        <f>Dados!$O$7</f>
        <v>672.05</v>
      </c>
      <c r="G26" s="363"/>
      <c r="H26" s="363"/>
      <c r="I26" s="363"/>
      <c r="J26" s="364"/>
      <c r="L26" s="60"/>
    </row>
    <row r="27" spans="1:12" ht="19.5" customHeight="1" x14ac:dyDescent="0.25">
      <c r="A27" s="377" t="s">
        <v>532</v>
      </c>
      <c r="B27" s="381"/>
      <c r="C27" s="379"/>
      <c r="D27" s="378"/>
      <c r="E27" s="378"/>
      <c r="F27" s="363"/>
      <c r="G27" s="363"/>
      <c r="H27" s="363"/>
      <c r="I27" s="363"/>
      <c r="J27" s="364"/>
    </row>
    <row r="28" spans="1:12" ht="19.5" customHeight="1" x14ac:dyDescent="0.25">
      <c r="A28" s="695" t="s">
        <v>533</v>
      </c>
      <c r="B28" s="695"/>
      <c r="C28" s="382"/>
      <c r="D28" s="383"/>
      <c r="E28" s="383"/>
      <c r="F28" s="369">
        <f>Dados!$R$7</f>
        <v>1.8333333333333333</v>
      </c>
      <c r="G28" s="369">
        <f>F28</f>
        <v>1.8333333333333333</v>
      </c>
      <c r="H28" s="369"/>
      <c r="I28" s="369"/>
      <c r="J28" s="370"/>
    </row>
    <row r="29" spans="1:12" ht="19.5" customHeight="1" x14ac:dyDescent="0.25">
      <c r="A29" s="690" t="s">
        <v>534</v>
      </c>
      <c r="B29" s="690"/>
      <c r="C29" s="690"/>
      <c r="D29" s="690"/>
      <c r="E29" s="690"/>
      <c r="F29" s="374">
        <f>SUM(F19:F28)</f>
        <v>832.26</v>
      </c>
      <c r="G29" s="374">
        <f>SUM(G19:G28)</f>
        <v>160.21</v>
      </c>
      <c r="H29" s="374">
        <f>SUM(H19:H28)</f>
        <v>0</v>
      </c>
      <c r="I29" s="374">
        <f>SUM(I19:I28)</f>
        <v>123.95</v>
      </c>
      <c r="J29" s="375">
        <f>SUM(J19:J28)</f>
        <v>0</v>
      </c>
    </row>
    <row r="30" spans="1:12" ht="19.5" customHeight="1" x14ac:dyDescent="0.25">
      <c r="A30" s="690" t="s">
        <v>535</v>
      </c>
      <c r="B30" s="690"/>
      <c r="C30" s="690"/>
      <c r="D30" s="690"/>
      <c r="E30" s="690"/>
      <c r="F30" s="374">
        <f>F16+F29</f>
        <v>3632.16</v>
      </c>
      <c r="G30" s="374">
        <f>G16+G29</f>
        <v>2960.1099999999997</v>
      </c>
      <c r="H30" s="374">
        <f>H16+H29</f>
        <v>0</v>
      </c>
      <c r="I30" s="374">
        <f>I16+I29</f>
        <v>123.95</v>
      </c>
      <c r="J30" s="375">
        <f>J16+J29</f>
        <v>978.80000000000007</v>
      </c>
    </row>
    <row r="31" spans="1:12" ht="19.5" customHeight="1" x14ac:dyDescent="0.25">
      <c r="A31" s="691" t="s">
        <v>536</v>
      </c>
      <c r="B31" s="691"/>
      <c r="C31" s="691"/>
      <c r="D31" s="691"/>
      <c r="E31" s="691"/>
      <c r="F31" s="691"/>
      <c r="G31" s="691"/>
      <c r="H31" s="691"/>
      <c r="I31" s="691"/>
      <c r="J31" s="691"/>
    </row>
    <row r="32" spans="1:12" ht="19.5" customHeight="1" x14ac:dyDescent="0.25">
      <c r="A32" s="692" t="s">
        <v>537</v>
      </c>
      <c r="B32" s="692"/>
      <c r="C32" s="692"/>
      <c r="D32" s="83" t="s">
        <v>538</v>
      </c>
      <c r="E32" s="693" t="s">
        <v>466</v>
      </c>
      <c r="F32" s="693"/>
      <c r="G32" s="693"/>
      <c r="H32" s="693"/>
      <c r="I32" s="693"/>
      <c r="J32" s="693"/>
    </row>
    <row r="33" spans="1:12" ht="19.5" customHeight="1" x14ac:dyDescent="0.25">
      <c r="A33" s="384" t="s">
        <v>539</v>
      </c>
      <c r="B33" s="385"/>
      <c r="C33" s="385"/>
      <c r="D33" s="365">
        <f>Dados!$G$44</f>
        <v>0.03</v>
      </c>
      <c r="E33" s="386"/>
      <c r="F33" s="363">
        <f>ROUND((F30*$D$33),2)</f>
        <v>108.96</v>
      </c>
      <c r="G33" s="363">
        <f>ROUND((G30*$D$33),2)</f>
        <v>88.8</v>
      </c>
      <c r="H33" s="363">
        <f>ROUND((H30*$D$33),2)</f>
        <v>0</v>
      </c>
      <c r="I33" s="363">
        <f>ROUND((I30*$D$33),2)</f>
        <v>3.72</v>
      </c>
      <c r="J33" s="364">
        <f>ROUND((J30*$D$33),2)</f>
        <v>29.36</v>
      </c>
    </row>
    <row r="34" spans="1:12" ht="19.5" customHeight="1" x14ac:dyDescent="0.25">
      <c r="A34" s="694" t="s">
        <v>540</v>
      </c>
      <c r="B34" s="694"/>
      <c r="C34" s="694"/>
      <c r="D34" s="365"/>
      <c r="E34" s="386"/>
      <c r="F34" s="363">
        <f>F30+F33</f>
        <v>3741.12</v>
      </c>
      <c r="G34" s="363">
        <f>G30+G33</f>
        <v>3048.91</v>
      </c>
      <c r="H34" s="363">
        <f>H30+H33</f>
        <v>0</v>
      </c>
      <c r="I34" s="363">
        <f>I30+I33</f>
        <v>127.67</v>
      </c>
      <c r="J34" s="364">
        <f>J30+J33</f>
        <v>1008.1600000000001</v>
      </c>
    </row>
    <row r="35" spans="1:12" ht="19.5" customHeight="1" x14ac:dyDescent="0.25">
      <c r="A35" s="387" t="s">
        <v>244</v>
      </c>
      <c r="B35" s="388"/>
      <c r="C35" s="388"/>
      <c r="D35" s="389">
        <f>Dados!$G$45</f>
        <v>6.7900000000000002E-2</v>
      </c>
      <c r="E35" s="390"/>
      <c r="F35" s="369">
        <f>ROUND((F34*$D$35),2)</f>
        <v>254.02</v>
      </c>
      <c r="G35" s="369">
        <f>ROUND((G34*$D$35),2)</f>
        <v>207.02</v>
      </c>
      <c r="H35" s="369">
        <f>ROUND((H34*$D$35),2)</f>
        <v>0</v>
      </c>
      <c r="I35" s="369">
        <f>ROUND((I34*$D$35),2)</f>
        <v>8.67</v>
      </c>
      <c r="J35" s="370">
        <f>ROUND((J34*$D$35),2)</f>
        <v>68.45</v>
      </c>
    </row>
    <row r="36" spans="1:12" ht="19.5" customHeight="1" x14ac:dyDescent="0.25">
      <c r="A36" s="391" t="s">
        <v>541</v>
      </c>
      <c r="B36" s="392"/>
      <c r="C36" s="392"/>
      <c r="D36" s="393">
        <f>SUM(D33:D35)</f>
        <v>9.7900000000000001E-2</v>
      </c>
      <c r="E36" s="394"/>
      <c r="F36" s="374">
        <f>F33+F35</f>
        <v>362.98</v>
      </c>
      <c r="G36" s="374">
        <f>G33+G35</f>
        <v>295.82</v>
      </c>
      <c r="H36" s="374">
        <f>H33+H35</f>
        <v>0</v>
      </c>
      <c r="I36" s="374">
        <f>I33+I35</f>
        <v>12.39</v>
      </c>
      <c r="J36" s="375">
        <f>J33+J35</f>
        <v>97.81</v>
      </c>
    </row>
    <row r="37" spans="1:12" ht="19.5" customHeight="1" x14ac:dyDescent="0.25">
      <c r="A37" s="688" t="s">
        <v>542</v>
      </c>
      <c r="B37" s="688"/>
      <c r="C37" s="688"/>
      <c r="D37" s="688"/>
      <c r="E37" s="688"/>
      <c r="F37" s="395">
        <f>F30+F36</f>
        <v>3995.14</v>
      </c>
      <c r="G37" s="395">
        <f>G30+G36</f>
        <v>3255.93</v>
      </c>
      <c r="H37" s="395">
        <f>H30+H36</f>
        <v>0</v>
      </c>
      <c r="I37" s="395">
        <f>I30+I36</f>
        <v>136.34</v>
      </c>
      <c r="J37" s="396">
        <f>J30+J36</f>
        <v>1076.6100000000001</v>
      </c>
    </row>
    <row r="38" spans="1:12" ht="19.5" customHeight="1" x14ac:dyDescent="0.25">
      <c r="A38" s="689" t="s">
        <v>543</v>
      </c>
      <c r="B38" s="689"/>
      <c r="C38" s="689"/>
      <c r="D38" s="689"/>
      <c r="E38" s="689"/>
      <c r="F38" s="689"/>
      <c r="G38" s="689"/>
      <c r="H38" s="689"/>
      <c r="I38" s="689"/>
      <c r="J38" s="689"/>
    </row>
    <row r="39" spans="1:12" ht="19.5" customHeight="1" x14ac:dyDescent="0.25">
      <c r="A39" s="683" t="s">
        <v>250</v>
      </c>
      <c r="B39" s="683"/>
      <c r="C39" s="683"/>
      <c r="D39" s="365">
        <f>Dados!G52</f>
        <v>3.065E-2</v>
      </c>
      <c r="E39" s="363"/>
      <c r="F39" s="363">
        <f>ROUND(($F$45*D39),2)</f>
        <v>131.29</v>
      </c>
      <c r="G39" s="363">
        <f>ROUND((G45*$D$39),2)</f>
        <v>106.99</v>
      </c>
      <c r="H39" s="363">
        <f>ROUND((H45*$D$39),2)</f>
        <v>0</v>
      </c>
      <c r="I39" s="363">
        <f>ROUND((I45*$D$39),2)</f>
        <v>4.4800000000000004</v>
      </c>
      <c r="J39" s="364">
        <f>ROUND((J45*$D$39),2)</f>
        <v>35.380000000000003</v>
      </c>
    </row>
    <row r="40" spans="1:12" ht="19.5" customHeight="1" x14ac:dyDescent="0.25">
      <c r="A40" s="683" t="s">
        <v>252</v>
      </c>
      <c r="B40" s="683"/>
      <c r="C40" s="683"/>
      <c r="D40" s="365">
        <f>Dados!G53</f>
        <v>6.6400000000000001E-3</v>
      </c>
      <c r="E40" s="363"/>
      <c r="F40" s="363">
        <f>ROUND((F45*$D$40),2)</f>
        <v>28.44</v>
      </c>
      <c r="G40" s="363">
        <f>ROUND((G45*$D$40),2)</f>
        <v>23.18</v>
      </c>
      <c r="H40" s="363">
        <f>ROUND((H45*$D$40),2)</f>
        <v>0</v>
      </c>
      <c r="I40" s="363">
        <f>ROUND((I45*$D$40),2)</f>
        <v>0.97</v>
      </c>
      <c r="J40" s="364">
        <f>ROUND((J45*$D$40),2)</f>
        <v>7.66</v>
      </c>
    </row>
    <row r="41" spans="1:12" ht="19.5" customHeight="1" x14ac:dyDescent="0.25">
      <c r="A41" s="683" t="s">
        <v>253</v>
      </c>
      <c r="B41" s="683"/>
      <c r="C41" s="683"/>
      <c r="D41" s="365">
        <f>Dados!G54</f>
        <v>0.03</v>
      </c>
      <c r="E41" s="363"/>
      <c r="F41" s="363">
        <f>ROUND((F45*$D$41),2)</f>
        <v>128.5</v>
      </c>
      <c r="G41" s="363">
        <f>ROUND((G45*$D$41),2)</f>
        <v>104.72</v>
      </c>
      <c r="H41" s="363">
        <f>ROUND((H45*$D$41),2)</f>
        <v>0</v>
      </c>
      <c r="I41" s="363">
        <f>ROUND((I45*$D$41),2)</f>
        <v>4.3899999999999997</v>
      </c>
      <c r="J41" s="364">
        <f>ROUND((J45*$D$41),2)</f>
        <v>34.630000000000003</v>
      </c>
    </row>
    <row r="42" spans="1:12" ht="19.5" customHeight="1" x14ac:dyDescent="0.25">
      <c r="A42" s="683" t="s">
        <v>239</v>
      </c>
      <c r="B42" s="683"/>
      <c r="C42" s="683"/>
      <c r="D42" s="365">
        <f>Dados!G55</f>
        <v>0</v>
      </c>
      <c r="E42" s="363"/>
      <c r="F42" s="363">
        <f>ROUND((F45*$D$42),2)</f>
        <v>0</v>
      </c>
      <c r="G42" s="363">
        <f>ROUND((G45*$D$42),2)</f>
        <v>0</v>
      </c>
      <c r="H42" s="363">
        <f>ROUND((H45*$D$42),2)</f>
        <v>0</v>
      </c>
      <c r="I42" s="363">
        <f>ROUND((I45*$D$42),2)</f>
        <v>0</v>
      </c>
      <c r="J42" s="364">
        <f>ROUND((J45*$D$42),2)</f>
        <v>0</v>
      </c>
    </row>
    <row r="43" spans="1:12" ht="19.5" customHeight="1" x14ac:dyDescent="0.25">
      <c r="A43" s="684" t="s">
        <v>544</v>
      </c>
      <c r="B43" s="684"/>
      <c r="C43" s="684"/>
      <c r="D43" s="397">
        <f>SUM(D39:D42)</f>
        <v>6.7290000000000003E-2</v>
      </c>
      <c r="E43" s="398"/>
      <c r="F43" s="399">
        <f>SUM(F39:F42)</f>
        <v>288.23</v>
      </c>
      <c r="G43" s="399">
        <f>SUM(G39:G42)</f>
        <v>234.89</v>
      </c>
      <c r="H43" s="399">
        <f>SUM(H39:H42)</f>
        <v>0</v>
      </c>
      <c r="I43" s="399">
        <f>SUM(I39:I42)</f>
        <v>9.84</v>
      </c>
      <c r="J43" s="400">
        <f>SUM(J39:J41)</f>
        <v>77.670000000000016</v>
      </c>
    </row>
    <row r="44" spans="1:12" ht="19.5" customHeight="1" x14ac:dyDescent="0.25">
      <c r="A44" s="685" t="str">
        <f>CONCATENATE("Custo Mensal - ",A7)</f>
        <v>Custo Mensal - Servente de Limpeza 40% Insalubridade</v>
      </c>
      <c r="B44" s="685"/>
      <c r="C44" s="685"/>
      <c r="D44" s="685"/>
      <c r="E44" s="685"/>
      <c r="F44" s="401">
        <f>ROUND(F37/(1-D43),2)</f>
        <v>4283.37</v>
      </c>
      <c r="G44" s="401">
        <f>ROUND(G37/(1-D43),2)</f>
        <v>3490.83</v>
      </c>
      <c r="H44" s="401">
        <f>ROUND(H37/(1-D43),2)</f>
        <v>0</v>
      </c>
      <c r="I44" s="401">
        <f>ROUND(I37/(1-D43),2)</f>
        <v>146.18</v>
      </c>
      <c r="J44" s="402">
        <f>ROUND(J37/(1-D43),2)</f>
        <v>1154.28</v>
      </c>
    </row>
    <row r="45" spans="1:12" ht="19.5" customHeight="1" x14ac:dyDescent="0.25">
      <c r="A45" s="686" t="str">
        <f>CONCATENATE("Valor do Custo Mensal - ",A7)</f>
        <v>Valor do Custo Mensal - Servente de Limpeza 40% Insalubridade</v>
      </c>
      <c r="B45" s="686"/>
      <c r="C45" s="686"/>
      <c r="D45" s="686"/>
      <c r="E45" s="686"/>
      <c r="F45" s="401">
        <f>F44</f>
        <v>4283.37</v>
      </c>
      <c r="G45" s="401">
        <f>G44</f>
        <v>3490.83</v>
      </c>
      <c r="H45" s="401">
        <f>H44</f>
        <v>0</v>
      </c>
      <c r="I45" s="401">
        <f>I44</f>
        <v>146.18</v>
      </c>
      <c r="J45" s="402">
        <f>J44</f>
        <v>1154.28</v>
      </c>
      <c r="K45" s="403"/>
      <c r="L45" s="403"/>
    </row>
    <row r="46" spans="1:12" ht="27.75" customHeight="1" x14ac:dyDescent="0.25">
      <c r="A46" s="687" t="s">
        <v>545</v>
      </c>
      <c r="B46" s="687"/>
      <c r="C46" s="687"/>
      <c r="D46" s="687"/>
      <c r="E46" s="687"/>
      <c r="F46" s="404">
        <f>(F45/F14)</f>
        <v>2.6511908593498554</v>
      </c>
      <c r="G46" s="404">
        <f>(G45/G14)</f>
        <v>2.1606484117749005</v>
      </c>
      <c r="H46" s="682" t="s">
        <v>546</v>
      </c>
      <c r="I46" s="682"/>
      <c r="J46" s="405">
        <f>ROUND((J45/30),2)</f>
        <v>38.479999999999997</v>
      </c>
    </row>
    <row r="47" spans="1:12" ht="19.5" customHeight="1" x14ac:dyDescent="0.25"/>
  </sheetData>
  <sheetProtection sheet="1" objects="1" scenarios="1"/>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H46:I46"/>
    <mergeCell ref="A42:C42"/>
    <mergeCell ref="A43:C43"/>
    <mergeCell ref="A44:E44"/>
    <mergeCell ref="A45:E45"/>
    <mergeCell ref="A46:E46"/>
  </mergeCells>
  <printOptions horizontalCentered="1" verticalCentered="1"/>
  <pageMargins left="0.51180555555555496" right="0.51180555555555496" top="0.78749999999999998" bottom="0.78749999999999998" header="0.51180555555555496" footer="0.51180555555555496"/>
  <pageSetup paperSize="9" scale="61" firstPageNumber="0" fitToHeight="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K47"/>
  <sheetViews>
    <sheetView showGridLines="0" topLeftCell="A19" zoomScaleNormal="100" workbookViewId="0">
      <selection activeCell="O9" sqref="O9"/>
    </sheetView>
  </sheetViews>
  <sheetFormatPr defaultRowHeight="15" x14ac:dyDescent="0.25"/>
  <cols>
    <col min="1" max="1" width="10.5703125" style="71" customWidth="1"/>
    <col min="2" max="2" width="27.7109375" style="71" customWidth="1"/>
    <col min="3" max="3" width="14.42578125" style="71" customWidth="1"/>
    <col min="4" max="5" width="15" style="71" customWidth="1"/>
    <col min="6" max="6" width="16.7109375" style="349" customWidth="1"/>
    <col min="7" max="8" width="13.140625" style="349" customWidth="1"/>
    <col min="9" max="10" width="12.5703125" style="349" customWidth="1"/>
    <col min="11" max="257" width="9.140625" style="71" customWidth="1"/>
    <col min="258" max="258" width="10.5703125" style="71" customWidth="1"/>
    <col min="259" max="259" width="27.7109375" style="71" customWidth="1"/>
    <col min="260" max="260" width="14.42578125" style="71" customWidth="1"/>
    <col min="261" max="262" width="15" style="71" customWidth="1"/>
    <col min="263" max="263" width="16.7109375" style="71" customWidth="1"/>
    <col min="264" max="264" width="13.140625" style="71" customWidth="1"/>
    <col min="265" max="266" width="12.5703125" style="71" customWidth="1"/>
    <col min="267" max="513" width="9.140625" style="71" customWidth="1"/>
    <col min="514" max="514" width="10.5703125" style="71" customWidth="1"/>
    <col min="515" max="515" width="27.7109375" style="71" customWidth="1"/>
    <col min="516" max="516" width="14.42578125" style="71" customWidth="1"/>
    <col min="517" max="518" width="15" style="71" customWidth="1"/>
    <col min="519" max="519" width="16.7109375" style="71" customWidth="1"/>
    <col min="520" max="520" width="13.140625" style="71" customWidth="1"/>
    <col min="521" max="522" width="12.5703125" style="71" customWidth="1"/>
    <col min="523" max="769" width="9.140625" style="71" customWidth="1"/>
    <col min="770" max="770" width="10.5703125" style="71" customWidth="1"/>
    <col min="771" max="771" width="27.7109375" style="71" customWidth="1"/>
    <col min="772" max="772" width="14.42578125" style="71" customWidth="1"/>
    <col min="773" max="774" width="15" style="71" customWidth="1"/>
    <col min="775" max="775" width="16.7109375" style="71" customWidth="1"/>
    <col min="776" max="776" width="13.140625" style="71" customWidth="1"/>
    <col min="777" max="778" width="12.5703125" style="71" customWidth="1"/>
    <col min="779" max="1025" width="9.140625" style="71" customWidth="1"/>
  </cols>
  <sheetData>
    <row r="1" spans="1:10" x14ac:dyDescent="0.25">
      <c r="A1" s="350"/>
      <c r="B1" s="100" t="str">
        <f>INSTRUÇÕES!B1</f>
        <v>Tribunal Regional Federal da 6ª Região</v>
      </c>
      <c r="C1" s="351"/>
      <c r="D1" s="351"/>
      <c r="E1" s="351"/>
      <c r="F1" s="352"/>
      <c r="G1" s="353"/>
      <c r="H1" s="353"/>
      <c r="I1" s="352"/>
      <c r="J1" s="354"/>
    </row>
    <row r="2" spans="1:10" x14ac:dyDescent="0.25">
      <c r="A2" s="355"/>
      <c r="B2" s="102" t="str">
        <f>INSTRUÇÕES!B2</f>
        <v>Seção Judiciária de Minas Gerais</v>
      </c>
      <c r="C2" s="60"/>
      <c r="D2" s="60"/>
      <c r="E2" s="60"/>
      <c r="F2" s="356"/>
      <c r="I2" s="356"/>
      <c r="J2" s="357"/>
    </row>
    <row r="3" spans="1:10" x14ac:dyDescent="0.25">
      <c r="A3" s="173"/>
      <c r="B3" s="358" t="str">
        <f>INSTRUÇÕES!B3</f>
        <v>Subseção Judiciária de Montes Claros</v>
      </c>
      <c r="C3" s="60"/>
      <c r="D3" s="60"/>
      <c r="E3" s="60"/>
      <c r="F3" s="356"/>
      <c r="I3" s="356"/>
      <c r="J3" s="357"/>
    </row>
    <row r="4" spans="1:10" ht="19.5" customHeight="1" x14ac:dyDescent="0.25">
      <c r="A4" s="707" t="s">
        <v>510</v>
      </c>
      <c r="B4" s="707"/>
      <c r="C4" s="707"/>
      <c r="D4" s="707"/>
      <c r="E4" s="707"/>
      <c r="F4" s="707"/>
      <c r="G4" s="707"/>
      <c r="H4" s="707"/>
      <c r="I4" s="707"/>
      <c r="J4" s="707"/>
    </row>
    <row r="5" spans="1:10" ht="19.5" customHeight="1" x14ac:dyDescent="0.25">
      <c r="A5" s="708" t="s">
        <v>296</v>
      </c>
      <c r="B5" s="708"/>
      <c r="C5" s="708"/>
      <c r="D5" s="708"/>
      <c r="E5" s="708"/>
      <c r="F5" s="708"/>
      <c r="G5" s="708"/>
      <c r="H5" s="708"/>
      <c r="I5" s="708"/>
      <c r="J5" s="708"/>
    </row>
    <row r="6" spans="1:10" ht="36" customHeight="1" x14ac:dyDescent="0.25">
      <c r="A6" s="709" t="str">
        <f>Dados!A4</f>
        <v>Sindicato utilizado - SINSERTH X SINTAPPI. Vigência: 2024. Sendo a data base da categoria 01° DE ABRIL. Com número de registro no MTE MG002103/2024.</v>
      </c>
      <c r="B6" s="709"/>
      <c r="C6" s="709"/>
      <c r="D6" s="709"/>
      <c r="E6" s="709"/>
      <c r="F6" s="709"/>
      <c r="G6" s="709"/>
      <c r="H6" s="709"/>
      <c r="I6" s="709"/>
      <c r="J6" s="709"/>
    </row>
    <row r="7" spans="1:10" ht="19.5" customHeight="1" x14ac:dyDescent="0.25">
      <c r="A7" s="710" t="str">
        <f>Dados!C8</f>
        <v>Servente de Limpeza  ac. Copeira</v>
      </c>
      <c r="B7" s="710"/>
      <c r="C7" s="710"/>
      <c r="D7" s="710"/>
      <c r="E7" s="710"/>
      <c r="F7" s="711" t="s">
        <v>511</v>
      </c>
      <c r="G7" s="711" t="s">
        <v>512</v>
      </c>
      <c r="H7" s="711" t="s">
        <v>513</v>
      </c>
      <c r="I7" s="711" t="s">
        <v>514</v>
      </c>
      <c r="J7" s="711" t="s">
        <v>515</v>
      </c>
    </row>
    <row r="8" spans="1:10" ht="19.5" customHeight="1" x14ac:dyDescent="0.25">
      <c r="A8" s="712" t="s">
        <v>516</v>
      </c>
      <c r="B8" s="712"/>
      <c r="C8" s="712"/>
      <c r="D8" s="712"/>
      <c r="E8" s="359" t="s">
        <v>462</v>
      </c>
      <c r="F8" s="711"/>
      <c r="G8" s="711"/>
      <c r="H8" s="711"/>
      <c r="I8" s="711"/>
      <c r="J8" s="711"/>
    </row>
    <row r="9" spans="1:10" ht="19.5" customHeight="1" x14ac:dyDescent="0.25">
      <c r="A9" s="691" t="s">
        <v>517</v>
      </c>
      <c r="B9" s="691"/>
      <c r="C9" s="691"/>
      <c r="D9" s="691"/>
      <c r="E9" s="691"/>
      <c r="F9" s="691"/>
      <c r="G9" s="691"/>
      <c r="H9" s="691"/>
      <c r="I9" s="691"/>
      <c r="J9" s="691"/>
    </row>
    <row r="10" spans="1:10" ht="24" customHeight="1" x14ac:dyDescent="0.25">
      <c r="A10" s="178" t="s">
        <v>463</v>
      </c>
      <c r="B10" s="701" t="s">
        <v>518</v>
      </c>
      <c r="C10" s="701"/>
      <c r="D10" s="227" t="s">
        <v>519</v>
      </c>
      <c r="E10" s="360" t="s">
        <v>520</v>
      </c>
      <c r="F10" s="702" t="s">
        <v>466</v>
      </c>
      <c r="G10" s="702"/>
      <c r="H10" s="702"/>
      <c r="I10" s="702"/>
      <c r="J10" s="702"/>
    </row>
    <row r="11" spans="1:10" ht="19.5" customHeight="1" x14ac:dyDescent="0.25">
      <c r="A11" s="703">
        <v>1</v>
      </c>
      <c r="B11" s="704" t="str">
        <f>A7</f>
        <v>Servente de Limpeza  ac. Copeira</v>
      </c>
      <c r="C11" s="704"/>
      <c r="D11" s="28">
        <f>Dados!D8</f>
        <v>200</v>
      </c>
      <c r="E11" s="362">
        <f>Dados!E8</f>
        <v>1541.23</v>
      </c>
      <c r="F11" s="363">
        <f>ROUND(E11/220*D11,2)</f>
        <v>1401.12</v>
      </c>
      <c r="G11" s="363">
        <f>F11</f>
        <v>1401.12</v>
      </c>
      <c r="H11" s="363"/>
      <c r="I11" s="363"/>
      <c r="J11" s="364"/>
    </row>
    <row r="12" spans="1:10" ht="19.5" customHeight="1" x14ac:dyDescent="0.25">
      <c r="A12" s="703"/>
      <c r="B12" s="704" t="s">
        <v>521</v>
      </c>
      <c r="C12" s="704"/>
      <c r="D12" s="406">
        <f>Dados!G8</f>
        <v>0</v>
      </c>
      <c r="E12" s="362">
        <f>Dados!G28</f>
        <v>1412</v>
      </c>
      <c r="F12" s="363">
        <f>D12*E12</f>
        <v>0</v>
      </c>
      <c r="G12" s="363">
        <f>F12</f>
        <v>0</v>
      </c>
      <c r="H12" s="363"/>
      <c r="I12" s="363"/>
      <c r="J12" s="364">
        <f>F12</f>
        <v>0</v>
      </c>
    </row>
    <row r="13" spans="1:10" ht="21" customHeight="1" x14ac:dyDescent="0.25">
      <c r="A13" s="703"/>
      <c r="B13" s="366" t="s">
        <v>522</v>
      </c>
      <c r="C13" s="367">
        <f>Dados!I8</f>
        <v>0.12</v>
      </c>
      <c r="D13" s="367">
        <f>Dados!J8</f>
        <v>0.25</v>
      </c>
      <c r="E13" s="368">
        <f>Dados!K8</f>
        <v>1401.12</v>
      </c>
      <c r="F13" s="369">
        <f>ROUND((E13*D13*C13),2)</f>
        <v>42.03</v>
      </c>
      <c r="G13" s="369">
        <f>F13</f>
        <v>42.03</v>
      </c>
      <c r="H13" s="369"/>
      <c r="I13" s="369"/>
      <c r="J13" s="370"/>
    </row>
    <row r="14" spans="1:10" ht="19.5" customHeight="1" x14ac:dyDescent="0.25">
      <c r="A14" s="703"/>
      <c r="B14" s="705" t="s">
        <v>523</v>
      </c>
      <c r="C14" s="705"/>
      <c r="D14" s="705"/>
      <c r="E14" s="705"/>
      <c r="F14" s="371">
        <f>SUM(F11:F13)</f>
        <v>1443.1499999999999</v>
      </c>
      <c r="G14" s="371">
        <f>SUM(G11:G13)</f>
        <v>1443.1499999999999</v>
      </c>
      <c r="H14" s="371">
        <f>SUM(H11:H13)</f>
        <v>0</v>
      </c>
      <c r="I14" s="371">
        <f>SUM(I11:I13)</f>
        <v>0</v>
      </c>
      <c r="J14" s="372">
        <f>SUM(J11:J13)</f>
        <v>0</v>
      </c>
    </row>
    <row r="15" spans="1:10" ht="19.5" customHeight="1" x14ac:dyDescent="0.25">
      <c r="A15" s="703"/>
      <c r="B15" s="706" t="s">
        <v>524</v>
      </c>
      <c r="C15" s="706"/>
      <c r="D15" s="706"/>
      <c r="E15" s="373">
        <f>Encargos!$C$57</f>
        <v>0.7330000000000001</v>
      </c>
      <c r="F15" s="363">
        <f>ROUND((E15*F14),2)</f>
        <v>1057.83</v>
      </c>
      <c r="G15" s="363">
        <f>F15</f>
        <v>1057.83</v>
      </c>
      <c r="H15" s="363"/>
      <c r="I15" s="363"/>
      <c r="J15" s="364">
        <f>ROUND((E15*J14),2)</f>
        <v>0</v>
      </c>
    </row>
    <row r="16" spans="1:10" ht="19.5" customHeight="1" x14ac:dyDescent="0.25">
      <c r="A16" s="697" t="s">
        <v>525</v>
      </c>
      <c r="B16" s="697"/>
      <c r="C16" s="697"/>
      <c r="D16" s="697"/>
      <c r="E16" s="697"/>
      <c r="F16" s="374">
        <f>SUM(F14:F15)</f>
        <v>2500.9799999999996</v>
      </c>
      <c r="G16" s="374">
        <f>SUM(G14:G15)</f>
        <v>2500.9799999999996</v>
      </c>
      <c r="H16" s="374">
        <f>SUM(H14:H15)</f>
        <v>0</v>
      </c>
      <c r="I16" s="374">
        <f>SUM(I14:I15)</f>
        <v>0</v>
      </c>
      <c r="J16" s="375">
        <f>SUM(J14:J15)</f>
        <v>0</v>
      </c>
    </row>
    <row r="17" spans="1:12" ht="19.5" customHeight="1" x14ac:dyDescent="0.25">
      <c r="A17" s="698" t="s">
        <v>526</v>
      </c>
      <c r="B17" s="698"/>
      <c r="C17" s="698"/>
      <c r="D17" s="698"/>
      <c r="E17" s="698"/>
      <c r="F17" s="698"/>
      <c r="G17" s="698"/>
      <c r="H17" s="698"/>
      <c r="I17" s="698"/>
      <c r="J17" s="698"/>
    </row>
    <row r="18" spans="1:12" ht="19.5" customHeight="1" x14ac:dyDescent="0.25">
      <c r="A18" s="692" t="s">
        <v>527</v>
      </c>
      <c r="B18" s="692"/>
      <c r="C18" s="39" t="s">
        <v>465</v>
      </c>
      <c r="D18" s="699" t="s">
        <v>547</v>
      </c>
      <c r="E18" s="699"/>
      <c r="F18" s="700" t="s">
        <v>466</v>
      </c>
      <c r="G18" s="700"/>
      <c r="H18" s="700"/>
      <c r="I18" s="700"/>
      <c r="J18" s="700"/>
    </row>
    <row r="19" spans="1:12" ht="19.5" customHeight="1" x14ac:dyDescent="0.25">
      <c r="A19" s="683" t="s">
        <v>529</v>
      </c>
      <c r="B19" s="683"/>
      <c r="C19" s="378"/>
      <c r="D19" s="378"/>
      <c r="E19" s="378"/>
      <c r="F19" s="363">
        <f>Dados!$N$8</f>
        <v>35.67</v>
      </c>
      <c r="G19" s="363">
        <f t="shared" ref="G19:G24" si="0">F19</f>
        <v>35.67</v>
      </c>
      <c r="H19" s="363"/>
      <c r="I19" s="363"/>
      <c r="J19" s="364"/>
    </row>
    <row r="20" spans="1:12" ht="19.5" customHeight="1" x14ac:dyDescent="0.25">
      <c r="A20" s="683" t="s">
        <v>530</v>
      </c>
      <c r="B20" s="683"/>
      <c r="C20" s="378"/>
      <c r="D20" s="378"/>
      <c r="E20" s="378"/>
      <c r="F20" s="363">
        <f>Dados!$G$31</f>
        <v>3.09</v>
      </c>
      <c r="G20" s="363">
        <f t="shared" si="0"/>
        <v>3.09</v>
      </c>
      <c r="H20" s="363"/>
      <c r="I20" s="363"/>
      <c r="J20" s="364"/>
    </row>
    <row r="21" spans="1:12" ht="23.25" customHeight="1" x14ac:dyDescent="0.25">
      <c r="A21" s="696" t="s">
        <v>226</v>
      </c>
      <c r="B21" s="696"/>
      <c r="C21" s="378"/>
      <c r="D21" s="378"/>
      <c r="E21" s="378"/>
      <c r="F21" s="363">
        <f>Dados!G32</f>
        <v>0</v>
      </c>
      <c r="G21" s="363">
        <f t="shared" si="0"/>
        <v>0</v>
      </c>
      <c r="H21" s="363"/>
      <c r="I21" s="363"/>
      <c r="J21" s="364"/>
    </row>
    <row r="22" spans="1:12" ht="19.5" customHeight="1" x14ac:dyDescent="0.25">
      <c r="A22" s="683" t="s">
        <v>227</v>
      </c>
      <c r="B22" s="683"/>
      <c r="C22" s="379">
        <f>Dados!$G$35</f>
        <v>22</v>
      </c>
      <c r="D22" s="379">
        <f>Dados!$G$34</f>
        <v>2</v>
      </c>
      <c r="E22" s="378">
        <f>Dados!$G$33</f>
        <v>4.25</v>
      </c>
      <c r="F22" s="363">
        <f>IF(ROUND((E22*D22*C22)-(F11*Dados!$G$36),2)&lt;0,0,ROUND((E22*D22*C22)-(F11*Dados!$G$36),2))</f>
        <v>102.93</v>
      </c>
      <c r="G22" s="363">
        <f t="shared" si="0"/>
        <v>102.93</v>
      </c>
      <c r="H22" s="363"/>
      <c r="I22" s="363">
        <f>F22</f>
        <v>102.93</v>
      </c>
      <c r="J22" s="364"/>
    </row>
    <row r="23" spans="1:12" ht="19.5" customHeight="1" x14ac:dyDescent="0.25">
      <c r="A23" s="683" t="s">
        <v>236</v>
      </c>
      <c r="B23" s="683"/>
      <c r="C23" s="379">
        <f>Dados!G38</f>
        <v>22</v>
      </c>
      <c r="D23" s="380">
        <f>Dados!G39</f>
        <v>0.2</v>
      </c>
      <c r="E23" s="378">
        <f>Dados!$G$37</f>
        <v>27.24</v>
      </c>
      <c r="F23" s="271">
        <f>ROUND((IF(D11&gt;150,((C23*E23)-(C23*(D23*E23))),0)),2)</f>
        <v>479.42</v>
      </c>
      <c r="G23" s="363">
        <f t="shared" si="0"/>
        <v>479.42</v>
      </c>
      <c r="H23" s="363">
        <f>$F$23</f>
        <v>479.42</v>
      </c>
      <c r="I23" s="271"/>
      <c r="J23" s="364"/>
    </row>
    <row r="24" spans="1:12" ht="19.5" customHeight="1" x14ac:dyDescent="0.25">
      <c r="A24" s="683" t="s">
        <v>189</v>
      </c>
      <c r="B24" s="683"/>
      <c r="C24" s="379"/>
      <c r="D24" s="379"/>
      <c r="E24" s="378"/>
      <c r="F24" s="271">
        <f>Dados!Q8</f>
        <v>4.166666666666667</v>
      </c>
      <c r="G24" s="363">
        <f t="shared" si="0"/>
        <v>4.166666666666667</v>
      </c>
      <c r="H24" s="363"/>
      <c r="I24" s="271"/>
      <c r="J24" s="364"/>
    </row>
    <row r="25" spans="1:12" ht="19.5" customHeight="1" x14ac:dyDescent="0.25">
      <c r="A25" s="683" t="s">
        <v>239</v>
      </c>
      <c r="B25" s="683"/>
      <c r="C25" s="379"/>
      <c r="D25" s="379"/>
      <c r="E25" s="378"/>
      <c r="F25" s="271">
        <f>Dados!$G$41</f>
        <v>0</v>
      </c>
      <c r="G25" s="363"/>
      <c r="H25" s="363"/>
      <c r="I25" s="271"/>
      <c r="J25" s="364"/>
    </row>
    <row r="26" spans="1:12" ht="19.5" customHeight="1" x14ac:dyDescent="0.25">
      <c r="A26" s="683" t="s">
        <v>531</v>
      </c>
      <c r="B26" s="683"/>
      <c r="C26" s="379"/>
      <c r="D26" s="378"/>
      <c r="E26" s="378"/>
      <c r="F26" s="363">
        <f>Dados!$O$8</f>
        <v>672.05</v>
      </c>
      <c r="G26" s="363"/>
      <c r="H26" s="363"/>
      <c r="I26" s="363"/>
      <c r="J26" s="364"/>
      <c r="L26" s="60"/>
    </row>
    <row r="27" spans="1:12" ht="19.5" customHeight="1" x14ac:dyDescent="0.25">
      <c r="A27" s="377" t="s">
        <v>532</v>
      </c>
      <c r="B27" s="381"/>
      <c r="C27" s="379"/>
      <c r="D27" s="378"/>
      <c r="E27" s="378"/>
      <c r="F27" s="363">
        <f>Dados!P8</f>
        <v>71.91</v>
      </c>
      <c r="G27" s="363"/>
      <c r="H27" s="363"/>
      <c r="I27" s="363"/>
      <c r="J27" s="364"/>
    </row>
    <row r="28" spans="1:12" ht="19.5" customHeight="1" x14ac:dyDescent="0.25">
      <c r="A28" s="695" t="s">
        <v>533</v>
      </c>
      <c r="B28" s="695"/>
      <c r="C28" s="382"/>
      <c r="D28" s="383"/>
      <c r="E28" s="383"/>
      <c r="F28" s="369">
        <f>Dados!$R$8</f>
        <v>1.8333333333333333</v>
      </c>
      <c r="G28" s="369">
        <f>F28</f>
        <v>1.8333333333333333</v>
      </c>
      <c r="H28" s="369"/>
      <c r="I28" s="369"/>
      <c r="J28" s="370"/>
    </row>
    <row r="29" spans="1:12" ht="19.5" customHeight="1" x14ac:dyDescent="0.25">
      <c r="A29" s="690" t="s">
        <v>534</v>
      </c>
      <c r="B29" s="690"/>
      <c r="C29" s="690"/>
      <c r="D29" s="690"/>
      <c r="E29" s="690"/>
      <c r="F29" s="374">
        <f>SUM(F19:F28)</f>
        <v>1371.07</v>
      </c>
      <c r="G29" s="374">
        <f>SUM(G19:G28)</f>
        <v>627.11</v>
      </c>
      <c r="H29" s="374">
        <f>SUM(H19:H28)</f>
        <v>479.42</v>
      </c>
      <c r="I29" s="374">
        <f>SUM(I19:I28)</f>
        <v>102.93</v>
      </c>
      <c r="J29" s="375">
        <f>SUM(J19:J28)</f>
        <v>0</v>
      </c>
    </row>
    <row r="30" spans="1:12" ht="19.5" customHeight="1" x14ac:dyDescent="0.25">
      <c r="A30" s="690" t="s">
        <v>535</v>
      </c>
      <c r="B30" s="690"/>
      <c r="C30" s="690"/>
      <c r="D30" s="690"/>
      <c r="E30" s="690"/>
      <c r="F30" s="374">
        <f>F16+F29</f>
        <v>3872.0499999999993</v>
      </c>
      <c r="G30" s="374">
        <f>G16+G29</f>
        <v>3128.0899999999997</v>
      </c>
      <c r="H30" s="374">
        <f>H16+H29</f>
        <v>479.42</v>
      </c>
      <c r="I30" s="374">
        <f>I16+I29</f>
        <v>102.93</v>
      </c>
      <c r="J30" s="375">
        <f>J16+J29</f>
        <v>0</v>
      </c>
    </row>
    <row r="31" spans="1:12" ht="19.5" customHeight="1" x14ac:dyDescent="0.25">
      <c r="A31" s="691" t="s">
        <v>536</v>
      </c>
      <c r="B31" s="691"/>
      <c r="C31" s="691"/>
      <c r="D31" s="691"/>
      <c r="E31" s="691"/>
      <c r="F31" s="691"/>
      <c r="G31" s="691"/>
      <c r="H31" s="691"/>
      <c r="I31" s="691"/>
      <c r="J31" s="691"/>
    </row>
    <row r="32" spans="1:12" ht="19.5" customHeight="1" x14ac:dyDescent="0.25">
      <c r="A32" s="692" t="s">
        <v>537</v>
      </c>
      <c r="B32" s="692"/>
      <c r="C32" s="692"/>
      <c r="D32" s="83" t="s">
        <v>538</v>
      </c>
      <c r="E32" s="693" t="s">
        <v>466</v>
      </c>
      <c r="F32" s="693"/>
      <c r="G32" s="693"/>
      <c r="H32" s="693"/>
      <c r="I32" s="693"/>
      <c r="J32" s="693"/>
    </row>
    <row r="33" spans="1:12" ht="19.5" customHeight="1" x14ac:dyDescent="0.25">
      <c r="A33" s="384" t="s">
        <v>539</v>
      </c>
      <c r="B33" s="385"/>
      <c r="C33" s="385"/>
      <c r="D33" s="365">
        <f>Dados!$G$44</f>
        <v>0.03</v>
      </c>
      <c r="E33" s="386"/>
      <c r="F33" s="363">
        <f>ROUND((F30*$D$33),2)</f>
        <v>116.16</v>
      </c>
      <c r="G33" s="363">
        <f>ROUND((G30*$D$33),2)</f>
        <v>93.84</v>
      </c>
      <c r="H33" s="363">
        <f>ROUND((H30*$D$33),2)</f>
        <v>14.38</v>
      </c>
      <c r="I33" s="363">
        <f>ROUND((I30*$D$33),2)</f>
        <v>3.09</v>
      </c>
      <c r="J33" s="364">
        <f>ROUND((J30*$D$33),2)</f>
        <v>0</v>
      </c>
    </row>
    <row r="34" spans="1:12" ht="19.5" customHeight="1" x14ac:dyDescent="0.25">
      <c r="A34" s="694" t="s">
        <v>540</v>
      </c>
      <c r="B34" s="694"/>
      <c r="C34" s="694"/>
      <c r="D34" s="365"/>
      <c r="E34" s="386"/>
      <c r="F34" s="363">
        <f>F30+F33</f>
        <v>3988.2099999999991</v>
      </c>
      <c r="G34" s="363">
        <f>G30+G33</f>
        <v>3221.93</v>
      </c>
      <c r="H34" s="363">
        <f>H30+H33</f>
        <v>493.8</v>
      </c>
      <c r="I34" s="363">
        <f>I30+I33</f>
        <v>106.02000000000001</v>
      </c>
      <c r="J34" s="364">
        <f>J30+J33</f>
        <v>0</v>
      </c>
    </row>
    <row r="35" spans="1:12" ht="19.5" customHeight="1" x14ac:dyDescent="0.25">
      <c r="A35" s="387" t="s">
        <v>244</v>
      </c>
      <c r="B35" s="388"/>
      <c r="C35" s="388"/>
      <c r="D35" s="389">
        <f>Dados!$G$45</f>
        <v>6.7900000000000002E-2</v>
      </c>
      <c r="E35" s="390"/>
      <c r="F35" s="369">
        <f>ROUND((F34*$D$35),2)</f>
        <v>270.8</v>
      </c>
      <c r="G35" s="369">
        <f>ROUND((G34*$D$35),2)</f>
        <v>218.77</v>
      </c>
      <c r="H35" s="369">
        <f>ROUND((H34*$D$35),2)</f>
        <v>33.53</v>
      </c>
      <c r="I35" s="369">
        <f>ROUND((I34*$D$35),2)</f>
        <v>7.2</v>
      </c>
      <c r="J35" s="370">
        <f>ROUND((J34*$D$35),2)</f>
        <v>0</v>
      </c>
    </row>
    <row r="36" spans="1:12" ht="19.5" customHeight="1" x14ac:dyDescent="0.25">
      <c r="A36" s="391" t="s">
        <v>541</v>
      </c>
      <c r="B36" s="392"/>
      <c r="C36" s="392"/>
      <c r="D36" s="393">
        <f>SUM(D33:D35)</f>
        <v>9.7900000000000001E-2</v>
      </c>
      <c r="E36" s="394"/>
      <c r="F36" s="374">
        <f>F33+F35</f>
        <v>386.96000000000004</v>
      </c>
      <c r="G36" s="374">
        <f>G33+G35</f>
        <v>312.61</v>
      </c>
      <c r="H36" s="374">
        <f>H33+H35</f>
        <v>47.910000000000004</v>
      </c>
      <c r="I36" s="374">
        <f>I33+I35</f>
        <v>10.29</v>
      </c>
      <c r="J36" s="375">
        <f>J33+J35</f>
        <v>0</v>
      </c>
    </row>
    <row r="37" spans="1:12" ht="19.5" customHeight="1" x14ac:dyDescent="0.25">
      <c r="A37" s="688" t="s">
        <v>542</v>
      </c>
      <c r="B37" s="688"/>
      <c r="C37" s="688"/>
      <c r="D37" s="688"/>
      <c r="E37" s="688"/>
      <c r="F37" s="395">
        <f>F30+F36</f>
        <v>4259.0099999999993</v>
      </c>
      <c r="G37" s="395">
        <f>G30+G36</f>
        <v>3440.7</v>
      </c>
      <c r="H37" s="395">
        <f>H30+H36</f>
        <v>527.33000000000004</v>
      </c>
      <c r="I37" s="395">
        <f>I30+I36</f>
        <v>113.22</v>
      </c>
      <c r="J37" s="396">
        <f>J30+J36</f>
        <v>0</v>
      </c>
    </row>
    <row r="38" spans="1:12" ht="19.5" customHeight="1" x14ac:dyDescent="0.25">
      <c r="A38" s="689" t="s">
        <v>543</v>
      </c>
      <c r="B38" s="689"/>
      <c r="C38" s="689"/>
      <c r="D38" s="689"/>
      <c r="E38" s="689"/>
      <c r="F38" s="689"/>
      <c r="G38" s="689"/>
      <c r="H38" s="689"/>
      <c r="I38" s="689"/>
      <c r="J38" s="689"/>
    </row>
    <row r="39" spans="1:12" ht="19.5" customHeight="1" x14ac:dyDescent="0.25">
      <c r="A39" s="683" t="s">
        <v>250</v>
      </c>
      <c r="B39" s="683"/>
      <c r="C39" s="683"/>
      <c r="D39" s="365">
        <f>Dados!G52</f>
        <v>3.065E-2</v>
      </c>
      <c r="E39" s="363"/>
      <c r="F39" s="363">
        <f>ROUND(($F$45*D39),2)</f>
        <v>139.96</v>
      </c>
      <c r="G39" s="363">
        <f>ROUND((G45*$D$39),2)</f>
        <v>113.07</v>
      </c>
      <c r="H39" s="363">
        <f>ROUND((H45*$D$39),2)</f>
        <v>17.329999999999998</v>
      </c>
      <c r="I39" s="363">
        <f>ROUND((I45*$D$39),2)</f>
        <v>3.72</v>
      </c>
      <c r="J39" s="364">
        <f>ROUND((J45*$D$39),2)</f>
        <v>0</v>
      </c>
    </row>
    <row r="40" spans="1:12" ht="19.5" customHeight="1" x14ac:dyDescent="0.25">
      <c r="A40" s="683" t="s">
        <v>252</v>
      </c>
      <c r="B40" s="683"/>
      <c r="C40" s="683"/>
      <c r="D40" s="365">
        <f>Dados!G53</f>
        <v>6.6400000000000001E-3</v>
      </c>
      <c r="E40" s="363"/>
      <c r="F40" s="363">
        <f>ROUND((F45*$D$40),2)</f>
        <v>30.32</v>
      </c>
      <c r="G40" s="363">
        <f>ROUND((G45*$D$40),2)</f>
        <v>24.49</v>
      </c>
      <c r="H40" s="363">
        <f>ROUND((H45*$D$40),2)</f>
        <v>3.75</v>
      </c>
      <c r="I40" s="363">
        <f>ROUND((I45*$D$40),2)</f>
        <v>0.81</v>
      </c>
      <c r="J40" s="364">
        <f>ROUND((J45*$D$40),2)</f>
        <v>0</v>
      </c>
    </row>
    <row r="41" spans="1:12" ht="19.5" customHeight="1" x14ac:dyDescent="0.25">
      <c r="A41" s="683" t="s">
        <v>253</v>
      </c>
      <c r="B41" s="683"/>
      <c r="C41" s="683"/>
      <c r="D41" s="365">
        <f>Dados!G54</f>
        <v>0.03</v>
      </c>
      <c r="E41" s="363"/>
      <c r="F41" s="363">
        <f>ROUND((F45*$D$41),2)</f>
        <v>136.99</v>
      </c>
      <c r="G41" s="363">
        <f>ROUND((G45*$D$41),2)</f>
        <v>110.67</v>
      </c>
      <c r="H41" s="363">
        <f>ROUND((H45*$D$41),2)</f>
        <v>16.96</v>
      </c>
      <c r="I41" s="363">
        <f>ROUND((I45*$D$41),2)</f>
        <v>3.64</v>
      </c>
      <c r="J41" s="364">
        <f>ROUND((J45*$D$41),2)</f>
        <v>0</v>
      </c>
    </row>
    <row r="42" spans="1:12" ht="19.5" customHeight="1" x14ac:dyDescent="0.25">
      <c r="A42" s="683" t="s">
        <v>239</v>
      </c>
      <c r="B42" s="683"/>
      <c r="C42" s="683"/>
      <c r="D42" s="365">
        <f>Dados!G55</f>
        <v>0</v>
      </c>
      <c r="E42" s="363"/>
      <c r="F42" s="363">
        <f>ROUND((F45*$D$42),2)</f>
        <v>0</v>
      </c>
      <c r="G42" s="363">
        <f>ROUND((G45*$D$42),2)</f>
        <v>0</v>
      </c>
      <c r="H42" s="363">
        <f>ROUND((H45*$D$42),2)</f>
        <v>0</v>
      </c>
      <c r="I42" s="363">
        <f>ROUND((I45*$D$42),2)</f>
        <v>0</v>
      </c>
      <c r="J42" s="364">
        <f>ROUND((J45*$D$42),2)</f>
        <v>0</v>
      </c>
    </row>
    <row r="43" spans="1:12" ht="19.5" customHeight="1" x14ac:dyDescent="0.25">
      <c r="A43" s="684" t="s">
        <v>544</v>
      </c>
      <c r="B43" s="684"/>
      <c r="C43" s="684"/>
      <c r="D43" s="397">
        <f>SUM(D39:D42)</f>
        <v>6.7290000000000003E-2</v>
      </c>
      <c r="E43" s="398"/>
      <c r="F43" s="399">
        <f>SUM(F39:F42)</f>
        <v>307.27</v>
      </c>
      <c r="G43" s="399">
        <f>SUM(G39:G42)</f>
        <v>248.23000000000002</v>
      </c>
      <c r="H43" s="399">
        <f>SUM(H39:H42)</f>
        <v>38.04</v>
      </c>
      <c r="I43" s="399">
        <f>SUM(I39:I42)</f>
        <v>8.17</v>
      </c>
      <c r="J43" s="400">
        <f>SUM(J39:J41)</f>
        <v>0</v>
      </c>
    </row>
    <row r="44" spans="1:12" ht="19.5" customHeight="1" x14ac:dyDescent="0.25">
      <c r="A44" s="685" t="str">
        <f>CONCATENATE("Custo Mensal - ",A7)</f>
        <v>Custo Mensal - Servente de Limpeza  ac. Copeira</v>
      </c>
      <c r="B44" s="685"/>
      <c r="C44" s="685"/>
      <c r="D44" s="685"/>
      <c r="E44" s="685"/>
      <c r="F44" s="401">
        <f>ROUND(F37/(1-D43),2)</f>
        <v>4566.2700000000004</v>
      </c>
      <c r="G44" s="401">
        <f>ROUND(G37/(1-D43),2)</f>
        <v>3688.93</v>
      </c>
      <c r="H44" s="401">
        <f>ROUND(H37/(1-D43),2)</f>
        <v>565.37</v>
      </c>
      <c r="I44" s="401">
        <f>ROUND(I37/(1-D43),2)</f>
        <v>121.39</v>
      </c>
      <c r="J44" s="402">
        <f>ROUND(J37/(1-D43),2)</f>
        <v>0</v>
      </c>
    </row>
    <row r="45" spans="1:12" ht="19.5" customHeight="1" x14ac:dyDescent="0.25">
      <c r="A45" s="686" t="str">
        <f>CONCATENATE("Valor do Custo Mensal - ",A7)</f>
        <v>Valor do Custo Mensal - Servente de Limpeza  ac. Copeira</v>
      </c>
      <c r="B45" s="686"/>
      <c r="C45" s="686"/>
      <c r="D45" s="686"/>
      <c r="E45" s="686"/>
      <c r="F45" s="401">
        <f>F44</f>
        <v>4566.2700000000004</v>
      </c>
      <c r="G45" s="401">
        <f>G44</f>
        <v>3688.93</v>
      </c>
      <c r="H45" s="401">
        <f>H44</f>
        <v>565.37</v>
      </c>
      <c r="I45" s="401">
        <f>I44</f>
        <v>121.39</v>
      </c>
      <c r="J45" s="402">
        <f>J44</f>
        <v>0</v>
      </c>
      <c r="K45" s="403"/>
      <c r="L45" s="403"/>
    </row>
    <row r="46" spans="1:12" ht="27.75" customHeight="1" x14ac:dyDescent="0.25">
      <c r="A46" s="687" t="s">
        <v>545</v>
      </c>
      <c r="B46" s="687"/>
      <c r="C46" s="687"/>
      <c r="D46" s="687"/>
      <c r="E46" s="687"/>
      <c r="F46" s="404">
        <f>(F45/F14)</f>
        <v>3.1640993659702739</v>
      </c>
      <c r="G46" s="404">
        <f>(G45/G14)</f>
        <v>2.5561653327789906</v>
      </c>
      <c r="H46" s="682" t="s">
        <v>546</v>
      </c>
      <c r="I46" s="682"/>
      <c r="J46" s="405">
        <v>0</v>
      </c>
    </row>
    <row r="47" spans="1:12" ht="19.5" customHeight="1" x14ac:dyDescent="0.25"/>
  </sheetData>
  <sheetProtection sheet="1" objects="1" scenarios="1"/>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H46:I46"/>
    <mergeCell ref="A42:C42"/>
    <mergeCell ref="A43:C43"/>
    <mergeCell ref="A44:E44"/>
    <mergeCell ref="A45:E45"/>
    <mergeCell ref="A46:E46"/>
  </mergeCells>
  <printOptions horizontalCentered="1" verticalCentered="1"/>
  <pageMargins left="0.51180555555555496" right="0.51180555555555496" top="0.78749999999999998" bottom="0.78749999999999998" header="0.51180555555555496" footer="0.51180555555555496"/>
  <pageSetup paperSize="9" scale="61" firstPageNumber="0"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K47"/>
  <sheetViews>
    <sheetView showGridLines="0" topLeftCell="A19" zoomScaleNormal="100" workbookViewId="0">
      <selection activeCell="O9" sqref="O9"/>
    </sheetView>
  </sheetViews>
  <sheetFormatPr defaultRowHeight="15" x14ac:dyDescent="0.25"/>
  <cols>
    <col min="1" max="1" width="10.5703125" style="71" customWidth="1"/>
    <col min="2" max="2" width="27.7109375" style="71" customWidth="1"/>
    <col min="3" max="3" width="14.42578125" style="71" customWidth="1"/>
    <col min="4" max="5" width="15" style="71" customWidth="1"/>
    <col min="6" max="6" width="16.7109375" style="349" customWidth="1"/>
    <col min="7" max="8" width="13.140625" style="349" customWidth="1"/>
    <col min="9" max="10" width="12.5703125" style="349" customWidth="1"/>
    <col min="11" max="257" width="9.140625" style="71" customWidth="1"/>
    <col min="258" max="258" width="10.5703125" style="71" customWidth="1"/>
    <col min="259" max="259" width="27.7109375" style="71" customWidth="1"/>
    <col min="260" max="260" width="14.42578125" style="71" customWidth="1"/>
    <col min="261" max="262" width="15" style="71" customWidth="1"/>
    <col min="263" max="263" width="16.7109375" style="71" customWidth="1"/>
    <col min="264" max="264" width="13.140625" style="71" customWidth="1"/>
    <col min="265" max="266" width="12.5703125" style="71" customWidth="1"/>
    <col min="267" max="513" width="9.140625" style="71" customWidth="1"/>
    <col min="514" max="514" width="10.5703125" style="71" customWidth="1"/>
    <col min="515" max="515" width="27.7109375" style="71" customWidth="1"/>
    <col min="516" max="516" width="14.42578125" style="71" customWidth="1"/>
    <col min="517" max="518" width="15" style="71" customWidth="1"/>
    <col min="519" max="519" width="16.7109375" style="71" customWidth="1"/>
    <col min="520" max="520" width="13.140625" style="71" customWidth="1"/>
    <col min="521" max="522" width="12.5703125" style="71" customWidth="1"/>
    <col min="523" max="769" width="9.140625" style="71" customWidth="1"/>
    <col min="770" max="770" width="10.5703125" style="71" customWidth="1"/>
    <col min="771" max="771" width="27.7109375" style="71" customWidth="1"/>
    <col min="772" max="772" width="14.42578125" style="71" customWidth="1"/>
    <col min="773" max="774" width="15" style="71" customWidth="1"/>
    <col min="775" max="775" width="16.7109375" style="71" customWidth="1"/>
    <col min="776" max="776" width="13.140625" style="71" customWidth="1"/>
    <col min="777" max="778" width="12.5703125" style="71" customWidth="1"/>
    <col min="779" max="1025" width="9.140625" style="71" customWidth="1"/>
  </cols>
  <sheetData>
    <row r="1" spans="1:10" x14ac:dyDescent="0.25">
      <c r="A1" s="350"/>
      <c r="B1" s="100" t="str">
        <f>INSTRUÇÕES!B1</f>
        <v>Tribunal Regional Federal da 6ª Região</v>
      </c>
      <c r="C1" s="351"/>
      <c r="D1" s="351"/>
      <c r="E1" s="351"/>
      <c r="F1" s="352"/>
      <c r="G1" s="353"/>
      <c r="H1" s="353"/>
      <c r="I1" s="352"/>
      <c r="J1" s="354"/>
    </row>
    <row r="2" spans="1:10" x14ac:dyDescent="0.25">
      <c r="A2" s="355"/>
      <c r="B2" s="102" t="str">
        <f>INSTRUÇÕES!B2</f>
        <v>Seção Judiciária de Minas Gerais</v>
      </c>
      <c r="C2" s="60"/>
      <c r="D2" s="60"/>
      <c r="E2" s="60"/>
      <c r="F2" s="356"/>
      <c r="I2" s="356"/>
      <c r="J2" s="357"/>
    </row>
    <row r="3" spans="1:10" x14ac:dyDescent="0.25">
      <c r="A3" s="173"/>
      <c r="B3" s="358" t="str">
        <f>INSTRUÇÕES!B3</f>
        <v>Subseção Judiciária de Montes Claros</v>
      </c>
      <c r="C3" s="60"/>
      <c r="D3" s="60"/>
      <c r="E3" s="60"/>
      <c r="F3" s="356"/>
      <c r="I3" s="356"/>
      <c r="J3" s="357"/>
    </row>
    <row r="4" spans="1:10" ht="19.5" customHeight="1" x14ac:dyDescent="0.25">
      <c r="A4" s="707" t="s">
        <v>510</v>
      </c>
      <c r="B4" s="707"/>
      <c r="C4" s="707"/>
      <c r="D4" s="707"/>
      <c r="E4" s="707"/>
      <c r="F4" s="707"/>
      <c r="G4" s="707"/>
      <c r="H4" s="707"/>
      <c r="I4" s="707"/>
      <c r="J4" s="707"/>
    </row>
    <row r="5" spans="1:10" ht="19.5" customHeight="1" x14ac:dyDescent="0.25">
      <c r="A5" s="708" t="s">
        <v>296</v>
      </c>
      <c r="B5" s="708"/>
      <c r="C5" s="708"/>
      <c r="D5" s="708"/>
      <c r="E5" s="708"/>
      <c r="F5" s="708"/>
      <c r="G5" s="708"/>
      <c r="H5" s="708"/>
      <c r="I5" s="708"/>
      <c r="J5" s="708"/>
    </row>
    <row r="6" spans="1:10" ht="36" customHeight="1" x14ac:dyDescent="0.25">
      <c r="A6" s="709" t="str">
        <f>Dados!A4</f>
        <v>Sindicato utilizado - SINSERTH X SINTAPPI. Vigência: 2024. Sendo a data base da categoria 01° DE ABRIL. Com número de registro no MTE MG002103/2024.</v>
      </c>
      <c r="B6" s="709"/>
      <c r="C6" s="709"/>
      <c r="D6" s="709"/>
      <c r="E6" s="709"/>
      <c r="F6" s="709"/>
      <c r="G6" s="709"/>
      <c r="H6" s="709"/>
      <c r="I6" s="709"/>
      <c r="J6" s="709"/>
    </row>
    <row r="7" spans="1:10" ht="19.5" customHeight="1" x14ac:dyDescent="0.25">
      <c r="A7" s="710" t="str">
        <f>Dados!C9</f>
        <v>Servente de Limpeza</v>
      </c>
      <c r="B7" s="710"/>
      <c r="C7" s="710"/>
      <c r="D7" s="710"/>
      <c r="E7" s="710"/>
      <c r="F7" s="711" t="s">
        <v>511</v>
      </c>
      <c r="G7" s="711" t="s">
        <v>512</v>
      </c>
      <c r="H7" s="711" t="s">
        <v>513</v>
      </c>
      <c r="I7" s="711" t="s">
        <v>514</v>
      </c>
      <c r="J7" s="711" t="s">
        <v>515</v>
      </c>
    </row>
    <row r="8" spans="1:10" ht="19.5" customHeight="1" x14ac:dyDescent="0.25">
      <c r="A8" s="712" t="s">
        <v>516</v>
      </c>
      <c r="B8" s="712"/>
      <c r="C8" s="712"/>
      <c r="D8" s="712"/>
      <c r="E8" s="359" t="s">
        <v>462</v>
      </c>
      <c r="F8" s="711"/>
      <c r="G8" s="711"/>
      <c r="H8" s="711"/>
      <c r="I8" s="711"/>
      <c r="J8" s="711"/>
    </row>
    <row r="9" spans="1:10" ht="19.5" customHeight="1" x14ac:dyDescent="0.25">
      <c r="A9" s="691" t="s">
        <v>517</v>
      </c>
      <c r="B9" s="691"/>
      <c r="C9" s="691"/>
      <c r="D9" s="691"/>
      <c r="E9" s="691"/>
      <c r="F9" s="691"/>
      <c r="G9" s="691"/>
      <c r="H9" s="691"/>
      <c r="I9" s="691"/>
      <c r="J9" s="691"/>
    </row>
    <row r="10" spans="1:10" ht="24" customHeight="1" x14ac:dyDescent="0.25">
      <c r="A10" s="178" t="s">
        <v>463</v>
      </c>
      <c r="B10" s="701" t="s">
        <v>518</v>
      </c>
      <c r="C10" s="701"/>
      <c r="D10" s="227" t="s">
        <v>519</v>
      </c>
      <c r="E10" s="360" t="s">
        <v>520</v>
      </c>
      <c r="F10" s="702" t="s">
        <v>466</v>
      </c>
      <c r="G10" s="702"/>
      <c r="H10" s="702"/>
      <c r="I10" s="702"/>
      <c r="J10" s="702"/>
    </row>
    <row r="11" spans="1:10" ht="19.5" customHeight="1" x14ac:dyDescent="0.25">
      <c r="A11" s="703">
        <v>1</v>
      </c>
      <c r="B11" s="704" t="str">
        <f>A7</f>
        <v>Servente de Limpeza</v>
      </c>
      <c r="C11" s="704"/>
      <c r="D11" s="28">
        <f>Dados!D9</f>
        <v>200</v>
      </c>
      <c r="E11" s="362">
        <f>Dados!E9</f>
        <v>1541.23</v>
      </c>
      <c r="F11" s="363">
        <f>ROUND(E11/220*D11,2)</f>
        <v>1401.12</v>
      </c>
      <c r="G11" s="363">
        <f>F11</f>
        <v>1401.12</v>
      </c>
      <c r="H11" s="363"/>
      <c r="I11" s="363"/>
      <c r="J11" s="364"/>
    </row>
    <row r="12" spans="1:10" ht="19.5" customHeight="1" x14ac:dyDescent="0.25">
      <c r="A12" s="703"/>
      <c r="B12" s="704" t="s">
        <v>521</v>
      </c>
      <c r="C12" s="704"/>
      <c r="D12" s="365">
        <f>Dados!G9</f>
        <v>0</v>
      </c>
      <c r="E12" s="362">
        <f>Dados!G28</f>
        <v>1412</v>
      </c>
      <c r="F12" s="363">
        <f>D12*E12</f>
        <v>0</v>
      </c>
      <c r="G12" s="363">
        <f>F12</f>
        <v>0</v>
      </c>
      <c r="H12" s="363"/>
      <c r="I12" s="363"/>
      <c r="J12" s="364">
        <f>F12</f>
        <v>0</v>
      </c>
    </row>
    <row r="13" spans="1:10" ht="20.25" customHeight="1" x14ac:dyDescent="0.25">
      <c r="A13" s="703"/>
      <c r="B13" s="366" t="s">
        <v>522</v>
      </c>
      <c r="C13" s="367">
        <f>Dados!I7</f>
        <v>0</v>
      </c>
      <c r="D13" s="367">
        <f>Dados!J7</f>
        <v>0</v>
      </c>
      <c r="E13" s="368">
        <f>Dados!K10</f>
        <v>0</v>
      </c>
      <c r="F13" s="369">
        <f>ROUND((E13*D13*C13),2)</f>
        <v>0</v>
      </c>
      <c r="G13" s="369">
        <f>F13</f>
        <v>0</v>
      </c>
      <c r="H13" s="369"/>
      <c r="I13" s="369"/>
      <c r="J13" s="370"/>
    </row>
    <row r="14" spans="1:10" ht="19.5" customHeight="1" x14ac:dyDescent="0.25">
      <c r="A14" s="703"/>
      <c r="B14" s="705" t="s">
        <v>523</v>
      </c>
      <c r="C14" s="705"/>
      <c r="D14" s="705"/>
      <c r="E14" s="705"/>
      <c r="F14" s="371">
        <f>SUM(F11:F13)</f>
        <v>1401.12</v>
      </c>
      <c r="G14" s="371">
        <f>SUM(G11:G13)</f>
        <v>1401.12</v>
      </c>
      <c r="H14" s="371">
        <f>SUM(H11:H13)</f>
        <v>0</v>
      </c>
      <c r="I14" s="371">
        <f>SUM(I11:I13)</f>
        <v>0</v>
      </c>
      <c r="J14" s="372">
        <f>SUM(J11:J13)</f>
        <v>0</v>
      </c>
    </row>
    <row r="15" spans="1:10" ht="19.5" customHeight="1" x14ac:dyDescent="0.25">
      <c r="A15" s="703"/>
      <c r="B15" s="706" t="s">
        <v>524</v>
      </c>
      <c r="C15" s="706"/>
      <c r="D15" s="706"/>
      <c r="E15" s="373">
        <f>Encargos!$C$57</f>
        <v>0.7330000000000001</v>
      </c>
      <c r="F15" s="363">
        <f>ROUND((E15*F14),2)</f>
        <v>1027.02</v>
      </c>
      <c r="G15" s="363">
        <f>F15</f>
        <v>1027.02</v>
      </c>
      <c r="H15" s="363"/>
      <c r="I15" s="363"/>
      <c r="J15" s="364">
        <f>ROUND((E15*J14),2)</f>
        <v>0</v>
      </c>
    </row>
    <row r="16" spans="1:10" ht="19.5" customHeight="1" x14ac:dyDescent="0.25">
      <c r="A16" s="697" t="s">
        <v>525</v>
      </c>
      <c r="B16" s="697"/>
      <c r="C16" s="697"/>
      <c r="D16" s="697"/>
      <c r="E16" s="697"/>
      <c r="F16" s="374">
        <f>SUM(F14:F15)</f>
        <v>2428.14</v>
      </c>
      <c r="G16" s="374">
        <f>SUM(G14:G15)</f>
        <v>2428.14</v>
      </c>
      <c r="H16" s="374">
        <f>SUM(H14:H15)</f>
        <v>0</v>
      </c>
      <c r="I16" s="374">
        <f>SUM(I14:I15)</f>
        <v>0</v>
      </c>
      <c r="J16" s="375">
        <f>SUM(J14:J15)</f>
        <v>0</v>
      </c>
    </row>
    <row r="17" spans="1:12" ht="19.5" customHeight="1" x14ac:dyDescent="0.25">
      <c r="A17" s="698" t="s">
        <v>526</v>
      </c>
      <c r="B17" s="698"/>
      <c r="C17" s="698"/>
      <c r="D17" s="698"/>
      <c r="E17" s="698"/>
      <c r="F17" s="698"/>
      <c r="G17" s="698"/>
      <c r="H17" s="698"/>
      <c r="I17" s="698"/>
      <c r="J17" s="698"/>
    </row>
    <row r="18" spans="1:12" ht="19.5" customHeight="1" x14ac:dyDescent="0.25">
      <c r="A18" s="692" t="s">
        <v>527</v>
      </c>
      <c r="B18" s="692"/>
      <c r="C18" s="39" t="s">
        <v>465</v>
      </c>
      <c r="D18" s="699" t="s">
        <v>528</v>
      </c>
      <c r="E18" s="699"/>
      <c r="F18" s="700" t="s">
        <v>466</v>
      </c>
      <c r="G18" s="700"/>
      <c r="H18" s="700"/>
      <c r="I18" s="700"/>
      <c r="J18" s="700"/>
    </row>
    <row r="19" spans="1:12" ht="19.5" customHeight="1" x14ac:dyDescent="0.25">
      <c r="A19" s="683" t="s">
        <v>529</v>
      </c>
      <c r="B19" s="683"/>
      <c r="C19" s="378"/>
      <c r="D19" s="378"/>
      <c r="E19" s="378"/>
      <c r="F19" s="363">
        <f>Dados!$N$9</f>
        <v>27.17</v>
      </c>
      <c r="G19" s="363">
        <f t="shared" ref="G19:G24" si="0">F19</f>
        <v>27.17</v>
      </c>
      <c r="H19" s="363"/>
      <c r="I19" s="363"/>
      <c r="J19" s="364"/>
    </row>
    <row r="20" spans="1:12" ht="19.5" customHeight="1" x14ac:dyDescent="0.25">
      <c r="A20" s="683" t="s">
        <v>530</v>
      </c>
      <c r="B20" s="683"/>
      <c r="C20" s="378"/>
      <c r="D20" s="378"/>
      <c r="E20" s="378"/>
      <c r="F20" s="363">
        <f>Dados!$G$31</f>
        <v>3.09</v>
      </c>
      <c r="G20" s="363">
        <f t="shared" si="0"/>
        <v>3.09</v>
      </c>
      <c r="H20" s="363"/>
      <c r="I20" s="363"/>
      <c r="J20" s="364"/>
    </row>
    <row r="21" spans="1:12" ht="23.25" customHeight="1" x14ac:dyDescent="0.25">
      <c r="A21" s="696" t="s">
        <v>226</v>
      </c>
      <c r="B21" s="696"/>
      <c r="C21" s="378"/>
      <c r="D21" s="378"/>
      <c r="E21" s="378"/>
      <c r="F21" s="363">
        <f>Dados!G32</f>
        <v>0</v>
      </c>
      <c r="G21" s="363">
        <f t="shared" si="0"/>
        <v>0</v>
      </c>
      <c r="H21" s="363"/>
      <c r="I21" s="363"/>
      <c r="J21" s="364"/>
    </row>
    <row r="22" spans="1:12" ht="19.5" customHeight="1" x14ac:dyDescent="0.25">
      <c r="A22" s="683" t="s">
        <v>227</v>
      </c>
      <c r="B22" s="683"/>
      <c r="C22" s="379">
        <f>Dados!$G$35</f>
        <v>22</v>
      </c>
      <c r="D22" s="379">
        <f>Dados!$G$34</f>
        <v>2</v>
      </c>
      <c r="E22" s="378">
        <f>Dados!$G$33</f>
        <v>4.25</v>
      </c>
      <c r="F22" s="363">
        <f>IF(ROUND((E22*D22*C22)-(F11*Dados!$G$36),2)&lt;0,0,ROUND((E22*D22*C22)-(F11*Dados!$G$36),2))</f>
        <v>102.93</v>
      </c>
      <c r="G22" s="363">
        <f t="shared" si="0"/>
        <v>102.93</v>
      </c>
      <c r="H22" s="363"/>
      <c r="I22" s="363">
        <f>F22</f>
        <v>102.93</v>
      </c>
      <c r="J22" s="364"/>
    </row>
    <row r="23" spans="1:12" ht="19.5" customHeight="1" x14ac:dyDescent="0.25">
      <c r="A23" s="683" t="s">
        <v>236</v>
      </c>
      <c r="B23" s="683"/>
      <c r="C23" s="379">
        <f>Dados!$G$38</f>
        <v>22</v>
      </c>
      <c r="D23" s="380">
        <f>Dados!$G$39</f>
        <v>0.2</v>
      </c>
      <c r="E23" s="378">
        <f>Dados!$G$37</f>
        <v>27.24</v>
      </c>
      <c r="F23" s="271">
        <f>ROUND((IF(D11&gt;150,((C23*E23)-(C23*(D23*E23))),0)),2)</f>
        <v>479.42</v>
      </c>
      <c r="G23" s="363">
        <f t="shared" si="0"/>
        <v>479.42</v>
      </c>
      <c r="H23" s="363">
        <f>$F$23</f>
        <v>479.42</v>
      </c>
      <c r="I23" s="271"/>
      <c r="J23" s="364"/>
    </row>
    <row r="24" spans="1:12" ht="19.5" customHeight="1" x14ac:dyDescent="0.25">
      <c r="A24" s="683" t="s">
        <v>189</v>
      </c>
      <c r="B24" s="683"/>
      <c r="C24" s="379"/>
      <c r="D24" s="379"/>
      <c r="E24" s="378"/>
      <c r="F24" s="271">
        <f>Dados!Q9</f>
        <v>4.166666666666667</v>
      </c>
      <c r="G24" s="363">
        <f t="shared" si="0"/>
        <v>4.166666666666667</v>
      </c>
      <c r="H24" s="363"/>
      <c r="I24" s="271"/>
      <c r="J24" s="364"/>
    </row>
    <row r="25" spans="1:12" ht="19.5" customHeight="1" x14ac:dyDescent="0.25">
      <c r="A25" s="683" t="s">
        <v>239</v>
      </c>
      <c r="B25" s="683"/>
      <c r="C25" s="379"/>
      <c r="D25" s="379"/>
      <c r="E25" s="378"/>
      <c r="F25" s="271">
        <f>Dados!$G$41</f>
        <v>0</v>
      </c>
      <c r="G25" s="363"/>
      <c r="H25" s="363"/>
      <c r="I25" s="271"/>
      <c r="J25" s="364"/>
    </row>
    <row r="26" spans="1:12" ht="19.5" customHeight="1" x14ac:dyDescent="0.25">
      <c r="A26" s="683" t="s">
        <v>531</v>
      </c>
      <c r="B26" s="683"/>
      <c r="C26" s="379"/>
      <c r="D26" s="378"/>
      <c r="E26" s="378"/>
      <c r="F26" s="363">
        <f>Dados!$O$9</f>
        <v>672.05</v>
      </c>
      <c r="G26" s="363"/>
      <c r="H26" s="363"/>
      <c r="I26" s="363"/>
      <c r="J26" s="364"/>
      <c r="L26" s="60"/>
    </row>
    <row r="27" spans="1:12" ht="19.5" customHeight="1" x14ac:dyDescent="0.25">
      <c r="A27" s="377" t="s">
        <v>532</v>
      </c>
      <c r="B27" s="381"/>
      <c r="C27" s="379"/>
      <c r="D27" s="378"/>
      <c r="E27" s="378"/>
      <c r="F27" s="363"/>
      <c r="G27" s="363"/>
      <c r="H27" s="363"/>
      <c r="I27" s="363"/>
      <c r="J27" s="364"/>
    </row>
    <row r="28" spans="1:12" ht="19.5" customHeight="1" x14ac:dyDescent="0.25">
      <c r="A28" s="695" t="s">
        <v>533</v>
      </c>
      <c r="B28" s="695"/>
      <c r="C28" s="382"/>
      <c r="D28" s="383"/>
      <c r="E28" s="383"/>
      <c r="F28" s="369">
        <f>Dados!$R$9</f>
        <v>1.8333333333333333</v>
      </c>
      <c r="G28" s="369">
        <f>F28</f>
        <v>1.8333333333333333</v>
      </c>
      <c r="H28" s="369"/>
      <c r="I28" s="369"/>
      <c r="J28" s="370"/>
    </row>
    <row r="29" spans="1:12" ht="19.5" customHeight="1" x14ac:dyDescent="0.25">
      <c r="A29" s="690" t="s">
        <v>534</v>
      </c>
      <c r="B29" s="690"/>
      <c r="C29" s="690"/>
      <c r="D29" s="690"/>
      <c r="E29" s="690"/>
      <c r="F29" s="374">
        <f>SUM(F19:F28)</f>
        <v>1290.6599999999999</v>
      </c>
      <c r="G29" s="374">
        <f>SUM(G19:G28)</f>
        <v>618.61</v>
      </c>
      <c r="H29" s="374">
        <f>SUM(H19:H28)</f>
        <v>479.42</v>
      </c>
      <c r="I29" s="374">
        <f>SUM(I19:I28)</f>
        <v>102.93</v>
      </c>
      <c r="J29" s="375">
        <f>SUM(J19:J28)</f>
        <v>0</v>
      </c>
    </row>
    <row r="30" spans="1:12" ht="19.5" customHeight="1" x14ac:dyDescent="0.25">
      <c r="A30" s="690" t="s">
        <v>535</v>
      </c>
      <c r="B30" s="690"/>
      <c r="C30" s="690"/>
      <c r="D30" s="690"/>
      <c r="E30" s="690"/>
      <c r="F30" s="374">
        <f>F16+F29</f>
        <v>3718.7999999999997</v>
      </c>
      <c r="G30" s="374">
        <f>G16+G29</f>
        <v>3046.75</v>
      </c>
      <c r="H30" s="374">
        <f>H16+H29</f>
        <v>479.42</v>
      </c>
      <c r="I30" s="374">
        <f>I16+I29</f>
        <v>102.93</v>
      </c>
      <c r="J30" s="375">
        <f>J16+J29</f>
        <v>0</v>
      </c>
    </row>
    <row r="31" spans="1:12" ht="19.5" customHeight="1" x14ac:dyDescent="0.25">
      <c r="A31" s="691" t="s">
        <v>536</v>
      </c>
      <c r="B31" s="691"/>
      <c r="C31" s="691"/>
      <c r="D31" s="691"/>
      <c r="E31" s="691"/>
      <c r="F31" s="691"/>
      <c r="G31" s="691"/>
      <c r="H31" s="691"/>
      <c r="I31" s="691"/>
      <c r="J31" s="691"/>
    </row>
    <row r="32" spans="1:12" ht="19.5" customHeight="1" x14ac:dyDescent="0.25">
      <c r="A32" s="692" t="s">
        <v>537</v>
      </c>
      <c r="B32" s="692"/>
      <c r="C32" s="692"/>
      <c r="D32" s="83" t="s">
        <v>538</v>
      </c>
      <c r="E32" s="693" t="s">
        <v>466</v>
      </c>
      <c r="F32" s="693"/>
      <c r="G32" s="693"/>
      <c r="H32" s="693"/>
      <c r="I32" s="693"/>
      <c r="J32" s="693"/>
    </row>
    <row r="33" spans="1:12" ht="19.5" customHeight="1" x14ac:dyDescent="0.25">
      <c r="A33" s="384" t="s">
        <v>539</v>
      </c>
      <c r="B33" s="385"/>
      <c r="C33" s="385"/>
      <c r="D33" s="365">
        <f>Dados!$G$44</f>
        <v>0.03</v>
      </c>
      <c r="E33" s="386"/>
      <c r="F33" s="363">
        <f>ROUND((F30*$D$33),2)</f>
        <v>111.56</v>
      </c>
      <c r="G33" s="363">
        <f>ROUND((G30*$D$33),2)</f>
        <v>91.4</v>
      </c>
      <c r="H33" s="363">
        <f>ROUND((H30*$D$33),2)</f>
        <v>14.38</v>
      </c>
      <c r="I33" s="363">
        <f>ROUND((I30*$D$33),2)</f>
        <v>3.09</v>
      </c>
      <c r="J33" s="364">
        <f>ROUND((J30*$D$33),2)</f>
        <v>0</v>
      </c>
    </row>
    <row r="34" spans="1:12" ht="19.5" customHeight="1" x14ac:dyDescent="0.25">
      <c r="A34" s="694" t="s">
        <v>540</v>
      </c>
      <c r="B34" s="694"/>
      <c r="C34" s="694"/>
      <c r="D34" s="365"/>
      <c r="E34" s="386"/>
      <c r="F34" s="363">
        <f>F30+F33</f>
        <v>3830.3599999999997</v>
      </c>
      <c r="G34" s="363">
        <f>G30+G33</f>
        <v>3138.15</v>
      </c>
      <c r="H34" s="363">
        <f>H30+H33</f>
        <v>493.8</v>
      </c>
      <c r="I34" s="363">
        <f>I30+I33</f>
        <v>106.02000000000001</v>
      </c>
      <c r="J34" s="364">
        <f>J30+J33</f>
        <v>0</v>
      </c>
    </row>
    <row r="35" spans="1:12" ht="19.5" customHeight="1" x14ac:dyDescent="0.25">
      <c r="A35" s="387" t="s">
        <v>244</v>
      </c>
      <c r="B35" s="388"/>
      <c r="C35" s="388"/>
      <c r="D35" s="389">
        <f>Dados!$G$45</f>
        <v>6.7900000000000002E-2</v>
      </c>
      <c r="E35" s="390"/>
      <c r="F35" s="369">
        <f>ROUND((F34*$D$35),2)</f>
        <v>260.08</v>
      </c>
      <c r="G35" s="369">
        <f>ROUND((G34*$D$35),2)</f>
        <v>213.08</v>
      </c>
      <c r="H35" s="369">
        <f>ROUND((H34*$D$35),2)</f>
        <v>33.53</v>
      </c>
      <c r="I35" s="369">
        <f>ROUND((I34*$D$35),2)</f>
        <v>7.2</v>
      </c>
      <c r="J35" s="370">
        <f>ROUND((J34*$D$35),2)</f>
        <v>0</v>
      </c>
    </row>
    <row r="36" spans="1:12" ht="19.5" customHeight="1" x14ac:dyDescent="0.25">
      <c r="A36" s="391" t="s">
        <v>541</v>
      </c>
      <c r="B36" s="392"/>
      <c r="C36" s="392"/>
      <c r="D36" s="393">
        <f>SUM(D33:D35)</f>
        <v>9.7900000000000001E-2</v>
      </c>
      <c r="E36" s="394"/>
      <c r="F36" s="374">
        <f>F33+F35</f>
        <v>371.64</v>
      </c>
      <c r="G36" s="374">
        <f>G33+G35</f>
        <v>304.48</v>
      </c>
      <c r="H36" s="374">
        <f>H33+H35</f>
        <v>47.910000000000004</v>
      </c>
      <c r="I36" s="374">
        <f>I33+I35</f>
        <v>10.29</v>
      </c>
      <c r="J36" s="375">
        <f>J33+J35</f>
        <v>0</v>
      </c>
    </row>
    <row r="37" spans="1:12" ht="19.5" customHeight="1" x14ac:dyDescent="0.25">
      <c r="A37" s="688" t="s">
        <v>542</v>
      </c>
      <c r="B37" s="688"/>
      <c r="C37" s="688"/>
      <c r="D37" s="688"/>
      <c r="E37" s="688"/>
      <c r="F37" s="395">
        <f>F30+F36</f>
        <v>4090.4399999999996</v>
      </c>
      <c r="G37" s="395">
        <f>G30+G36</f>
        <v>3351.23</v>
      </c>
      <c r="H37" s="395">
        <f>H30+H36</f>
        <v>527.33000000000004</v>
      </c>
      <c r="I37" s="395">
        <f>I30+I36</f>
        <v>113.22</v>
      </c>
      <c r="J37" s="396">
        <f>J30+J36</f>
        <v>0</v>
      </c>
    </row>
    <row r="38" spans="1:12" ht="19.5" customHeight="1" x14ac:dyDescent="0.25">
      <c r="A38" s="689" t="s">
        <v>543</v>
      </c>
      <c r="B38" s="689"/>
      <c r="C38" s="689"/>
      <c r="D38" s="689"/>
      <c r="E38" s="689"/>
      <c r="F38" s="689"/>
      <c r="G38" s="689"/>
      <c r="H38" s="689"/>
      <c r="I38" s="689"/>
      <c r="J38" s="689"/>
    </row>
    <row r="39" spans="1:12" ht="19.5" customHeight="1" x14ac:dyDescent="0.25">
      <c r="A39" s="683" t="s">
        <v>250</v>
      </c>
      <c r="B39" s="683"/>
      <c r="C39" s="683"/>
      <c r="D39" s="365">
        <f>Dados!G52</f>
        <v>3.065E-2</v>
      </c>
      <c r="E39" s="363"/>
      <c r="F39" s="363">
        <f>ROUND(($F$45*D39),2)</f>
        <v>134.41999999999999</v>
      </c>
      <c r="G39" s="363">
        <f>ROUND((G45*$D$39),2)</f>
        <v>110.13</v>
      </c>
      <c r="H39" s="363">
        <f>ROUND((H45*$D$39),2)</f>
        <v>17.329999999999998</v>
      </c>
      <c r="I39" s="363">
        <f>ROUND((I45*$D$39),2)</f>
        <v>3.72</v>
      </c>
      <c r="J39" s="364">
        <f>ROUND((J45*$D$39),2)</f>
        <v>0</v>
      </c>
    </row>
    <row r="40" spans="1:12" ht="19.5" customHeight="1" x14ac:dyDescent="0.25">
      <c r="A40" s="683" t="s">
        <v>252</v>
      </c>
      <c r="B40" s="683"/>
      <c r="C40" s="683"/>
      <c r="D40" s="365">
        <f>Dados!G53</f>
        <v>6.6400000000000001E-3</v>
      </c>
      <c r="E40" s="363"/>
      <c r="F40" s="363">
        <f>ROUND((F45*$D$40),2)</f>
        <v>29.12</v>
      </c>
      <c r="G40" s="363">
        <f>ROUND((G45*$D$40),2)</f>
        <v>23.86</v>
      </c>
      <c r="H40" s="363">
        <f>ROUND((H45*$D$40),2)</f>
        <v>3.75</v>
      </c>
      <c r="I40" s="363">
        <f>ROUND((I45*$D$40),2)</f>
        <v>0.81</v>
      </c>
      <c r="J40" s="364">
        <f>ROUND((J45*$D$40),2)</f>
        <v>0</v>
      </c>
    </row>
    <row r="41" spans="1:12" ht="19.5" customHeight="1" x14ac:dyDescent="0.25">
      <c r="A41" s="683" t="s">
        <v>253</v>
      </c>
      <c r="B41" s="683"/>
      <c r="C41" s="683"/>
      <c r="D41" s="365">
        <f>Dados!G54</f>
        <v>0.03</v>
      </c>
      <c r="E41" s="363"/>
      <c r="F41" s="363">
        <f>ROUND((F45*$D$41),2)</f>
        <v>131.57</v>
      </c>
      <c r="G41" s="363">
        <f>ROUND((G45*$D$41),2)</f>
        <v>107.79</v>
      </c>
      <c r="H41" s="363">
        <f>ROUND((H45*$D$41),2)</f>
        <v>16.96</v>
      </c>
      <c r="I41" s="363">
        <f>ROUND((I45*$D$41),2)</f>
        <v>3.64</v>
      </c>
      <c r="J41" s="364">
        <f>ROUND((J45*$D$41),2)</f>
        <v>0</v>
      </c>
    </row>
    <row r="42" spans="1:12" ht="19.5" customHeight="1" x14ac:dyDescent="0.25">
      <c r="A42" s="683" t="s">
        <v>239</v>
      </c>
      <c r="B42" s="683"/>
      <c r="C42" s="683"/>
      <c r="D42" s="365">
        <f>Dados!G55</f>
        <v>0</v>
      </c>
      <c r="E42" s="363"/>
      <c r="F42" s="363">
        <f>ROUND((F45*$D$42),2)</f>
        <v>0</v>
      </c>
      <c r="G42" s="363">
        <f>ROUND((G45*$D$42),2)</f>
        <v>0</v>
      </c>
      <c r="H42" s="363">
        <f>ROUND((H45*$D$42),2)</f>
        <v>0</v>
      </c>
      <c r="I42" s="363">
        <f>ROUND((I45*$D$42),2)</f>
        <v>0</v>
      </c>
      <c r="J42" s="364">
        <f>ROUND((J45*$D$42),2)</f>
        <v>0</v>
      </c>
    </row>
    <row r="43" spans="1:12" ht="19.5" customHeight="1" x14ac:dyDescent="0.25">
      <c r="A43" s="684" t="s">
        <v>544</v>
      </c>
      <c r="B43" s="684"/>
      <c r="C43" s="684"/>
      <c r="D43" s="397">
        <f>SUM(D39:D42)</f>
        <v>6.7290000000000003E-2</v>
      </c>
      <c r="E43" s="398"/>
      <c r="F43" s="399">
        <f>SUM(F39:F42)</f>
        <v>295.11</v>
      </c>
      <c r="G43" s="399">
        <f>SUM(G39:G42)</f>
        <v>241.78000000000003</v>
      </c>
      <c r="H43" s="399">
        <f>SUM(H39:H42)</f>
        <v>38.04</v>
      </c>
      <c r="I43" s="399">
        <f>SUM(I39:I42)</f>
        <v>8.17</v>
      </c>
      <c r="J43" s="400">
        <f>SUM(J39:J41)</f>
        <v>0</v>
      </c>
    </row>
    <row r="44" spans="1:12" ht="19.5" customHeight="1" x14ac:dyDescent="0.25">
      <c r="A44" s="685" t="str">
        <f>CONCATENATE("Custo Mensal - ",A7)</f>
        <v>Custo Mensal - Servente de Limpeza</v>
      </c>
      <c r="B44" s="685"/>
      <c r="C44" s="685"/>
      <c r="D44" s="685"/>
      <c r="E44" s="685"/>
      <c r="F44" s="401">
        <f>ROUND(F37/(1-D43),2)</f>
        <v>4385.54</v>
      </c>
      <c r="G44" s="401">
        <f>ROUND(G37/(1-D43),2)</f>
        <v>3593</v>
      </c>
      <c r="H44" s="401">
        <f>ROUND(H37/(1-D43),2)</f>
        <v>565.37</v>
      </c>
      <c r="I44" s="401">
        <f>ROUND(I37/(1-D43),2)</f>
        <v>121.39</v>
      </c>
      <c r="J44" s="402">
        <f>ROUND(J37/(1-D43),2)</f>
        <v>0</v>
      </c>
    </row>
    <row r="45" spans="1:12" ht="19.5" customHeight="1" x14ac:dyDescent="0.25">
      <c r="A45" s="686" t="str">
        <f>CONCATENATE("Valor do Custo Mensal - ",A7)</f>
        <v>Valor do Custo Mensal - Servente de Limpeza</v>
      </c>
      <c r="B45" s="686"/>
      <c r="C45" s="686"/>
      <c r="D45" s="686"/>
      <c r="E45" s="686"/>
      <c r="F45" s="401">
        <f>F44</f>
        <v>4385.54</v>
      </c>
      <c r="G45" s="401">
        <f>G44</f>
        <v>3593</v>
      </c>
      <c r="H45" s="401">
        <f>H44</f>
        <v>565.37</v>
      </c>
      <c r="I45" s="401">
        <f>I44</f>
        <v>121.39</v>
      </c>
      <c r="J45" s="402">
        <f>J44</f>
        <v>0</v>
      </c>
      <c r="K45" s="403"/>
      <c r="L45" s="403"/>
    </row>
    <row r="46" spans="1:12" ht="27.75" customHeight="1" x14ac:dyDescent="0.25">
      <c r="A46" s="687" t="s">
        <v>545</v>
      </c>
      <c r="B46" s="687"/>
      <c r="C46" s="687"/>
      <c r="D46" s="687"/>
      <c r="E46" s="687"/>
      <c r="F46" s="404">
        <f>(F45/F14)</f>
        <v>3.1300245517871419</v>
      </c>
      <c r="G46" s="404">
        <f>(G45/G14)</f>
        <v>2.5643770697727533</v>
      </c>
      <c r="H46" s="682" t="s">
        <v>546</v>
      </c>
      <c r="I46" s="682"/>
      <c r="J46" s="405">
        <f>ROUND((J45/30),2)</f>
        <v>0</v>
      </c>
    </row>
    <row r="47" spans="1:12" ht="19.5" customHeight="1" x14ac:dyDescent="0.25"/>
  </sheetData>
  <sheetProtection sheet="1" objects="1" scenarios="1"/>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H46:I46"/>
    <mergeCell ref="A42:C42"/>
    <mergeCell ref="A43:C43"/>
    <mergeCell ref="A44:E44"/>
    <mergeCell ref="A45:E45"/>
    <mergeCell ref="A46:E46"/>
  </mergeCells>
  <printOptions horizontalCentered="1" verticalCentered="1"/>
  <pageMargins left="0.51180555555555496" right="0.51180555555555496" top="0.78749999999999998" bottom="0.78749999999999998" header="0.51180555555555496" footer="0.51180555555555496"/>
  <pageSetup paperSize="9" scale="61" firstPageNumber="0" fitToHeight="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K47"/>
  <sheetViews>
    <sheetView showGridLines="0" topLeftCell="A16" zoomScaleNormal="100" workbookViewId="0">
      <selection activeCell="O9" sqref="O9"/>
    </sheetView>
  </sheetViews>
  <sheetFormatPr defaultRowHeight="15" x14ac:dyDescent="0.25"/>
  <cols>
    <col min="1" max="1" width="10.5703125" style="71" customWidth="1"/>
    <col min="2" max="2" width="27.7109375" style="71" customWidth="1"/>
    <col min="3" max="3" width="14.42578125" style="71" customWidth="1"/>
    <col min="4" max="5" width="15" style="71" customWidth="1"/>
    <col min="6" max="6" width="16.7109375" style="349" customWidth="1"/>
    <col min="7" max="8" width="13.140625" style="349" customWidth="1"/>
    <col min="9" max="10" width="12.5703125" style="349" customWidth="1"/>
    <col min="11" max="257" width="9.140625" style="71" customWidth="1"/>
    <col min="258" max="258" width="10.5703125" style="71" customWidth="1"/>
    <col min="259" max="259" width="27.7109375" style="71" customWidth="1"/>
    <col min="260" max="260" width="14.42578125" style="71" customWidth="1"/>
    <col min="261" max="262" width="15" style="71" customWidth="1"/>
    <col min="263" max="263" width="16.7109375" style="71" customWidth="1"/>
    <col min="264" max="264" width="13.140625" style="71" customWidth="1"/>
    <col min="265" max="266" width="12.5703125" style="71" customWidth="1"/>
    <col min="267" max="513" width="9.140625" style="71" customWidth="1"/>
    <col min="514" max="514" width="10.5703125" style="71" customWidth="1"/>
    <col min="515" max="515" width="27.7109375" style="71" customWidth="1"/>
    <col min="516" max="516" width="14.42578125" style="71" customWidth="1"/>
    <col min="517" max="518" width="15" style="71" customWidth="1"/>
    <col min="519" max="519" width="16.7109375" style="71" customWidth="1"/>
    <col min="520" max="520" width="13.140625" style="71" customWidth="1"/>
    <col min="521" max="522" width="12.5703125" style="71" customWidth="1"/>
    <col min="523" max="769" width="9.140625" style="71" customWidth="1"/>
    <col min="770" max="770" width="10.5703125" style="71" customWidth="1"/>
    <col min="771" max="771" width="27.7109375" style="71" customWidth="1"/>
    <col min="772" max="772" width="14.42578125" style="71" customWidth="1"/>
    <col min="773" max="774" width="15" style="71" customWidth="1"/>
    <col min="775" max="775" width="16.7109375" style="71" customWidth="1"/>
    <col min="776" max="776" width="13.140625" style="71" customWidth="1"/>
    <col min="777" max="778" width="12.5703125" style="71" customWidth="1"/>
    <col min="779" max="1025" width="9.140625" style="71" customWidth="1"/>
  </cols>
  <sheetData>
    <row r="1" spans="1:10" x14ac:dyDescent="0.25">
      <c r="A1" s="350"/>
      <c r="B1" s="100" t="str">
        <f>INSTRUÇÕES!B1</f>
        <v>Tribunal Regional Federal da 6ª Região</v>
      </c>
      <c r="C1" s="351"/>
      <c r="D1" s="351"/>
      <c r="E1" s="351"/>
      <c r="F1" s="352"/>
      <c r="G1" s="353"/>
      <c r="H1" s="353"/>
      <c r="I1" s="352"/>
      <c r="J1" s="354"/>
    </row>
    <row r="2" spans="1:10" x14ac:dyDescent="0.25">
      <c r="A2" s="355"/>
      <c r="B2" s="102" t="str">
        <f>INSTRUÇÕES!B2</f>
        <v>Seção Judiciária de Minas Gerais</v>
      </c>
      <c r="C2" s="60"/>
      <c r="D2" s="60"/>
      <c r="E2" s="60"/>
      <c r="F2" s="356"/>
      <c r="I2" s="356"/>
      <c r="J2" s="357"/>
    </row>
    <row r="3" spans="1:10" x14ac:dyDescent="0.25">
      <c r="A3" s="173"/>
      <c r="B3" s="358" t="str">
        <f>INSTRUÇÕES!B3</f>
        <v>Subseção Judiciária de Montes Claros</v>
      </c>
      <c r="C3" s="60"/>
      <c r="D3" s="60"/>
      <c r="E3" s="60"/>
      <c r="F3" s="356"/>
      <c r="I3" s="356"/>
      <c r="J3" s="357"/>
    </row>
    <row r="4" spans="1:10" ht="19.5" customHeight="1" x14ac:dyDescent="0.25">
      <c r="A4" s="707" t="s">
        <v>510</v>
      </c>
      <c r="B4" s="707"/>
      <c r="C4" s="707"/>
      <c r="D4" s="707"/>
      <c r="E4" s="707"/>
      <c r="F4" s="707"/>
      <c r="G4" s="707"/>
      <c r="H4" s="707"/>
      <c r="I4" s="707"/>
      <c r="J4" s="707"/>
    </row>
    <row r="5" spans="1:10" ht="19.5" customHeight="1" x14ac:dyDescent="0.25">
      <c r="A5" s="708" t="s">
        <v>296</v>
      </c>
      <c r="B5" s="708"/>
      <c r="C5" s="708"/>
      <c r="D5" s="708"/>
      <c r="E5" s="708"/>
      <c r="F5" s="708"/>
      <c r="G5" s="708"/>
      <c r="H5" s="708"/>
      <c r="I5" s="708"/>
      <c r="J5" s="708"/>
    </row>
    <row r="6" spans="1:10" ht="36" customHeight="1" x14ac:dyDescent="0.25">
      <c r="A6" s="709" t="str">
        <f>Dados!A4</f>
        <v>Sindicato utilizado - SINSERTH X SINTAPPI. Vigência: 2024. Sendo a data base da categoria 01° DE ABRIL. Com número de registro no MTE MG002103/2024.</v>
      </c>
      <c r="B6" s="709"/>
      <c r="C6" s="709"/>
      <c r="D6" s="709"/>
      <c r="E6" s="709"/>
      <c r="F6" s="709"/>
      <c r="G6" s="709"/>
      <c r="H6" s="709"/>
      <c r="I6" s="709"/>
      <c r="J6" s="709"/>
    </row>
    <row r="7" spans="1:10" ht="19.5" customHeight="1" x14ac:dyDescent="0.25">
      <c r="A7" s="710" t="str">
        <f>Dados!C10</f>
        <v>Porteiro</v>
      </c>
      <c r="B7" s="710"/>
      <c r="C7" s="710"/>
      <c r="D7" s="710"/>
      <c r="E7" s="710"/>
      <c r="F7" s="711" t="s">
        <v>511</v>
      </c>
      <c r="G7" s="711" t="s">
        <v>512</v>
      </c>
      <c r="H7" s="711" t="s">
        <v>513</v>
      </c>
      <c r="I7" s="711" t="s">
        <v>514</v>
      </c>
      <c r="J7" s="711" t="s">
        <v>515</v>
      </c>
    </row>
    <row r="8" spans="1:10" ht="19.5" customHeight="1" x14ac:dyDescent="0.25">
      <c r="A8" s="712" t="s">
        <v>516</v>
      </c>
      <c r="B8" s="712"/>
      <c r="C8" s="712"/>
      <c r="D8" s="712"/>
      <c r="E8" s="359" t="s">
        <v>462</v>
      </c>
      <c r="F8" s="711"/>
      <c r="G8" s="711"/>
      <c r="H8" s="711"/>
      <c r="I8" s="711"/>
      <c r="J8" s="711"/>
    </row>
    <row r="9" spans="1:10" ht="19.5" customHeight="1" x14ac:dyDescent="0.25">
      <c r="A9" s="691" t="s">
        <v>517</v>
      </c>
      <c r="B9" s="691"/>
      <c r="C9" s="691"/>
      <c r="D9" s="691"/>
      <c r="E9" s="691"/>
      <c r="F9" s="691"/>
      <c r="G9" s="691"/>
      <c r="H9" s="691"/>
      <c r="I9" s="691"/>
      <c r="J9" s="691"/>
    </row>
    <row r="10" spans="1:10" ht="24" customHeight="1" x14ac:dyDescent="0.25">
      <c r="A10" s="178" t="s">
        <v>463</v>
      </c>
      <c r="B10" s="701" t="s">
        <v>518</v>
      </c>
      <c r="C10" s="701"/>
      <c r="D10" s="227" t="s">
        <v>519</v>
      </c>
      <c r="E10" s="360" t="s">
        <v>520</v>
      </c>
      <c r="F10" s="702" t="s">
        <v>466</v>
      </c>
      <c r="G10" s="702"/>
      <c r="H10" s="702"/>
      <c r="I10" s="702"/>
      <c r="J10" s="702"/>
    </row>
    <row r="11" spans="1:10" ht="19.5" customHeight="1" x14ac:dyDescent="0.25">
      <c r="A11" s="703">
        <v>1</v>
      </c>
      <c r="B11" s="704" t="str">
        <f>A7</f>
        <v>Porteiro</v>
      </c>
      <c r="C11" s="704"/>
      <c r="D11" s="28">
        <f>Dados!$D$10</f>
        <v>150</v>
      </c>
      <c r="E11" s="362">
        <f>Dados!$E$10</f>
        <v>1995.14</v>
      </c>
      <c r="F11" s="363">
        <f>ROUND(E11/220*D11,2)</f>
        <v>1360.32</v>
      </c>
      <c r="G11" s="363">
        <f>F11</f>
        <v>1360.32</v>
      </c>
      <c r="H11" s="363"/>
      <c r="I11" s="363"/>
      <c r="J11" s="364"/>
    </row>
    <row r="12" spans="1:10" ht="19.5" customHeight="1" x14ac:dyDescent="0.25">
      <c r="A12" s="703"/>
      <c r="B12" s="704" t="s">
        <v>521</v>
      </c>
      <c r="C12" s="704"/>
      <c r="D12" s="406">
        <f>Dados!G8</f>
        <v>0</v>
      </c>
      <c r="E12" s="362">
        <f>Dados!$G$28</f>
        <v>1412</v>
      </c>
      <c r="F12" s="363">
        <f>D12*E12</f>
        <v>0</v>
      </c>
      <c r="G12" s="363">
        <f>F12</f>
        <v>0</v>
      </c>
      <c r="H12" s="363"/>
      <c r="I12" s="363"/>
      <c r="J12" s="364">
        <f>F12</f>
        <v>0</v>
      </c>
    </row>
    <row r="13" spans="1:10" ht="30.75" customHeight="1" x14ac:dyDescent="0.25">
      <c r="A13" s="703"/>
      <c r="B13" s="366" t="s">
        <v>522</v>
      </c>
      <c r="C13" s="367">
        <f>Dados!$I$10</f>
        <v>0</v>
      </c>
      <c r="D13" s="367">
        <f>Dados!$J$10</f>
        <v>0</v>
      </c>
      <c r="E13" s="368">
        <f>Dados!$K$10</f>
        <v>0</v>
      </c>
      <c r="F13" s="369">
        <f>ROUND((E13*D13*C13),2)</f>
        <v>0</v>
      </c>
      <c r="G13" s="369">
        <f>F13</f>
        <v>0</v>
      </c>
      <c r="H13" s="369"/>
      <c r="I13" s="369"/>
      <c r="J13" s="370"/>
    </row>
    <row r="14" spans="1:10" ht="19.5" customHeight="1" x14ac:dyDescent="0.25">
      <c r="A14" s="703"/>
      <c r="B14" s="705" t="s">
        <v>523</v>
      </c>
      <c r="C14" s="705"/>
      <c r="D14" s="705"/>
      <c r="E14" s="705"/>
      <c r="F14" s="371">
        <f>SUM(F11:F13)</f>
        <v>1360.32</v>
      </c>
      <c r="G14" s="371">
        <f>SUM(G11:G13)</f>
        <v>1360.32</v>
      </c>
      <c r="H14" s="371">
        <f>SUM(H11:H13)</f>
        <v>0</v>
      </c>
      <c r="I14" s="371">
        <f>SUM(I11:I13)</f>
        <v>0</v>
      </c>
      <c r="J14" s="372">
        <f>SUM(J11:J13)</f>
        <v>0</v>
      </c>
    </row>
    <row r="15" spans="1:10" ht="19.5" customHeight="1" x14ac:dyDescent="0.25">
      <c r="A15" s="703"/>
      <c r="B15" s="706" t="s">
        <v>524</v>
      </c>
      <c r="C15" s="706"/>
      <c r="D15" s="706"/>
      <c r="E15" s="373">
        <f>Encargos!$C$57</f>
        <v>0.7330000000000001</v>
      </c>
      <c r="F15" s="363">
        <f>ROUND((E15*F14),2)</f>
        <v>997.11</v>
      </c>
      <c r="G15" s="363">
        <f>F15</f>
        <v>997.11</v>
      </c>
      <c r="H15" s="363"/>
      <c r="I15" s="363"/>
      <c r="J15" s="364">
        <f>ROUND((E15*J14),2)</f>
        <v>0</v>
      </c>
    </row>
    <row r="16" spans="1:10" ht="19.5" customHeight="1" x14ac:dyDescent="0.25">
      <c r="A16" s="697" t="s">
        <v>525</v>
      </c>
      <c r="B16" s="697"/>
      <c r="C16" s="697"/>
      <c r="D16" s="697"/>
      <c r="E16" s="697"/>
      <c r="F16" s="374">
        <f>SUM(F14:F15)</f>
        <v>2357.4299999999998</v>
      </c>
      <c r="G16" s="374">
        <f>SUM(G14:G15)</f>
        <v>2357.4299999999998</v>
      </c>
      <c r="H16" s="374">
        <f>SUM(H14:H15)</f>
        <v>0</v>
      </c>
      <c r="I16" s="374">
        <f>SUM(I14:I15)</f>
        <v>0</v>
      </c>
      <c r="J16" s="375">
        <f>SUM(J14:J15)</f>
        <v>0</v>
      </c>
    </row>
    <row r="17" spans="1:12" ht="19.5" customHeight="1" x14ac:dyDescent="0.25">
      <c r="A17" s="698" t="s">
        <v>526</v>
      </c>
      <c r="B17" s="698"/>
      <c r="C17" s="698"/>
      <c r="D17" s="698"/>
      <c r="E17" s="698"/>
      <c r="F17" s="698"/>
      <c r="G17" s="698"/>
      <c r="H17" s="698"/>
      <c r="I17" s="698"/>
      <c r="J17" s="698"/>
    </row>
    <row r="18" spans="1:12" ht="19.5" customHeight="1" x14ac:dyDescent="0.25">
      <c r="A18" s="692" t="s">
        <v>527</v>
      </c>
      <c r="B18" s="692"/>
      <c r="C18" s="39" t="s">
        <v>465</v>
      </c>
      <c r="D18" s="699" t="s">
        <v>547</v>
      </c>
      <c r="E18" s="699"/>
      <c r="F18" s="700" t="s">
        <v>466</v>
      </c>
      <c r="G18" s="700"/>
      <c r="H18" s="700"/>
      <c r="I18" s="700"/>
      <c r="J18" s="700"/>
    </row>
    <row r="19" spans="1:12" ht="19.5" customHeight="1" x14ac:dyDescent="0.25">
      <c r="A19" s="683" t="s">
        <v>529</v>
      </c>
      <c r="B19" s="683"/>
      <c r="C19" s="378"/>
      <c r="D19" s="378"/>
      <c r="E19" s="378"/>
      <c r="F19" s="363">
        <f>Dados!$N$10</f>
        <v>41.25</v>
      </c>
      <c r="G19" s="363">
        <f>F19</f>
        <v>41.25</v>
      </c>
      <c r="H19" s="363"/>
      <c r="I19" s="363"/>
      <c r="J19" s="364"/>
    </row>
    <row r="20" spans="1:12" ht="19.5" customHeight="1" x14ac:dyDescent="0.25">
      <c r="A20" s="683" t="s">
        <v>530</v>
      </c>
      <c r="B20" s="683"/>
      <c r="C20" s="378"/>
      <c r="D20" s="378"/>
      <c r="E20" s="378"/>
      <c r="F20" s="363">
        <f>Dados!$G$31</f>
        <v>3.09</v>
      </c>
      <c r="G20" s="363">
        <f>F20</f>
        <v>3.09</v>
      </c>
      <c r="H20" s="363"/>
      <c r="I20" s="363"/>
      <c r="J20" s="364"/>
    </row>
    <row r="21" spans="1:12" ht="23.25" customHeight="1" x14ac:dyDescent="0.25">
      <c r="A21" s="696" t="s">
        <v>226</v>
      </c>
      <c r="B21" s="696"/>
      <c r="C21" s="378"/>
      <c r="D21" s="378"/>
      <c r="E21" s="378"/>
      <c r="F21" s="363">
        <f>Dados!G32</f>
        <v>0</v>
      </c>
      <c r="G21" s="363">
        <f>F21</f>
        <v>0</v>
      </c>
      <c r="H21" s="363"/>
      <c r="I21" s="363"/>
      <c r="J21" s="364"/>
    </row>
    <row r="22" spans="1:12" ht="19.5" customHeight="1" x14ac:dyDescent="0.25">
      <c r="A22" s="683" t="s">
        <v>227</v>
      </c>
      <c r="B22" s="683"/>
      <c r="C22" s="379">
        <f>Dados!$G$35</f>
        <v>22</v>
      </c>
      <c r="D22" s="379">
        <f>Dados!$G$34</f>
        <v>2</v>
      </c>
      <c r="E22" s="378">
        <f>Dados!$G$33</f>
        <v>4.25</v>
      </c>
      <c r="F22" s="363">
        <f>IF(ROUND((E22*D22*C22)-(F11*Dados!$G$36),2)&lt;0,0,ROUND((E22*D22*C22)-(F11*Dados!$G$36),2))</f>
        <v>105.38</v>
      </c>
      <c r="G22" s="363">
        <f>F22</f>
        <v>105.38</v>
      </c>
      <c r="H22" s="363"/>
      <c r="I22" s="363">
        <f>F22</f>
        <v>105.38</v>
      </c>
      <c r="J22" s="364"/>
    </row>
    <row r="23" spans="1:12" ht="19.5" customHeight="1" x14ac:dyDescent="0.25">
      <c r="A23" s="683" t="s">
        <v>236</v>
      </c>
      <c r="B23" s="683"/>
      <c r="C23" s="379">
        <f>Dados!G38</f>
        <v>22</v>
      </c>
      <c r="D23" s="380">
        <f>Dados!G39</f>
        <v>0.2</v>
      </c>
      <c r="E23" s="378">
        <f>Dados!$G$37</f>
        <v>27.24</v>
      </c>
      <c r="F23" s="271">
        <f>ROUND((IF(D11&gt;150,((C23*E23)-(C23*(D23*E23))),0)),2)</f>
        <v>0</v>
      </c>
      <c r="G23" s="363">
        <f>F23</f>
        <v>0</v>
      </c>
      <c r="H23" s="363">
        <f>$F$23</f>
        <v>0</v>
      </c>
      <c r="I23" s="271"/>
      <c r="J23" s="364"/>
    </row>
    <row r="24" spans="1:12" ht="19.5" customHeight="1" x14ac:dyDescent="0.25">
      <c r="A24" s="683" t="s">
        <v>239</v>
      </c>
      <c r="B24" s="683"/>
      <c r="C24" s="379"/>
      <c r="D24" s="379"/>
      <c r="E24" s="378"/>
      <c r="F24" s="271">
        <f>Dados!$G$40</f>
        <v>0</v>
      </c>
      <c r="G24" s="363"/>
      <c r="H24" s="363"/>
      <c r="I24" s="271"/>
      <c r="J24" s="364"/>
    </row>
    <row r="25" spans="1:12" ht="19.5" customHeight="1" x14ac:dyDescent="0.25">
      <c r="A25" s="683" t="s">
        <v>239</v>
      </c>
      <c r="B25" s="683"/>
      <c r="C25" s="379"/>
      <c r="D25" s="379"/>
      <c r="E25" s="378"/>
      <c r="F25" s="271">
        <f>Dados!$G$41</f>
        <v>0</v>
      </c>
      <c r="G25" s="363"/>
      <c r="H25" s="363"/>
      <c r="I25" s="271"/>
      <c r="J25" s="364"/>
    </row>
    <row r="26" spans="1:12" ht="19.5" customHeight="1" x14ac:dyDescent="0.25">
      <c r="A26" s="683" t="s">
        <v>189</v>
      </c>
      <c r="B26" s="683"/>
      <c r="C26" s="379"/>
      <c r="D26" s="378"/>
      <c r="E26" s="378"/>
      <c r="F26" s="363">
        <f>Dados!Q10</f>
        <v>0</v>
      </c>
      <c r="G26" s="363">
        <f>F26</f>
        <v>0</v>
      </c>
      <c r="H26" s="363"/>
      <c r="I26" s="363"/>
      <c r="J26" s="364"/>
      <c r="L26" s="60"/>
    </row>
    <row r="27" spans="1:12" ht="19.5" customHeight="1" x14ac:dyDescent="0.25">
      <c r="A27" s="377" t="s">
        <v>532</v>
      </c>
      <c r="B27" s="381"/>
      <c r="C27" s="379"/>
      <c r="D27" s="378"/>
      <c r="E27" s="378"/>
      <c r="F27" s="363"/>
      <c r="G27" s="363"/>
      <c r="H27" s="363"/>
      <c r="I27" s="363"/>
      <c r="J27" s="364"/>
    </row>
    <row r="28" spans="1:12" ht="19.5" customHeight="1" x14ac:dyDescent="0.25">
      <c r="A28" s="695" t="s">
        <v>533</v>
      </c>
      <c r="B28" s="695"/>
      <c r="C28" s="382"/>
      <c r="D28" s="383"/>
      <c r="E28" s="383"/>
      <c r="F28" s="369">
        <f>Dados!R10</f>
        <v>0</v>
      </c>
      <c r="G28" s="369">
        <f>F28</f>
        <v>0</v>
      </c>
      <c r="H28" s="369"/>
      <c r="I28" s="369"/>
      <c r="J28" s="370"/>
    </row>
    <row r="29" spans="1:12" ht="19.5" customHeight="1" x14ac:dyDescent="0.25">
      <c r="A29" s="690" t="s">
        <v>534</v>
      </c>
      <c r="B29" s="690"/>
      <c r="C29" s="690"/>
      <c r="D29" s="690"/>
      <c r="E29" s="690"/>
      <c r="F29" s="374">
        <f>SUM(F19:F28)</f>
        <v>149.72</v>
      </c>
      <c r="G29" s="374">
        <f>SUM(G19:G28)</f>
        <v>149.72</v>
      </c>
      <c r="H29" s="374">
        <f>SUM(H19:H28)</f>
        <v>0</v>
      </c>
      <c r="I29" s="374">
        <f>SUM(I19:I28)</f>
        <v>105.38</v>
      </c>
      <c r="J29" s="375">
        <f>SUM(J19:J28)</f>
        <v>0</v>
      </c>
    </row>
    <row r="30" spans="1:12" ht="19.5" customHeight="1" x14ac:dyDescent="0.25">
      <c r="A30" s="690" t="s">
        <v>535</v>
      </c>
      <c r="B30" s="690"/>
      <c r="C30" s="690"/>
      <c r="D30" s="690"/>
      <c r="E30" s="690"/>
      <c r="F30" s="374">
        <f>F16+F29</f>
        <v>2507.1499999999996</v>
      </c>
      <c r="G30" s="374">
        <f>G16+G29</f>
        <v>2507.1499999999996</v>
      </c>
      <c r="H30" s="374">
        <f>H16+H29</f>
        <v>0</v>
      </c>
      <c r="I30" s="374">
        <f>I16+I29</f>
        <v>105.38</v>
      </c>
      <c r="J30" s="375">
        <f>J16+J29</f>
        <v>0</v>
      </c>
    </row>
    <row r="31" spans="1:12" ht="19.5" customHeight="1" x14ac:dyDescent="0.25">
      <c r="A31" s="691" t="s">
        <v>536</v>
      </c>
      <c r="B31" s="691"/>
      <c r="C31" s="691"/>
      <c r="D31" s="691"/>
      <c r="E31" s="691"/>
      <c r="F31" s="691"/>
      <c r="G31" s="691"/>
      <c r="H31" s="691"/>
      <c r="I31" s="691"/>
      <c r="J31" s="691"/>
    </row>
    <row r="32" spans="1:12" ht="19.5" customHeight="1" x14ac:dyDescent="0.25">
      <c r="A32" s="692" t="s">
        <v>537</v>
      </c>
      <c r="B32" s="692"/>
      <c r="C32" s="692"/>
      <c r="D32" s="83" t="s">
        <v>538</v>
      </c>
      <c r="E32" s="693" t="s">
        <v>466</v>
      </c>
      <c r="F32" s="693"/>
      <c r="G32" s="693"/>
      <c r="H32" s="693"/>
      <c r="I32" s="693"/>
      <c r="J32" s="693"/>
    </row>
    <row r="33" spans="1:12" ht="19.5" customHeight="1" x14ac:dyDescent="0.25">
      <c r="A33" s="384" t="s">
        <v>539</v>
      </c>
      <c r="B33" s="385"/>
      <c r="C33" s="385"/>
      <c r="D33" s="365">
        <f>Dados!$G$44</f>
        <v>0.03</v>
      </c>
      <c r="E33" s="386"/>
      <c r="F33" s="363">
        <f>ROUND((F30*$D$33),2)</f>
        <v>75.209999999999994</v>
      </c>
      <c r="G33" s="363">
        <f>ROUND((G30*$D$33),2)</f>
        <v>75.209999999999994</v>
      </c>
      <c r="H33" s="363">
        <f>ROUND((H30*$D$33),2)</f>
        <v>0</v>
      </c>
      <c r="I33" s="363">
        <f>ROUND((I30*$D$33),2)</f>
        <v>3.16</v>
      </c>
      <c r="J33" s="364">
        <f>ROUND((J30*$D$33),2)</f>
        <v>0</v>
      </c>
    </row>
    <row r="34" spans="1:12" ht="19.5" customHeight="1" x14ac:dyDescent="0.25">
      <c r="A34" s="694" t="s">
        <v>540</v>
      </c>
      <c r="B34" s="694"/>
      <c r="C34" s="694"/>
      <c r="D34" s="365"/>
      <c r="E34" s="386"/>
      <c r="F34" s="363">
        <f>F30+F33</f>
        <v>2582.3599999999997</v>
      </c>
      <c r="G34" s="363">
        <f>G30+G33</f>
        <v>2582.3599999999997</v>
      </c>
      <c r="H34" s="363">
        <f>H30+H33</f>
        <v>0</v>
      </c>
      <c r="I34" s="363">
        <f>I30+I33</f>
        <v>108.53999999999999</v>
      </c>
      <c r="J34" s="364">
        <f>J30+J33</f>
        <v>0</v>
      </c>
    </row>
    <row r="35" spans="1:12" ht="19.5" customHeight="1" x14ac:dyDescent="0.25">
      <c r="A35" s="387" t="s">
        <v>244</v>
      </c>
      <c r="B35" s="388"/>
      <c r="C35" s="388"/>
      <c r="D35" s="389">
        <f>Dados!$G$45</f>
        <v>6.7900000000000002E-2</v>
      </c>
      <c r="E35" s="390"/>
      <c r="F35" s="369">
        <f>ROUND((F34*$D$35),2)</f>
        <v>175.34</v>
      </c>
      <c r="G35" s="369">
        <f>ROUND((G34*$D$35),2)</f>
        <v>175.34</v>
      </c>
      <c r="H35" s="369">
        <f>ROUND((H34*$D$35),2)</f>
        <v>0</v>
      </c>
      <c r="I35" s="369">
        <f>ROUND((I34*$D$35),2)</f>
        <v>7.37</v>
      </c>
      <c r="J35" s="370">
        <f>ROUND((J34*$D$35),2)</f>
        <v>0</v>
      </c>
    </row>
    <row r="36" spans="1:12" ht="19.5" customHeight="1" x14ac:dyDescent="0.25">
      <c r="A36" s="391" t="s">
        <v>541</v>
      </c>
      <c r="B36" s="392"/>
      <c r="C36" s="392"/>
      <c r="D36" s="393">
        <f>SUM(D33:D35)</f>
        <v>9.7900000000000001E-2</v>
      </c>
      <c r="E36" s="394"/>
      <c r="F36" s="374">
        <f>F33+F35</f>
        <v>250.55</v>
      </c>
      <c r="G36" s="374">
        <f>G33+G35</f>
        <v>250.55</v>
      </c>
      <c r="H36" s="374">
        <f>H33+H35</f>
        <v>0</v>
      </c>
      <c r="I36" s="374">
        <f>I33+I35</f>
        <v>10.530000000000001</v>
      </c>
      <c r="J36" s="375">
        <f>J33+J35</f>
        <v>0</v>
      </c>
    </row>
    <row r="37" spans="1:12" ht="19.5" customHeight="1" x14ac:dyDescent="0.25">
      <c r="A37" s="688" t="s">
        <v>542</v>
      </c>
      <c r="B37" s="688"/>
      <c r="C37" s="688"/>
      <c r="D37" s="688"/>
      <c r="E37" s="688"/>
      <c r="F37" s="395">
        <f>F30+F36</f>
        <v>2757.7</v>
      </c>
      <c r="G37" s="395">
        <f>G30+G36</f>
        <v>2757.7</v>
      </c>
      <c r="H37" s="395">
        <f>H30+H36</f>
        <v>0</v>
      </c>
      <c r="I37" s="395">
        <f>I30+I36</f>
        <v>115.91</v>
      </c>
      <c r="J37" s="396">
        <f>J30+J36</f>
        <v>0</v>
      </c>
    </row>
    <row r="38" spans="1:12" ht="19.5" customHeight="1" x14ac:dyDescent="0.25">
      <c r="A38" s="689" t="s">
        <v>543</v>
      </c>
      <c r="B38" s="689"/>
      <c r="C38" s="689"/>
      <c r="D38" s="689"/>
      <c r="E38" s="689"/>
      <c r="F38" s="689"/>
      <c r="G38" s="689"/>
      <c r="H38" s="689"/>
      <c r="I38" s="689"/>
      <c r="J38" s="689"/>
    </row>
    <row r="39" spans="1:12" ht="19.5" customHeight="1" x14ac:dyDescent="0.25">
      <c r="A39" s="683" t="s">
        <v>250</v>
      </c>
      <c r="B39" s="683"/>
      <c r="C39" s="683"/>
      <c r="D39" s="365">
        <f>Dados!G52</f>
        <v>3.065E-2</v>
      </c>
      <c r="E39" s="363"/>
      <c r="F39" s="363">
        <f>ROUND(($F$45*D39),2)</f>
        <v>90.62</v>
      </c>
      <c r="G39" s="363">
        <f>ROUND((G45*$D$39),2)</f>
        <v>90.62</v>
      </c>
      <c r="H39" s="363">
        <f>ROUND((H45*$D$39),2)</f>
        <v>0</v>
      </c>
      <c r="I39" s="363">
        <f>ROUND((I45*$D$39),2)</f>
        <v>3.81</v>
      </c>
      <c r="J39" s="364">
        <f>ROUND((J45*$D$39),2)</f>
        <v>0</v>
      </c>
    </row>
    <row r="40" spans="1:12" ht="19.5" customHeight="1" x14ac:dyDescent="0.25">
      <c r="A40" s="683" t="s">
        <v>252</v>
      </c>
      <c r="B40" s="683"/>
      <c r="C40" s="683"/>
      <c r="D40" s="365">
        <f>Dados!G53</f>
        <v>6.6400000000000001E-3</v>
      </c>
      <c r="E40" s="363"/>
      <c r="F40" s="363">
        <f>ROUND((F45*$D$40),2)</f>
        <v>19.63</v>
      </c>
      <c r="G40" s="363">
        <f>ROUND((G45*$D$40),2)</f>
        <v>19.63</v>
      </c>
      <c r="H40" s="363">
        <f>ROUND((H45*$D$40),2)</f>
        <v>0</v>
      </c>
      <c r="I40" s="363">
        <f>ROUND((I45*$D$40),2)</f>
        <v>0.83</v>
      </c>
      <c r="J40" s="364">
        <f>ROUND((J45*$D$40),2)</f>
        <v>0</v>
      </c>
    </row>
    <row r="41" spans="1:12" ht="19.5" customHeight="1" x14ac:dyDescent="0.25">
      <c r="A41" s="683" t="s">
        <v>253</v>
      </c>
      <c r="B41" s="683"/>
      <c r="C41" s="683"/>
      <c r="D41" s="365">
        <f>Dados!G54</f>
        <v>0.03</v>
      </c>
      <c r="E41" s="363"/>
      <c r="F41" s="363">
        <f>ROUND((F45*$D$41),2)</f>
        <v>88.7</v>
      </c>
      <c r="G41" s="363">
        <f>ROUND((G45*$D$41),2)</f>
        <v>88.7</v>
      </c>
      <c r="H41" s="363">
        <f>ROUND((H45*$D$41),2)</f>
        <v>0</v>
      </c>
      <c r="I41" s="363">
        <f>ROUND((I45*$D$41),2)</f>
        <v>3.73</v>
      </c>
      <c r="J41" s="364">
        <f>ROUND((J45*$D$41),2)</f>
        <v>0</v>
      </c>
    </row>
    <row r="42" spans="1:12" ht="19.5" customHeight="1" x14ac:dyDescent="0.25">
      <c r="A42" s="683" t="s">
        <v>239</v>
      </c>
      <c r="B42" s="683"/>
      <c r="C42" s="683"/>
      <c r="D42" s="365">
        <f>Dados!G55</f>
        <v>0</v>
      </c>
      <c r="E42" s="363"/>
      <c r="F42" s="363">
        <f>ROUND((F45*$D$42),2)</f>
        <v>0</v>
      </c>
      <c r="G42" s="363">
        <f>ROUND((G45*$D$42),2)</f>
        <v>0</v>
      </c>
      <c r="H42" s="363">
        <f>ROUND((H45*$D$42),2)</f>
        <v>0</v>
      </c>
      <c r="I42" s="363">
        <f>ROUND((I45*$D$42),2)</f>
        <v>0</v>
      </c>
      <c r="J42" s="364">
        <f>ROUND((J45*$D$42),2)</f>
        <v>0</v>
      </c>
    </row>
    <row r="43" spans="1:12" ht="19.5" customHeight="1" x14ac:dyDescent="0.25">
      <c r="A43" s="684" t="s">
        <v>544</v>
      </c>
      <c r="B43" s="684"/>
      <c r="C43" s="684"/>
      <c r="D43" s="397">
        <f>SUM(D39:D42)</f>
        <v>6.7290000000000003E-2</v>
      </c>
      <c r="E43" s="398"/>
      <c r="F43" s="399">
        <f>SUM(F39:F42)</f>
        <v>198.95</v>
      </c>
      <c r="G43" s="399">
        <f>SUM(G39:G42)</f>
        <v>198.95</v>
      </c>
      <c r="H43" s="399">
        <f>SUM(H39:H42)</f>
        <v>0</v>
      </c>
      <c r="I43" s="399">
        <f>SUM(I39:I42)</f>
        <v>8.3699999999999992</v>
      </c>
      <c r="J43" s="400">
        <f>SUM(J39:J41)</f>
        <v>0</v>
      </c>
    </row>
    <row r="44" spans="1:12" ht="19.5" customHeight="1" x14ac:dyDescent="0.25">
      <c r="A44" s="685" t="str">
        <f>CONCATENATE("Custo Mensal - ",A7)</f>
        <v>Custo Mensal - Porteiro</v>
      </c>
      <c r="B44" s="685"/>
      <c r="C44" s="685"/>
      <c r="D44" s="685"/>
      <c r="E44" s="685"/>
      <c r="F44" s="401">
        <f>ROUND(F37/(1-D43),2)</f>
        <v>2956.65</v>
      </c>
      <c r="G44" s="401">
        <f>ROUND(G37/(1-D43),2)</f>
        <v>2956.65</v>
      </c>
      <c r="H44" s="401">
        <f>ROUND(H37/(1-D43),2)</f>
        <v>0</v>
      </c>
      <c r="I44" s="401">
        <f>ROUND(I37/(1-D43),2)</f>
        <v>124.27</v>
      </c>
      <c r="J44" s="402">
        <f>ROUND(J37/(1-D43),2)</f>
        <v>0</v>
      </c>
    </row>
    <row r="45" spans="1:12" ht="19.5" customHeight="1" x14ac:dyDescent="0.25">
      <c r="A45" s="686" t="str">
        <f>CONCATENATE("Valor do Custo Mensal - ",A7)</f>
        <v>Valor do Custo Mensal - Porteiro</v>
      </c>
      <c r="B45" s="686"/>
      <c r="C45" s="686"/>
      <c r="D45" s="686"/>
      <c r="E45" s="686"/>
      <c r="F45" s="401">
        <f>F44</f>
        <v>2956.65</v>
      </c>
      <c r="G45" s="401">
        <f>G44</f>
        <v>2956.65</v>
      </c>
      <c r="H45" s="401">
        <f>H44</f>
        <v>0</v>
      </c>
      <c r="I45" s="401">
        <f>I44</f>
        <v>124.27</v>
      </c>
      <c r="J45" s="402">
        <f>J44</f>
        <v>0</v>
      </c>
      <c r="K45" s="403"/>
      <c r="L45" s="403"/>
    </row>
    <row r="46" spans="1:12" ht="27.75" customHeight="1" x14ac:dyDescent="0.25">
      <c r="A46" s="687" t="s">
        <v>545</v>
      </c>
      <c r="B46" s="687"/>
      <c r="C46" s="687"/>
      <c r="D46" s="687"/>
      <c r="E46" s="687"/>
      <c r="F46" s="404">
        <f>(F45/F14)</f>
        <v>2.1734959421312632</v>
      </c>
      <c r="G46" s="404">
        <f>(G45/G14)</f>
        <v>2.1734959421312632</v>
      </c>
      <c r="H46" s="682" t="s">
        <v>546</v>
      </c>
      <c r="I46" s="682"/>
      <c r="J46" s="405">
        <v>0</v>
      </c>
    </row>
    <row r="47" spans="1:12" ht="19.5" customHeight="1" x14ac:dyDescent="0.25"/>
  </sheetData>
  <sheetProtection sheet="1" objects="1" scenarios="1"/>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H46:I46"/>
    <mergeCell ref="A42:C42"/>
    <mergeCell ref="A43:C43"/>
    <mergeCell ref="A44:E44"/>
    <mergeCell ref="A45:E45"/>
    <mergeCell ref="A46:E46"/>
  </mergeCells>
  <printOptions horizontalCentered="1" verticalCentered="1"/>
  <pageMargins left="0.51180555555555496" right="0.51180555555555496" top="0.78749999999999998" bottom="0.78749999999999998" header="0.51180555555555496" footer="0.51180555555555496"/>
  <pageSetup paperSize="9" scale="61" firstPageNumber="0" fitToHeight="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K47"/>
  <sheetViews>
    <sheetView showGridLines="0" topLeftCell="A37" zoomScaleNormal="100" workbookViewId="0">
      <selection activeCell="O9" sqref="O9"/>
    </sheetView>
  </sheetViews>
  <sheetFormatPr defaultRowHeight="15" x14ac:dyDescent="0.25"/>
  <cols>
    <col min="1" max="1" width="10.5703125" style="71" customWidth="1"/>
    <col min="2" max="2" width="27.7109375" style="71" customWidth="1"/>
    <col min="3" max="3" width="14.42578125" style="71" customWidth="1"/>
    <col min="4" max="5" width="15" style="71" customWidth="1"/>
    <col min="6" max="6" width="16.7109375" style="349" customWidth="1"/>
    <col min="7" max="8" width="13.140625" style="349" customWidth="1"/>
    <col min="9" max="9" width="12.5703125" style="349" customWidth="1"/>
    <col min="10" max="10" width="13.85546875" style="349" customWidth="1"/>
    <col min="11" max="257" width="9.140625" style="71" customWidth="1"/>
    <col min="258" max="258" width="10.5703125" style="71" customWidth="1"/>
    <col min="259" max="259" width="27.7109375" style="71" customWidth="1"/>
    <col min="260" max="260" width="14.42578125" style="71" customWidth="1"/>
    <col min="261" max="262" width="15" style="71" customWidth="1"/>
    <col min="263" max="263" width="16.7109375" style="71" customWidth="1"/>
    <col min="264" max="264" width="13.140625" style="71" customWidth="1"/>
    <col min="265" max="266" width="12.5703125" style="71" customWidth="1"/>
    <col min="267" max="513" width="9.140625" style="71" customWidth="1"/>
    <col min="514" max="514" width="10.5703125" style="71" customWidth="1"/>
    <col min="515" max="515" width="27.7109375" style="71" customWidth="1"/>
    <col min="516" max="516" width="14.42578125" style="71" customWidth="1"/>
    <col min="517" max="518" width="15" style="71" customWidth="1"/>
    <col min="519" max="519" width="16.7109375" style="71" customWidth="1"/>
    <col min="520" max="520" width="13.140625" style="71" customWidth="1"/>
    <col min="521" max="522" width="12.5703125" style="71" customWidth="1"/>
    <col min="523" max="769" width="9.140625" style="71" customWidth="1"/>
    <col min="770" max="770" width="10.5703125" style="71" customWidth="1"/>
    <col min="771" max="771" width="27.7109375" style="71" customWidth="1"/>
    <col min="772" max="772" width="14.42578125" style="71" customWidth="1"/>
    <col min="773" max="774" width="15" style="71" customWidth="1"/>
    <col min="775" max="775" width="16.7109375" style="71" customWidth="1"/>
    <col min="776" max="776" width="13.140625" style="71" customWidth="1"/>
    <col min="777" max="778" width="12.5703125" style="71" customWidth="1"/>
    <col min="779" max="1025" width="9.140625" style="71" customWidth="1"/>
  </cols>
  <sheetData>
    <row r="1" spans="1:10" x14ac:dyDescent="0.25">
      <c r="A1" s="350"/>
      <c r="B1" s="100" t="str">
        <f>INSTRUÇÕES!B1</f>
        <v>Tribunal Regional Federal da 6ª Região</v>
      </c>
      <c r="C1" s="351"/>
      <c r="D1" s="351"/>
      <c r="E1" s="351"/>
      <c r="F1" s="352"/>
      <c r="G1" s="353"/>
      <c r="H1" s="353"/>
      <c r="I1" s="352"/>
      <c r="J1" s="354"/>
    </row>
    <row r="2" spans="1:10" x14ac:dyDescent="0.25">
      <c r="A2" s="355"/>
      <c r="B2" s="102" t="str">
        <f>INSTRUÇÕES!B2</f>
        <v>Seção Judiciária de Minas Gerais</v>
      </c>
      <c r="C2" s="60"/>
      <c r="D2" s="60"/>
      <c r="E2" s="60"/>
      <c r="F2" s="356"/>
      <c r="I2" s="356"/>
      <c r="J2" s="357"/>
    </row>
    <row r="3" spans="1:10" x14ac:dyDescent="0.25">
      <c r="A3" s="173"/>
      <c r="B3" s="358" t="str">
        <f>INSTRUÇÕES!B3</f>
        <v>Subseção Judiciária de Montes Claros</v>
      </c>
      <c r="C3" s="60"/>
      <c r="D3" s="60"/>
      <c r="E3" s="60"/>
      <c r="F3" s="356"/>
      <c r="I3" s="356"/>
      <c r="J3" s="357"/>
    </row>
    <row r="4" spans="1:10" ht="19.5" customHeight="1" x14ac:dyDescent="0.25">
      <c r="A4" s="707" t="s">
        <v>510</v>
      </c>
      <c r="B4" s="707"/>
      <c r="C4" s="707"/>
      <c r="D4" s="707"/>
      <c r="E4" s="707"/>
      <c r="F4" s="707"/>
      <c r="G4" s="707"/>
      <c r="H4" s="707"/>
      <c r="I4" s="707"/>
      <c r="J4" s="707"/>
    </row>
    <row r="5" spans="1:10" ht="19.5" customHeight="1" x14ac:dyDescent="0.25">
      <c r="A5" s="708" t="s">
        <v>296</v>
      </c>
      <c r="B5" s="708"/>
      <c r="C5" s="708"/>
      <c r="D5" s="708"/>
      <c r="E5" s="708"/>
      <c r="F5" s="708"/>
      <c r="G5" s="708"/>
      <c r="H5" s="708"/>
      <c r="I5" s="708"/>
      <c r="J5" s="708"/>
    </row>
    <row r="6" spans="1:10" s="2" customFormat="1" ht="36" customHeight="1" x14ac:dyDescent="0.25">
      <c r="A6" s="709" t="str">
        <f>Dados!A4</f>
        <v>Sindicato utilizado - SINSERTH X SINTAPPI. Vigência: 2024. Sendo a data base da categoria 01° DE ABRIL. Com número de registro no MTE MG002103/2024.</v>
      </c>
      <c r="B6" s="709"/>
      <c r="C6" s="709"/>
      <c r="D6" s="709"/>
      <c r="E6" s="709"/>
      <c r="F6" s="709"/>
      <c r="G6" s="709"/>
      <c r="H6" s="709"/>
      <c r="I6" s="709"/>
      <c r="J6" s="709"/>
    </row>
    <row r="7" spans="1:10" ht="19.5" customHeight="1" x14ac:dyDescent="0.25">
      <c r="A7" s="710" t="str">
        <f>Dados!C11</f>
        <v>Auxiliar Administrativo</v>
      </c>
      <c r="B7" s="710"/>
      <c r="C7" s="710"/>
      <c r="D7" s="710"/>
      <c r="E7" s="710"/>
      <c r="F7" s="711" t="s">
        <v>511</v>
      </c>
      <c r="G7" s="711" t="s">
        <v>512</v>
      </c>
      <c r="H7" s="711" t="s">
        <v>513</v>
      </c>
      <c r="I7" s="711" t="s">
        <v>514</v>
      </c>
      <c r="J7" s="711" t="s">
        <v>515</v>
      </c>
    </row>
    <row r="8" spans="1:10" ht="19.5" customHeight="1" x14ac:dyDescent="0.25">
      <c r="A8" s="712" t="s">
        <v>548</v>
      </c>
      <c r="B8" s="712"/>
      <c r="C8" s="712"/>
      <c r="D8" s="712"/>
      <c r="E8" s="359" t="s">
        <v>462</v>
      </c>
      <c r="F8" s="711"/>
      <c r="G8" s="711"/>
      <c r="H8" s="711"/>
      <c r="I8" s="711"/>
      <c r="J8" s="711"/>
    </row>
    <row r="9" spans="1:10" ht="19.5" customHeight="1" x14ac:dyDescent="0.25">
      <c r="A9" s="691" t="s">
        <v>517</v>
      </c>
      <c r="B9" s="691"/>
      <c r="C9" s="691"/>
      <c r="D9" s="691"/>
      <c r="E9" s="691"/>
      <c r="F9" s="691"/>
      <c r="G9" s="691"/>
      <c r="H9" s="691"/>
      <c r="I9" s="691"/>
      <c r="J9" s="691"/>
    </row>
    <row r="10" spans="1:10" ht="24" customHeight="1" x14ac:dyDescent="0.25">
      <c r="A10" s="178" t="s">
        <v>463</v>
      </c>
      <c r="B10" s="701" t="s">
        <v>518</v>
      </c>
      <c r="C10" s="701"/>
      <c r="D10" s="227" t="s">
        <v>519</v>
      </c>
      <c r="E10" s="360" t="s">
        <v>520</v>
      </c>
      <c r="F10" s="702" t="s">
        <v>466</v>
      </c>
      <c r="G10" s="702"/>
      <c r="H10" s="702"/>
      <c r="I10" s="702"/>
      <c r="J10" s="702"/>
    </row>
    <row r="11" spans="1:10" ht="19.5" customHeight="1" x14ac:dyDescent="0.25">
      <c r="A11" s="703">
        <v>1</v>
      </c>
      <c r="B11" s="704" t="str">
        <f>A7</f>
        <v>Auxiliar Administrativo</v>
      </c>
      <c r="C11" s="704"/>
      <c r="D11" s="28">
        <f>Dados!$D$11</f>
        <v>150</v>
      </c>
      <c r="E11" s="362">
        <f>Dados!$E$11</f>
        <v>1914</v>
      </c>
      <c r="F11" s="363">
        <f>ROUND(E11/220*D11,2)</f>
        <v>1305</v>
      </c>
      <c r="G11" s="363">
        <f>F11</f>
        <v>1305</v>
      </c>
      <c r="H11" s="363"/>
      <c r="I11" s="363"/>
      <c r="J11" s="364"/>
    </row>
    <row r="12" spans="1:10" ht="19.5" customHeight="1" x14ac:dyDescent="0.25">
      <c r="A12" s="703"/>
      <c r="B12" s="704" t="s">
        <v>521</v>
      </c>
      <c r="C12" s="704"/>
      <c r="D12" s="406">
        <f>Dados!G8</f>
        <v>0</v>
      </c>
      <c r="E12" s="362">
        <f>Dados!$G$28</f>
        <v>1412</v>
      </c>
      <c r="F12" s="363">
        <f>D12*E12</f>
        <v>0</v>
      </c>
      <c r="G12" s="363">
        <f>F12</f>
        <v>0</v>
      </c>
      <c r="H12" s="363"/>
      <c r="I12" s="363"/>
      <c r="J12" s="364">
        <f>F12</f>
        <v>0</v>
      </c>
    </row>
    <row r="13" spans="1:10" ht="21.75" customHeight="1" x14ac:dyDescent="0.25">
      <c r="A13" s="703"/>
      <c r="B13" s="366" t="s">
        <v>522</v>
      </c>
      <c r="C13" s="367">
        <f>Dados!$I$11</f>
        <v>0</v>
      </c>
      <c r="D13" s="367">
        <f>Dados!$J$11</f>
        <v>0</v>
      </c>
      <c r="E13" s="368">
        <f>Dados!$K$11</f>
        <v>0</v>
      </c>
      <c r="F13" s="369">
        <f>ROUND((E13*D13*C13),2)</f>
        <v>0</v>
      </c>
      <c r="G13" s="369">
        <f>F13</f>
        <v>0</v>
      </c>
      <c r="H13" s="369"/>
      <c r="I13" s="369"/>
      <c r="J13" s="370"/>
    </row>
    <row r="14" spans="1:10" ht="19.5" customHeight="1" x14ac:dyDescent="0.25">
      <c r="A14" s="703"/>
      <c r="B14" s="705" t="s">
        <v>523</v>
      </c>
      <c r="C14" s="705"/>
      <c r="D14" s="705"/>
      <c r="E14" s="705"/>
      <c r="F14" s="371">
        <f>SUM(F11:F13)</f>
        <v>1305</v>
      </c>
      <c r="G14" s="371">
        <f>SUM(G11:G13)</f>
        <v>1305</v>
      </c>
      <c r="H14" s="371">
        <f>SUM(H11:H13)</f>
        <v>0</v>
      </c>
      <c r="I14" s="371">
        <f>SUM(I11:I13)</f>
        <v>0</v>
      </c>
      <c r="J14" s="372">
        <f>SUM(J11:J13)</f>
        <v>0</v>
      </c>
    </row>
    <row r="15" spans="1:10" ht="19.5" customHeight="1" x14ac:dyDescent="0.25">
      <c r="A15" s="703"/>
      <c r="B15" s="706" t="s">
        <v>524</v>
      </c>
      <c r="C15" s="706"/>
      <c r="D15" s="706"/>
      <c r="E15" s="373">
        <f>Encargos!$C$57</f>
        <v>0.7330000000000001</v>
      </c>
      <c r="F15" s="363">
        <f>ROUND((E15*F14),2)</f>
        <v>956.57</v>
      </c>
      <c r="G15" s="363">
        <f>F15</f>
        <v>956.57</v>
      </c>
      <c r="H15" s="363"/>
      <c r="I15" s="363"/>
      <c r="J15" s="364">
        <f>ROUND((E15*J14),2)</f>
        <v>0</v>
      </c>
    </row>
    <row r="16" spans="1:10" ht="19.5" customHeight="1" x14ac:dyDescent="0.25">
      <c r="A16" s="697" t="s">
        <v>525</v>
      </c>
      <c r="B16" s="697"/>
      <c r="C16" s="697"/>
      <c r="D16" s="697"/>
      <c r="E16" s="697"/>
      <c r="F16" s="374">
        <f>SUM(F14:F15)</f>
        <v>2261.5700000000002</v>
      </c>
      <c r="G16" s="374">
        <f>SUM(G14:G15)</f>
        <v>2261.5700000000002</v>
      </c>
      <c r="H16" s="374">
        <f>SUM(H14:H15)</f>
        <v>0</v>
      </c>
      <c r="I16" s="374">
        <f>SUM(I14:I15)</f>
        <v>0</v>
      </c>
      <c r="J16" s="375">
        <f>SUM(J14:J15)</f>
        <v>0</v>
      </c>
    </row>
    <row r="17" spans="1:12" ht="19.5" customHeight="1" x14ac:dyDescent="0.25">
      <c r="A17" s="698" t="s">
        <v>526</v>
      </c>
      <c r="B17" s="698"/>
      <c r="C17" s="698"/>
      <c r="D17" s="698"/>
      <c r="E17" s="698"/>
      <c r="F17" s="698"/>
      <c r="G17" s="698"/>
      <c r="H17" s="698"/>
      <c r="I17" s="698"/>
      <c r="J17" s="698"/>
    </row>
    <row r="18" spans="1:12" ht="19.5" customHeight="1" x14ac:dyDescent="0.25">
      <c r="A18" s="692" t="s">
        <v>527</v>
      </c>
      <c r="B18" s="692"/>
      <c r="C18" s="39" t="s">
        <v>465</v>
      </c>
      <c r="D18" s="699" t="s">
        <v>547</v>
      </c>
      <c r="E18" s="699"/>
      <c r="F18" s="700" t="s">
        <v>466</v>
      </c>
      <c r="G18" s="700"/>
      <c r="H18" s="700"/>
      <c r="I18" s="700"/>
      <c r="J18" s="700"/>
    </row>
    <row r="19" spans="1:12" ht="19.5" customHeight="1" x14ac:dyDescent="0.25">
      <c r="A19" s="683" t="s">
        <v>529</v>
      </c>
      <c r="B19" s="683"/>
      <c r="C19" s="378"/>
      <c r="D19" s="378"/>
      <c r="E19" s="378"/>
      <c r="F19" s="363">
        <f>Dados!$N$11</f>
        <v>41.25</v>
      </c>
      <c r="G19" s="363">
        <f>F19</f>
        <v>41.25</v>
      </c>
      <c r="H19" s="363"/>
      <c r="I19" s="363"/>
      <c r="J19" s="364"/>
    </row>
    <row r="20" spans="1:12" ht="19.5" customHeight="1" x14ac:dyDescent="0.25">
      <c r="A20" s="683" t="s">
        <v>530</v>
      </c>
      <c r="B20" s="683"/>
      <c r="C20" s="378"/>
      <c r="D20" s="378"/>
      <c r="E20" s="378"/>
      <c r="F20" s="363">
        <f>Dados!$G$31</f>
        <v>3.09</v>
      </c>
      <c r="G20" s="363">
        <f>F20</f>
        <v>3.09</v>
      </c>
      <c r="H20" s="363"/>
      <c r="I20" s="363"/>
      <c r="J20" s="364"/>
    </row>
    <row r="21" spans="1:12" ht="23.25" customHeight="1" x14ac:dyDescent="0.25">
      <c r="A21" s="696" t="s">
        <v>226</v>
      </c>
      <c r="B21" s="696"/>
      <c r="C21" s="378"/>
      <c r="D21" s="378"/>
      <c r="E21" s="378"/>
      <c r="F21" s="363">
        <f>Dados!G32</f>
        <v>0</v>
      </c>
      <c r="G21" s="363">
        <f>F21</f>
        <v>0</v>
      </c>
      <c r="H21" s="363"/>
      <c r="I21" s="363"/>
      <c r="J21" s="364"/>
    </row>
    <row r="22" spans="1:12" ht="19.5" customHeight="1" x14ac:dyDescent="0.25">
      <c r="A22" s="683" t="s">
        <v>227</v>
      </c>
      <c r="B22" s="683"/>
      <c r="C22" s="379">
        <f>Dados!$G$35</f>
        <v>22</v>
      </c>
      <c r="D22" s="379">
        <f>Dados!$G$34</f>
        <v>2</v>
      </c>
      <c r="E22" s="378">
        <f>Dados!$G$33</f>
        <v>4.25</v>
      </c>
      <c r="F22" s="363">
        <f>IF(ROUND((E22*D22*C22)-(F11*Dados!$G$36),2)&lt;0,0,ROUND((E22*D22*C22)-(F11*Dados!$G$36),2))</f>
        <v>108.7</v>
      </c>
      <c r="G22" s="363">
        <f>F22</f>
        <v>108.7</v>
      </c>
      <c r="H22" s="363"/>
      <c r="I22" s="363">
        <f>F22</f>
        <v>108.7</v>
      </c>
      <c r="J22" s="364"/>
    </row>
    <row r="23" spans="1:12" ht="19.5" customHeight="1" x14ac:dyDescent="0.25">
      <c r="A23" s="683" t="s">
        <v>236</v>
      </c>
      <c r="B23" s="683"/>
      <c r="C23" s="379">
        <f>Dados!G38</f>
        <v>22</v>
      </c>
      <c r="D23" s="380">
        <f>Dados!G39</f>
        <v>0.2</v>
      </c>
      <c r="E23" s="378">
        <f>Dados!$G$37</f>
        <v>27.24</v>
      </c>
      <c r="F23" s="271">
        <f>ROUND((IF(D11&gt;150,((C23*E23)-(C23*(D23*E23))),0)),2)</f>
        <v>0</v>
      </c>
      <c r="G23" s="363">
        <f>F23</f>
        <v>0</v>
      </c>
      <c r="H23" s="363">
        <f>$F$23</f>
        <v>0</v>
      </c>
      <c r="I23" s="271"/>
      <c r="J23" s="364"/>
    </row>
    <row r="24" spans="1:12" ht="19.5" customHeight="1" x14ac:dyDescent="0.25">
      <c r="A24" s="683" t="s">
        <v>239</v>
      </c>
      <c r="B24" s="683"/>
      <c r="C24" s="379"/>
      <c r="D24" s="379"/>
      <c r="E24" s="378"/>
      <c r="F24" s="271">
        <f>Dados!$G$40</f>
        <v>0</v>
      </c>
      <c r="G24" s="363"/>
      <c r="H24" s="363"/>
      <c r="I24" s="271"/>
      <c r="J24" s="364"/>
    </row>
    <row r="25" spans="1:12" ht="19.5" customHeight="1" x14ac:dyDescent="0.25">
      <c r="A25" s="683" t="s">
        <v>239</v>
      </c>
      <c r="B25" s="683"/>
      <c r="C25" s="379"/>
      <c r="D25" s="379"/>
      <c r="E25" s="378"/>
      <c r="F25" s="271">
        <f>Dados!$G$41</f>
        <v>0</v>
      </c>
      <c r="G25" s="363"/>
      <c r="H25" s="363"/>
      <c r="I25" s="271"/>
      <c r="J25" s="364"/>
    </row>
    <row r="26" spans="1:12" ht="19.5" customHeight="1" x14ac:dyDescent="0.25">
      <c r="A26" s="683" t="s">
        <v>531</v>
      </c>
      <c r="B26" s="683"/>
      <c r="C26" s="379"/>
      <c r="D26" s="378"/>
      <c r="E26" s="378"/>
      <c r="F26" s="363"/>
      <c r="G26" s="363"/>
      <c r="H26" s="363"/>
      <c r="I26" s="363"/>
      <c r="J26" s="364"/>
      <c r="L26" s="60"/>
    </row>
    <row r="27" spans="1:12" ht="19.5" customHeight="1" x14ac:dyDescent="0.25">
      <c r="A27" s="377" t="s">
        <v>532</v>
      </c>
      <c r="B27" s="381"/>
      <c r="C27" s="379"/>
      <c r="D27" s="378"/>
      <c r="E27" s="378"/>
      <c r="F27" s="363"/>
      <c r="G27" s="363"/>
      <c r="H27" s="363"/>
      <c r="I27" s="363"/>
      <c r="J27" s="364"/>
    </row>
    <row r="28" spans="1:12" ht="19.5" customHeight="1" x14ac:dyDescent="0.25">
      <c r="A28" s="695" t="s">
        <v>533</v>
      </c>
      <c r="B28" s="695"/>
      <c r="C28" s="382"/>
      <c r="D28" s="383"/>
      <c r="E28" s="383"/>
      <c r="F28" s="369"/>
      <c r="G28" s="369"/>
      <c r="H28" s="369"/>
      <c r="I28" s="369"/>
      <c r="J28" s="370"/>
    </row>
    <row r="29" spans="1:12" ht="19.5" customHeight="1" x14ac:dyDescent="0.25">
      <c r="A29" s="690" t="s">
        <v>534</v>
      </c>
      <c r="B29" s="690"/>
      <c r="C29" s="690"/>
      <c r="D29" s="690"/>
      <c r="E29" s="690"/>
      <c r="F29" s="374">
        <f>SUM(F19:F28)</f>
        <v>153.04000000000002</v>
      </c>
      <c r="G29" s="374">
        <f>SUM(G19:G28)</f>
        <v>153.04000000000002</v>
      </c>
      <c r="H29" s="374">
        <f>SUM(H19:H28)</f>
        <v>0</v>
      </c>
      <c r="I29" s="374">
        <f>SUM(I19:I28)</f>
        <v>108.7</v>
      </c>
      <c r="J29" s="375">
        <f>SUM(J19:J28)</f>
        <v>0</v>
      </c>
    </row>
    <row r="30" spans="1:12" ht="19.5" customHeight="1" x14ac:dyDescent="0.25">
      <c r="A30" s="690" t="s">
        <v>535</v>
      </c>
      <c r="B30" s="690"/>
      <c r="C30" s="690"/>
      <c r="D30" s="690"/>
      <c r="E30" s="690"/>
      <c r="F30" s="374">
        <f>F16+F29</f>
        <v>2414.61</v>
      </c>
      <c r="G30" s="374">
        <f>G16+G29</f>
        <v>2414.61</v>
      </c>
      <c r="H30" s="374">
        <f>H16+H29</f>
        <v>0</v>
      </c>
      <c r="I30" s="374">
        <f>I16+I29</f>
        <v>108.7</v>
      </c>
      <c r="J30" s="375">
        <f>J16+J29</f>
        <v>0</v>
      </c>
    </row>
    <row r="31" spans="1:12" ht="19.5" customHeight="1" x14ac:dyDescent="0.25">
      <c r="A31" s="691" t="s">
        <v>536</v>
      </c>
      <c r="B31" s="691"/>
      <c r="C31" s="691"/>
      <c r="D31" s="691"/>
      <c r="E31" s="691"/>
      <c r="F31" s="691"/>
      <c r="G31" s="691"/>
      <c r="H31" s="691"/>
      <c r="I31" s="691"/>
      <c r="J31" s="691"/>
    </row>
    <row r="32" spans="1:12" ht="19.5" customHeight="1" x14ac:dyDescent="0.25">
      <c r="A32" s="692" t="s">
        <v>537</v>
      </c>
      <c r="B32" s="692"/>
      <c r="C32" s="692"/>
      <c r="D32" s="83" t="s">
        <v>538</v>
      </c>
      <c r="E32" s="693" t="s">
        <v>466</v>
      </c>
      <c r="F32" s="693"/>
      <c r="G32" s="693"/>
      <c r="H32" s="693"/>
      <c r="I32" s="693"/>
      <c r="J32" s="693"/>
    </row>
    <row r="33" spans="1:12" ht="19.5" customHeight="1" x14ac:dyDescent="0.25">
      <c r="A33" s="384" t="s">
        <v>539</v>
      </c>
      <c r="B33" s="385"/>
      <c r="C33" s="385"/>
      <c r="D33" s="365">
        <f>Dados!$G$44</f>
        <v>0.03</v>
      </c>
      <c r="E33" s="386"/>
      <c r="F33" s="363">
        <f>ROUND((F30*$D$33),2)</f>
        <v>72.44</v>
      </c>
      <c r="G33" s="363">
        <f>ROUND((G30*$D$33),2)</f>
        <v>72.44</v>
      </c>
      <c r="H33" s="363">
        <f>ROUND((H30*$D$33),2)</f>
        <v>0</v>
      </c>
      <c r="I33" s="363">
        <f>ROUND((I30*$D$33),2)</f>
        <v>3.26</v>
      </c>
      <c r="J33" s="364">
        <f>ROUND((J30*$D$33),2)</f>
        <v>0</v>
      </c>
    </row>
    <row r="34" spans="1:12" ht="19.5" customHeight="1" x14ac:dyDescent="0.25">
      <c r="A34" s="694" t="s">
        <v>540</v>
      </c>
      <c r="B34" s="694"/>
      <c r="C34" s="694"/>
      <c r="D34" s="365"/>
      <c r="E34" s="386"/>
      <c r="F34" s="363">
        <f>F30+F33</f>
        <v>2487.0500000000002</v>
      </c>
      <c r="G34" s="363">
        <f>G30+G33</f>
        <v>2487.0500000000002</v>
      </c>
      <c r="H34" s="363">
        <f>H30+H33</f>
        <v>0</v>
      </c>
      <c r="I34" s="363">
        <f>I30+I33</f>
        <v>111.96000000000001</v>
      </c>
      <c r="J34" s="364">
        <f>J30+J33</f>
        <v>0</v>
      </c>
    </row>
    <row r="35" spans="1:12" ht="19.5" customHeight="1" x14ac:dyDescent="0.25">
      <c r="A35" s="387" t="s">
        <v>244</v>
      </c>
      <c r="B35" s="388"/>
      <c r="C35" s="388"/>
      <c r="D35" s="389">
        <f>Dados!$G$45</f>
        <v>6.7900000000000002E-2</v>
      </c>
      <c r="E35" s="390"/>
      <c r="F35" s="369">
        <f>ROUND((F34*$D$35),2)</f>
        <v>168.87</v>
      </c>
      <c r="G35" s="369">
        <f>ROUND((G34*$D$35),2)</f>
        <v>168.87</v>
      </c>
      <c r="H35" s="369">
        <f>ROUND((H34*$D$35),2)</f>
        <v>0</v>
      </c>
      <c r="I35" s="369">
        <f>ROUND((I34*$D$35),2)</f>
        <v>7.6</v>
      </c>
      <c r="J35" s="370">
        <f>ROUND((J34*$D$35),2)</f>
        <v>0</v>
      </c>
    </row>
    <row r="36" spans="1:12" ht="19.5" customHeight="1" x14ac:dyDescent="0.25">
      <c r="A36" s="391" t="s">
        <v>541</v>
      </c>
      <c r="B36" s="392"/>
      <c r="C36" s="392"/>
      <c r="D36" s="393">
        <f>SUM(D33:D35)</f>
        <v>9.7900000000000001E-2</v>
      </c>
      <c r="E36" s="394"/>
      <c r="F36" s="374">
        <f>F33+F35</f>
        <v>241.31</v>
      </c>
      <c r="G36" s="374">
        <f>G33+G35</f>
        <v>241.31</v>
      </c>
      <c r="H36" s="374">
        <f>H33+H35</f>
        <v>0</v>
      </c>
      <c r="I36" s="374">
        <f>I33+I35</f>
        <v>10.86</v>
      </c>
      <c r="J36" s="375">
        <f>J33+J35</f>
        <v>0</v>
      </c>
    </row>
    <row r="37" spans="1:12" ht="19.5" customHeight="1" x14ac:dyDescent="0.25">
      <c r="A37" s="688" t="s">
        <v>542</v>
      </c>
      <c r="B37" s="688"/>
      <c r="C37" s="688"/>
      <c r="D37" s="688"/>
      <c r="E37" s="688"/>
      <c r="F37" s="395">
        <f>F30+F36</f>
        <v>2655.92</v>
      </c>
      <c r="G37" s="395">
        <f>G30+G36</f>
        <v>2655.92</v>
      </c>
      <c r="H37" s="395">
        <f>H30+H36</f>
        <v>0</v>
      </c>
      <c r="I37" s="395">
        <f>I30+I36</f>
        <v>119.56</v>
      </c>
      <c r="J37" s="396">
        <f>J30+J36</f>
        <v>0</v>
      </c>
    </row>
    <row r="38" spans="1:12" ht="19.5" customHeight="1" x14ac:dyDescent="0.25">
      <c r="A38" s="689" t="s">
        <v>543</v>
      </c>
      <c r="B38" s="689"/>
      <c r="C38" s="689"/>
      <c r="D38" s="689"/>
      <c r="E38" s="689"/>
      <c r="F38" s="689"/>
      <c r="G38" s="689"/>
      <c r="H38" s="689"/>
      <c r="I38" s="689"/>
      <c r="J38" s="689"/>
    </row>
    <row r="39" spans="1:12" ht="19.5" customHeight="1" x14ac:dyDescent="0.25">
      <c r="A39" s="683" t="s">
        <v>250</v>
      </c>
      <c r="B39" s="683"/>
      <c r="C39" s="683"/>
      <c r="D39" s="365">
        <f>Dados!G52</f>
        <v>3.065E-2</v>
      </c>
      <c r="E39" s="363"/>
      <c r="F39" s="363">
        <f>ROUND(($F$45*D39),2)</f>
        <v>87.28</v>
      </c>
      <c r="G39" s="363">
        <f>ROUND((G45*$D$39),2)</f>
        <v>87.28</v>
      </c>
      <c r="H39" s="363">
        <f>ROUND((H45*$D$39),2)</f>
        <v>0</v>
      </c>
      <c r="I39" s="363">
        <f>ROUND((I45*$D$39),2)</f>
        <v>3.93</v>
      </c>
      <c r="J39" s="364">
        <f>ROUND((J45*$D$39),2)</f>
        <v>0</v>
      </c>
    </row>
    <row r="40" spans="1:12" ht="19.5" customHeight="1" x14ac:dyDescent="0.25">
      <c r="A40" s="683" t="s">
        <v>252</v>
      </c>
      <c r="B40" s="683"/>
      <c r="C40" s="683"/>
      <c r="D40" s="365">
        <f>Dados!G53</f>
        <v>6.6400000000000001E-3</v>
      </c>
      <c r="E40" s="363"/>
      <c r="F40" s="363">
        <f>ROUND((F45*$D$40),2)</f>
        <v>18.91</v>
      </c>
      <c r="G40" s="363">
        <f>ROUND((G45*$D$40),2)</f>
        <v>18.91</v>
      </c>
      <c r="H40" s="363">
        <f>ROUND((H45*$D$40),2)</f>
        <v>0</v>
      </c>
      <c r="I40" s="363">
        <f>ROUND((I45*$D$40),2)</f>
        <v>0.85</v>
      </c>
      <c r="J40" s="364">
        <f>ROUND((J45*$D$40),2)</f>
        <v>0</v>
      </c>
    </row>
    <row r="41" spans="1:12" ht="19.5" customHeight="1" x14ac:dyDescent="0.25">
      <c r="A41" s="683" t="s">
        <v>253</v>
      </c>
      <c r="B41" s="683"/>
      <c r="C41" s="683"/>
      <c r="D41" s="365">
        <f>Dados!G54</f>
        <v>0.03</v>
      </c>
      <c r="E41" s="363"/>
      <c r="F41" s="363">
        <f>ROUND((F45*$D$41),2)</f>
        <v>85.43</v>
      </c>
      <c r="G41" s="363">
        <f>ROUND((G45*$D$41),2)</f>
        <v>85.43</v>
      </c>
      <c r="H41" s="363">
        <f>ROUND((H45*$D$41),2)</f>
        <v>0</v>
      </c>
      <c r="I41" s="363">
        <f>ROUND((I45*$D$41),2)</f>
        <v>3.85</v>
      </c>
      <c r="J41" s="364">
        <f>ROUND((J45*$D$41),2)</f>
        <v>0</v>
      </c>
    </row>
    <row r="42" spans="1:12" ht="19.5" customHeight="1" x14ac:dyDescent="0.25">
      <c r="A42" s="683" t="s">
        <v>239</v>
      </c>
      <c r="B42" s="683"/>
      <c r="C42" s="683"/>
      <c r="D42" s="365">
        <f>Dados!G55</f>
        <v>0</v>
      </c>
      <c r="E42" s="363"/>
      <c r="F42" s="363">
        <f>ROUND((F45*$D$42),2)</f>
        <v>0</v>
      </c>
      <c r="G42" s="363">
        <f>ROUND((G45*$D$42),2)</f>
        <v>0</v>
      </c>
      <c r="H42" s="363">
        <f>ROUND((H45*$D$42),2)</f>
        <v>0</v>
      </c>
      <c r="I42" s="363">
        <f>ROUND((I45*$D$42),2)</f>
        <v>0</v>
      </c>
      <c r="J42" s="364">
        <f>ROUND((J45*$D$42),2)</f>
        <v>0</v>
      </c>
    </row>
    <row r="43" spans="1:12" ht="19.5" customHeight="1" x14ac:dyDescent="0.25">
      <c r="A43" s="684" t="s">
        <v>544</v>
      </c>
      <c r="B43" s="684"/>
      <c r="C43" s="684"/>
      <c r="D43" s="397">
        <f>SUM(D39:D42)</f>
        <v>6.7290000000000003E-2</v>
      </c>
      <c r="E43" s="398"/>
      <c r="F43" s="399">
        <f>SUM(F39:F42)</f>
        <v>191.62</v>
      </c>
      <c r="G43" s="399">
        <f>SUM(G39:G42)</f>
        <v>191.62</v>
      </c>
      <c r="H43" s="399">
        <f>SUM(H39:H42)</f>
        <v>0</v>
      </c>
      <c r="I43" s="399">
        <f>SUM(I39:I42)</f>
        <v>8.6300000000000008</v>
      </c>
      <c r="J43" s="400">
        <f>SUM(J39:J41)</f>
        <v>0</v>
      </c>
    </row>
    <row r="44" spans="1:12" ht="19.5" customHeight="1" x14ac:dyDescent="0.25">
      <c r="A44" s="685" t="str">
        <f>CONCATENATE("Custo Mensal - ",A7)</f>
        <v>Custo Mensal - Auxiliar Administrativo</v>
      </c>
      <c r="B44" s="685"/>
      <c r="C44" s="685"/>
      <c r="D44" s="685"/>
      <c r="E44" s="685"/>
      <c r="F44" s="401">
        <f>ROUND(F37/(1-D43),2)</f>
        <v>2847.53</v>
      </c>
      <c r="G44" s="401">
        <f>ROUND(G37/(1-D43),2)</f>
        <v>2847.53</v>
      </c>
      <c r="H44" s="401">
        <f>ROUND(H37/(1-D43),2)</f>
        <v>0</v>
      </c>
      <c r="I44" s="401">
        <f>ROUND(I37/(1-D43),2)</f>
        <v>128.19</v>
      </c>
      <c r="J44" s="402">
        <f>ROUND(J37/(1-D43),2)</f>
        <v>0</v>
      </c>
    </row>
    <row r="45" spans="1:12" ht="19.5" customHeight="1" x14ac:dyDescent="0.25">
      <c r="A45" s="686" t="str">
        <f>CONCATENATE("Valor do Custo Mensal - ",A7)</f>
        <v>Valor do Custo Mensal - Auxiliar Administrativo</v>
      </c>
      <c r="B45" s="686"/>
      <c r="C45" s="686"/>
      <c r="D45" s="686"/>
      <c r="E45" s="686"/>
      <c r="F45" s="401">
        <f>F44</f>
        <v>2847.53</v>
      </c>
      <c r="G45" s="401">
        <f>G44</f>
        <v>2847.53</v>
      </c>
      <c r="H45" s="401">
        <f>H44</f>
        <v>0</v>
      </c>
      <c r="I45" s="401">
        <f>I44</f>
        <v>128.19</v>
      </c>
      <c r="J45" s="402">
        <f>J44</f>
        <v>0</v>
      </c>
      <c r="K45" s="403"/>
      <c r="L45" s="403"/>
    </row>
    <row r="46" spans="1:12" ht="27.75" customHeight="1" x14ac:dyDescent="0.25">
      <c r="A46" s="687" t="s">
        <v>545</v>
      </c>
      <c r="B46" s="687"/>
      <c r="C46" s="687"/>
      <c r="D46" s="687"/>
      <c r="E46" s="687"/>
      <c r="F46" s="404">
        <f>(F45/F14)</f>
        <v>2.1820153256704984</v>
      </c>
      <c r="G46" s="404">
        <f>(G45/G14)</f>
        <v>2.1820153256704984</v>
      </c>
      <c r="H46" s="682" t="s">
        <v>546</v>
      </c>
      <c r="I46" s="682"/>
      <c r="J46" s="405">
        <v>0</v>
      </c>
    </row>
    <row r="47" spans="1:12" ht="19.5" customHeight="1" x14ac:dyDescent="0.25"/>
  </sheetData>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H46:I46"/>
    <mergeCell ref="A42:C42"/>
    <mergeCell ref="A43:C43"/>
    <mergeCell ref="A44:E44"/>
    <mergeCell ref="A45:E45"/>
    <mergeCell ref="A46:E46"/>
  </mergeCells>
  <printOptions horizontalCentered="1" verticalCentered="1"/>
  <pageMargins left="0.51180555555555496" right="0.51180555555555496" top="0.78749999999999998" bottom="0.78749999999999998" header="0.51180555555555496" footer="0.51180555555555496"/>
  <pageSetup paperSize="9" scale="61" firstPageNumber="0" fitToHeight="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AMK51"/>
  <sheetViews>
    <sheetView showGridLines="0" topLeftCell="J14" zoomScale="80" zoomScaleNormal="80" workbookViewId="0">
      <selection activeCell="X49" sqref="X49"/>
    </sheetView>
  </sheetViews>
  <sheetFormatPr defaultRowHeight="15" x14ac:dyDescent="0.25"/>
  <cols>
    <col min="1" max="1" width="12" style="2" customWidth="1"/>
    <col min="2" max="2" width="44.42578125" style="2" customWidth="1"/>
    <col min="3" max="3" width="7.140625" style="2" customWidth="1"/>
    <col min="4" max="4" width="6.7109375" style="2" customWidth="1"/>
    <col min="5" max="5" width="10.140625" style="2" customWidth="1"/>
    <col min="6" max="6" width="12.5703125" style="2" customWidth="1"/>
    <col min="7" max="7" width="12.28515625" style="2" customWidth="1"/>
    <col min="8" max="8" width="26" style="2" customWidth="1"/>
    <col min="9" max="9" width="11.85546875" style="2" customWidth="1"/>
    <col min="10" max="10" width="13.7109375" style="2" customWidth="1"/>
    <col min="11" max="11" width="9.42578125" style="2" customWidth="1"/>
    <col min="12" max="12" width="12.85546875" style="2" customWidth="1"/>
    <col min="13" max="13" width="12.28515625" style="2" customWidth="1"/>
    <col min="14" max="14" width="7.42578125" style="2" customWidth="1"/>
    <col min="15" max="15" width="13.28515625" style="2" customWidth="1"/>
    <col min="16" max="16" width="12" style="2" customWidth="1"/>
    <col min="17" max="17" width="9.5703125" style="2" customWidth="1"/>
    <col min="18" max="18" width="11.28515625" style="2" customWidth="1"/>
    <col min="19" max="19" width="16.140625" style="2" customWidth="1"/>
    <col min="20" max="20" width="12.140625" style="2" customWidth="1"/>
    <col min="21" max="21" width="8.85546875" style="2" customWidth="1"/>
    <col min="22" max="22" width="8" style="2" customWidth="1"/>
    <col min="23" max="23" width="16.42578125" style="2" customWidth="1"/>
    <col min="24" max="259" width="9.140625" style="2" customWidth="1"/>
    <col min="260" max="260" width="13.140625" style="2" customWidth="1"/>
    <col min="261" max="261" width="38.42578125" style="2" customWidth="1"/>
    <col min="262" max="262" width="7.140625" style="2" customWidth="1"/>
    <col min="263" max="263" width="6.7109375" style="2" customWidth="1"/>
    <col min="264" max="264" width="10.140625" style="2" customWidth="1"/>
    <col min="265" max="265" width="12.5703125" style="2" customWidth="1"/>
    <col min="266" max="266" width="12.28515625" style="2" customWidth="1"/>
    <col min="267" max="267" width="13.42578125" style="2" customWidth="1"/>
    <col min="268" max="268" width="12.140625" style="2" customWidth="1"/>
    <col min="269" max="269" width="13.7109375" style="2" customWidth="1"/>
    <col min="270" max="270" width="11.28515625" style="2" customWidth="1"/>
    <col min="271" max="271" width="15.5703125" style="2" customWidth="1"/>
    <col min="272" max="272" width="12.28515625" style="2" customWidth="1"/>
    <col min="273" max="273" width="7.42578125" style="2" customWidth="1"/>
    <col min="274" max="274" width="13.28515625" style="2" customWidth="1"/>
    <col min="275" max="275" width="14" style="2" customWidth="1"/>
    <col min="276" max="276" width="12.140625" style="2" customWidth="1"/>
    <col min="277" max="278" width="10.140625" style="2" customWidth="1"/>
    <col min="279" max="279" width="16.42578125" style="2" customWidth="1"/>
    <col min="280" max="515" width="9.140625" style="2" customWidth="1"/>
    <col min="516" max="516" width="13.140625" style="2" customWidth="1"/>
    <col min="517" max="517" width="38.42578125" style="2" customWidth="1"/>
    <col min="518" max="518" width="7.140625" style="2" customWidth="1"/>
    <col min="519" max="519" width="6.7109375" style="2" customWidth="1"/>
    <col min="520" max="520" width="10.140625" style="2" customWidth="1"/>
    <col min="521" max="521" width="12.5703125" style="2" customWidth="1"/>
    <col min="522" max="522" width="12.28515625" style="2" customWidth="1"/>
    <col min="523" max="523" width="13.42578125" style="2" customWidth="1"/>
    <col min="524" max="524" width="12.140625" style="2" customWidth="1"/>
    <col min="525" max="525" width="13.7109375" style="2" customWidth="1"/>
    <col min="526" max="526" width="11.28515625" style="2" customWidth="1"/>
    <col min="527" max="527" width="15.5703125" style="2" customWidth="1"/>
    <col min="528" max="528" width="12.28515625" style="2" customWidth="1"/>
    <col min="529" max="529" width="7.42578125" style="2" customWidth="1"/>
    <col min="530" max="530" width="13.28515625" style="2" customWidth="1"/>
    <col min="531" max="531" width="14" style="2" customWidth="1"/>
    <col min="532" max="532" width="12.140625" style="2" customWidth="1"/>
    <col min="533" max="534" width="10.140625" style="2" customWidth="1"/>
    <col min="535" max="535" width="16.42578125" style="2" customWidth="1"/>
    <col min="536" max="771" width="9.140625" style="2" customWidth="1"/>
    <col min="772" max="772" width="13.140625" style="2" customWidth="1"/>
    <col min="773" max="773" width="38.42578125" style="2" customWidth="1"/>
    <col min="774" max="774" width="7.140625" style="2" customWidth="1"/>
    <col min="775" max="775" width="6.7109375" style="2" customWidth="1"/>
    <col min="776" max="776" width="10.140625" style="2" customWidth="1"/>
    <col min="777" max="777" width="12.5703125" style="2" customWidth="1"/>
    <col min="778" max="778" width="12.28515625" style="2" customWidth="1"/>
    <col min="779" max="779" width="13.42578125" style="2" customWidth="1"/>
    <col min="780" max="780" width="12.140625" style="2" customWidth="1"/>
    <col min="781" max="781" width="13.7109375" style="2" customWidth="1"/>
    <col min="782" max="782" width="11.28515625" style="2" customWidth="1"/>
    <col min="783" max="783" width="15.5703125" style="2" customWidth="1"/>
    <col min="784" max="784" width="12.28515625" style="2" customWidth="1"/>
    <col min="785" max="785" width="7.42578125" style="2" customWidth="1"/>
    <col min="786" max="786" width="13.28515625" style="2" customWidth="1"/>
    <col min="787" max="787" width="14" style="2" customWidth="1"/>
    <col min="788" max="788" width="12.140625" style="2" customWidth="1"/>
    <col min="789" max="790" width="10.140625" style="2" customWidth="1"/>
    <col min="791" max="791" width="16.42578125" style="2" customWidth="1"/>
    <col min="792" max="1025" width="9.140625" style="2" customWidth="1"/>
  </cols>
  <sheetData>
    <row r="1" spans="1:23" x14ac:dyDescent="0.25">
      <c r="A1" s="5"/>
      <c r="B1" s="407" t="str">
        <f>INSTRUÇÕES!B1</f>
        <v>Tribunal Regional Federal da 6ª Região</v>
      </c>
      <c r="C1" s="213"/>
      <c r="D1" s="213"/>
      <c r="E1" s="213"/>
      <c r="F1" s="213"/>
      <c r="G1" s="213"/>
      <c r="H1" s="213"/>
      <c r="I1" s="213"/>
      <c r="J1" s="408"/>
      <c r="K1" s="408"/>
      <c r="L1" s="408"/>
      <c r="M1" s="408"/>
      <c r="N1" s="408"/>
      <c r="O1" s="408"/>
      <c r="P1" s="408"/>
      <c r="Q1" s="408"/>
      <c r="R1" s="408"/>
      <c r="S1" s="408"/>
      <c r="T1" s="408"/>
      <c r="U1" s="408"/>
      <c r="V1" s="408"/>
      <c r="W1" s="409"/>
    </row>
    <row r="2" spans="1:23" x14ac:dyDescent="0.25">
      <c r="A2" s="410"/>
      <c r="B2" s="117" t="str">
        <f>INSTRUÇÕES!B2</f>
        <v>Seção Judiciária de Minas Gerais</v>
      </c>
      <c r="C2" s="71"/>
      <c r="D2" s="71"/>
      <c r="E2" s="71"/>
      <c r="F2" s="71"/>
      <c r="G2" s="71"/>
      <c r="H2" s="71"/>
      <c r="I2" s="71"/>
      <c r="W2" s="411"/>
    </row>
    <row r="3" spans="1:23" x14ac:dyDescent="0.25">
      <c r="A3" s="410"/>
      <c r="B3" s="117" t="str">
        <f>INSTRUÇÕES!B3</f>
        <v>Subseção Judiciária de Montes Claros</v>
      </c>
      <c r="C3" s="71"/>
      <c r="D3" s="71"/>
      <c r="E3" s="71"/>
      <c r="F3" s="71"/>
      <c r="G3" s="71"/>
      <c r="H3" s="71"/>
      <c r="I3" s="71"/>
      <c r="W3" s="411"/>
    </row>
    <row r="4" spans="1:23" s="412" customFormat="1" ht="18.75" customHeight="1" x14ac:dyDescent="0.25">
      <c r="A4" s="725" t="s">
        <v>549</v>
      </c>
      <c r="B4" s="725"/>
      <c r="C4" s="725"/>
      <c r="D4" s="725"/>
      <c r="E4" s="725"/>
      <c r="F4" s="725"/>
      <c r="G4" s="725"/>
      <c r="H4" s="725"/>
      <c r="I4" s="725"/>
      <c r="J4" s="725"/>
      <c r="K4" s="725"/>
      <c r="L4" s="725"/>
      <c r="M4" s="725"/>
      <c r="N4" s="725"/>
      <c r="O4" s="725"/>
      <c r="P4" s="725"/>
      <c r="Q4" s="725"/>
      <c r="R4" s="725"/>
      <c r="S4" s="725"/>
      <c r="T4" s="725"/>
      <c r="U4" s="725"/>
      <c r="V4" s="725"/>
      <c r="W4" s="725"/>
    </row>
    <row r="5" spans="1:23" s="120" customFormat="1" ht="21" customHeight="1" x14ac:dyDescent="0.25">
      <c r="A5" s="726" t="str">
        <f>"PREÇO MENSAL GLOBAL - "&amp;B3</f>
        <v>PREÇO MENSAL GLOBAL - Subseção Judiciária de Montes Claros</v>
      </c>
      <c r="B5" s="726"/>
      <c r="C5" s="726"/>
      <c r="D5" s="726"/>
      <c r="E5" s="726"/>
      <c r="F5" s="726"/>
      <c r="G5" s="726"/>
      <c r="H5" s="726"/>
      <c r="I5" s="726"/>
      <c r="J5" s="726"/>
      <c r="K5" s="726"/>
      <c r="L5" s="726"/>
      <c r="M5" s="726"/>
      <c r="N5" s="726"/>
      <c r="O5" s="726"/>
      <c r="P5" s="726"/>
      <c r="Q5" s="726"/>
      <c r="R5" s="726"/>
      <c r="S5" s="726"/>
      <c r="T5" s="726"/>
      <c r="U5" s="726"/>
      <c r="V5" s="726"/>
      <c r="W5" s="726"/>
    </row>
    <row r="6" spans="1:23" s="4" customFormat="1" ht="23.25" customHeight="1" x14ac:dyDescent="0.25">
      <c r="A6" s="727" t="str">
        <f>Dados!A4</f>
        <v>Sindicato utilizado - SINSERTH X SINTAPPI. Vigência: 2024. Sendo a data base da categoria 01° DE ABRIL. Com número de registro no MTE MG002103/2024.</v>
      </c>
      <c r="B6" s="727"/>
      <c r="C6" s="727"/>
      <c r="D6" s="727"/>
      <c r="E6" s="727"/>
      <c r="F6" s="727"/>
      <c r="G6" s="727"/>
      <c r="H6" s="727"/>
      <c r="I6" s="727"/>
      <c r="J6" s="727"/>
      <c r="K6" s="727"/>
      <c r="L6" s="727"/>
      <c r="M6" s="727"/>
      <c r="N6" s="727"/>
      <c r="O6" s="727"/>
      <c r="P6" s="727"/>
      <c r="Q6" s="727"/>
      <c r="R6" s="727"/>
      <c r="S6" s="727"/>
      <c r="T6" s="727"/>
      <c r="U6" s="727"/>
      <c r="V6" s="727"/>
      <c r="W6" s="727"/>
    </row>
    <row r="7" spans="1:23" s="17" customFormat="1" ht="18.75" customHeight="1" x14ac:dyDescent="0.25">
      <c r="A7" s="413"/>
      <c r="B7" s="414"/>
      <c r="C7" s="414"/>
      <c r="D7" s="414"/>
      <c r="E7" s="415"/>
      <c r="F7" s="415"/>
      <c r="G7" s="415"/>
      <c r="H7" s="416" t="s">
        <v>550</v>
      </c>
      <c r="I7" s="417"/>
      <c r="J7" s="417"/>
      <c r="K7" s="415"/>
      <c r="L7" s="415"/>
      <c r="M7" s="415"/>
      <c r="N7" s="415"/>
      <c r="O7" s="415"/>
      <c r="P7" s="415"/>
      <c r="Q7" s="415"/>
      <c r="R7" s="415"/>
      <c r="S7" s="728" t="s">
        <v>551</v>
      </c>
      <c r="T7" s="728"/>
      <c r="U7" s="728"/>
      <c r="V7" s="728"/>
      <c r="W7" s="728"/>
    </row>
    <row r="8" spans="1:23" s="17" customFormat="1" ht="22.5" customHeight="1" x14ac:dyDescent="0.25">
      <c r="A8" s="729" t="s">
        <v>552</v>
      </c>
      <c r="B8" s="730" t="s">
        <v>553</v>
      </c>
      <c r="C8" s="730"/>
      <c r="D8" s="731" t="s">
        <v>44</v>
      </c>
      <c r="E8" s="731"/>
      <c r="F8" s="731"/>
      <c r="G8" s="731"/>
      <c r="H8" s="731"/>
      <c r="I8" s="731"/>
      <c r="J8" s="731"/>
      <c r="K8" s="731"/>
      <c r="L8" s="731"/>
      <c r="M8" s="731"/>
      <c r="N8" s="731"/>
      <c r="O8" s="731"/>
      <c r="P8" s="731"/>
      <c r="Q8" s="731"/>
      <c r="R8" s="731"/>
      <c r="S8" s="731"/>
      <c r="T8" s="731"/>
      <c r="U8" s="731"/>
      <c r="V8" s="731"/>
      <c r="W8" s="732" t="s">
        <v>554</v>
      </c>
    </row>
    <row r="9" spans="1:23" s="17" customFormat="1" ht="20.25" customHeight="1" x14ac:dyDescent="0.25">
      <c r="A9" s="729"/>
      <c r="B9" s="730"/>
      <c r="C9" s="730"/>
      <c r="D9" s="733" t="s">
        <v>555</v>
      </c>
      <c r="E9" s="733"/>
      <c r="F9" s="733"/>
      <c r="G9" s="733" t="s">
        <v>556</v>
      </c>
      <c r="H9" s="733"/>
      <c r="I9" s="733"/>
      <c r="J9" s="734" t="s">
        <v>557</v>
      </c>
      <c r="K9" s="734"/>
      <c r="L9" s="734"/>
      <c r="M9" s="734"/>
      <c r="N9" s="734"/>
      <c r="O9" s="734"/>
      <c r="P9" s="735" t="s">
        <v>558</v>
      </c>
      <c r="Q9" s="735"/>
      <c r="R9" s="735"/>
      <c r="S9" s="418" t="s">
        <v>559</v>
      </c>
      <c r="T9" s="736" t="s">
        <v>560</v>
      </c>
      <c r="U9" s="736"/>
      <c r="V9" s="736"/>
      <c r="W9" s="732"/>
    </row>
    <row r="10" spans="1:23" s="17" customFormat="1" ht="27.75" customHeight="1" x14ac:dyDescent="0.25">
      <c r="A10" s="729"/>
      <c r="B10" s="730"/>
      <c r="C10" s="730"/>
      <c r="D10" s="737" t="s">
        <v>561</v>
      </c>
      <c r="E10" s="737"/>
      <c r="F10" s="737"/>
      <c r="G10" s="738" t="s">
        <v>562</v>
      </c>
      <c r="H10" s="720" t="s">
        <v>563</v>
      </c>
      <c r="I10" s="720"/>
      <c r="J10" s="721" t="s">
        <v>564</v>
      </c>
      <c r="K10" s="721"/>
      <c r="L10" s="721"/>
      <c r="M10" s="722" t="s">
        <v>565</v>
      </c>
      <c r="N10" s="722"/>
      <c r="O10" s="722"/>
      <c r="P10" s="713" t="s">
        <v>566</v>
      </c>
      <c r="Q10" s="713"/>
      <c r="R10" s="713"/>
      <c r="S10" s="723" t="s">
        <v>567</v>
      </c>
      <c r="T10" s="713" t="s">
        <v>568</v>
      </c>
      <c r="U10" s="713"/>
      <c r="V10" s="713"/>
      <c r="W10" s="732"/>
    </row>
    <row r="11" spans="1:23" s="17" customFormat="1" ht="63.75" x14ac:dyDescent="0.25">
      <c r="A11" s="729"/>
      <c r="B11" s="419" t="s">
        <v>25</v>
      </c>
      <c r="C11" s="420" t="s">
        <v>26</v>
      </c>
      <c r="D11" s="421" t="s">
        <v>24</v>
      </c>
      <c r="E11" s="422" t="s">
        <v>569</v>
      </c>
      <c r="F11" s="423" t="s">
        <v>570</v>
      </c>
      <c r="G11" s="738"/>
      <c r="H11" s="424" t="s">
        <v>571</v>
      </c>
      <c r="I11" s="425" t="s">
        <v>572</v>
      </c>
      <c r="J11" s="426" t="s">
        <v>573</v>
      </c>
      <c r="K11" s="424" t="s">
        <v>33</v>
      </c>
      <c r="L11" s="427" t="s">
        <v>574</v>
      </c>
      <c r="M11" s="419" t="s">
        <v>575</v>
      </c>
      <c r="N11" s="422" t="s">
        <v>34</v>
      </c>
      <c r="O11" s="428" t="s">
        <v>576</v>
      </c>
      <c r="P11" s="419" t="s">
        <v>577</v>
      </c>
      <c r="Q11" s="422" t="s">
        <v>578</v>
      </c>
      <c r="R11" s="420" t="s">
        <v>579</v>
      </c>
      <c r="S11" s="723"/>
      <c r="T11" s="419" t="s">
        <v>580</v>
      </c>
      <c r="U11" s="422" t="s">
        <v>581</v>
      </c>
      <c r="V11" s="429" t="s">
        <v>582</v>
      </c>
      <c r="W11" s="732"/>
    </row>
    <row r="12" spans="1:23" s="17" customFormat="1" ht="15.75" customHeight="1" x14ac:dyDescent="0.25">
      <c r="A12" s="717">
        <f>Dados!A7</f>
        <v>333903702</v>
      </c>
      <c r="B12" s="430" t="str">
        <f>Dados!C7</f>
        <v>Servente de Limpeza 40% Insalubridade</v>
      </c>
      <c r="C12" s="431">
        <f>Dados!D7</f>
        <v>150</v>
      </c>
      <c r="D12" s="432">
        <f>Dados!B7</f>
        <v>1</v>
      </c>
      <c r="E12" s="433">
        <f>'Serv Ins'!$F$45</f>
        <v>4283.37</v>
      </c>
      <c r="F12" s="434">
        <f>ROUND((D12*E12),2)</f>
        <v>4283.37</v>
      </c>
      <c r="G12" s="435">
        <f>'Serv Ins'!$I$45</f>
        <v>146.18</v>
      </c>
      <c r="H12" s="436">
        <f>'Ocorrências Mensais - FAT'!F11+'Ocorrências Mensais - FAT'!H11</f>
        <v>0</v>
      </c>
      <c r="I12" s="437">
        <f>(ROUND((G12/Dados!$G$35*H12)-(G12/'Ocorrências Mensais - FAT'!$E$5*'Ocorrências Mensais - FAT'!G11),2))</f>
        <v>0</v>
      </c>
      <c r="J12" s="438">
        <f>'Serv Ins'!$G$45</f>
        <v>3490.83</v>
      </c>
      <c r="K12" s="436">
        <f>'Ocorrências Mensais - FAT'!K11</f>
        <v>0</v>
      </c>
      <c r="L12" s="437">
        <f>J12/'Ocorrências Mensais - FAT'!$E$5*K12</f>
        <v>0</v>
      </c>
      <c r="M12" s="439">
        <f>'Custo Estimado Substituto'!$F$33</f>
        <v>2956.1</v>
      </c>
      <c r="N12" s="440">
        <f>'Ocorrências Mensais - FAT'!L11</f>
        <v>0</v>
      </c>
      <c r="O12" s="441">
        <f>M12/'Ocorrências Mensais - FAT'!$E$5*N12</f>
        <v>0</v>
      </c>
      <c r="P12" s="442">
        <f>'Serv Ins'!$H$45</f>
        <v>0</v>
      </c>
      <c r="Q12" s="443">
        <f>'Ocorrências Mensais - FAT'!M11</f>
        <v>0</v>
      </c>
      <c r="R12" s="441">
        <f>ROUND((P12/Dados!$G$38*Q12),2)</f>
        <v>0</v>
      </c>
      <c r="S12" s="444">
        <f>I12+L12+O12+R12</f>
        <v>0</v>
      </c>
      <c r="T12" s="445"/>
      <c r="U12" s="446"/>
      <c r="V12" s="447"/>
      <c r="W12" s="448">
        <f>ROUND((F12-S12+V12),2)</f>
        <v>4283.37</v>
      </c>
    </row>
    <row r="13" spans="1:23" s="17" customFormat="1" ht="15.75" x14ac:dyDescent="0.25">
      <c r="A13" s="717"/>
      <c r="B13" s="430" t="str">
        <f>Dados!C8</f>
        <v>Servente de Limpeza  ac. Copeira</v>
      </c>
      <c r="C13" s="431">
        <f>Dados!D8</f>
        <v>200</v>
      </c>
      <c r="D13" s="432">
        <f>Dados!B8</f>
        <v>1</v>
      </c>
      <c r="E13" s="433">
        <f>'Serv Copeira'!$F$45</f>
        <v>4566.2700000000004</v>
      </c>
      <c r="F13" s="434">
        <f>ROUND((D13*E13),2)</f>
        <v>4566.2700000000004</v>
      </c>
      <c r="G13" s="449">
        <f>'Serv Copeira'!$I$45</f>
        <v>121.39</v>
      </c>
      <c r="H13" s="450">
        <f>'Ocorrências Mensais - FAT'!F12+'Ocorrências Mensais - FAT'!H12</f>
        <v>0</v>
      </c>
      <c r="I13" s="451">
        <f>(ROUND((G13/Dados!$G$35*H13)-(G13/'Ocorrências Mensais - FAT'!$E$5*'Ocorrências Mensais - FAT'!G12),2))</f>
        <v>0</v>
      </c>
      <c r="J13" s="452">
        <f>'Serv Copeira'!$G$45</f>
        <v>3688.93</v>
      </c>
      <c r="K13" s="450">
        <f>'Ocorrências Mensais - FAT'!K12</f>
        <v>0</v>
      </c>
      <c r="L13" s="451">
        <f>J13/'Ocorrências Mensais - FAT'!$E$5*K13</f>
        <v>0</v>
      </c>
      <c r="M13" s="452">
        <f>'Custo Estimado Substituto'!G33</f>
        <v>3196.67</v>
      </c>
      <c r="N13" s="450">
        <f>'Ocorrências Mensais - FAT'!L12</f>
        <v>0</v>
      </c>
      <c r="O13" s="453">
        <f>M13/'Ocorrências Mensais - FAT'!$E$5*N13</f>
        <v>0</v>
      </c>
      <c r="P13" s="454">
        <f>'Serv Copeira'!$H$45</f>
        <v>565.37</v>
      </c>
      <c r="Q13" s="455">
        <f>'Ocorrências Mensais - FAT'!M12</f>
        <v>0</v>
      </c>
      <c r="R13" s="453">
        <f>ROUND((P13/Dados!$G$38*Q13),2)</f>
        <v>0</v>
      </c>
      <c r="S13" s="456">
        <f>I13+L13+O13+R13</f>
        <v>0</v>
      </c>
      <c r="T13" s="449">
        <f>'Serv Ins'!$J$46</f>
        <v>38.479999999999997</v>
      </c>
      <c r="U13" s="455">
        <f>'Ocorrências Mensais - FAT'!N12</f>
        <v>0</v>
      </c>
      <c r="V13" s="457">
        <f>T13*U13</f>
        <v>0</v>
      </c>
      <c r="W13" s="448">
        <f>ROUND((F13-S13+V13),2)</f>
        <v>4566.2700000000004</v>
      </c>
    </row>
    <row r="14" spans="1:23" s="17" customFormat="1" ht="15.75" x14ac:dyDescent="0.25">
      <c r="A14" s="717"/>
      <c r="B14" s="430" t="str">
        <f>Dados!C9</f>
        <v>Servente de Limpeza</v>
      </c>
      <c r="C14" s="431">
        <f>Dados!D9</f>
        <v>200</v>
      </c>
      <c r="D14" s="432">
        <f>Dados!B9</f>
        <v>1</v>
      </c>
      <c r="E14" s="433">
        <f>Serv!F45</f>
        <v>4385.54</v>
      </c>
      <c r="F14" s="434">
        <f>ROUND((D14*E14),2)</f>
        <v>4385.54</v>
      </c>
      <c r="G14" s="449">
        <f>Serv!I45</f>
        <v>121.39</v>
      </c>
      <c r="H14" s="450">
        <f>'Ocorrências Mensais - FAT'!F13+'Ocorrências Mensais - FAT'!H13</f>
        <v>0</v>
      </c>
      <c r="I14" s="451">
        <f>(ROUND((G14/Dados!$G$35*H14)-(G14/'Ocorrências Mensais - FAT'!$E$5*'Ocorrências Mensais - FAT'!G13),2))</f>
        <v>0</v>
      </c>
      <c r="J14" s="452">
        <f>Serv!G45</f>
        <v>3593</v>
      </c>
      <c r="K14" s="450">
        <f>'Ocorrências Mensais - FAT'!K13</f>
        <v>0</v>
      </c>
      <c r="L14" s="451">
        <f>J14/'Ocorrências Mensais - FAT'!$E$5*K14</f>
        <v>0</v>
      </c>
      <c r="M14" s="452">
        <f>'Custo Estimado Substituto'!H33</f>
        <v>3123.5099999999998</v>
      </c>
      <c r="N14" s="450">
        <f>'Ocorrências Mensais - FAT'!L13</f>
        <v>0</v>
      </c>
      <c r="O14" s="453">
        <f>M14/'Ocorrências Mensais - FAT'!$E$5*N14</f>
        <v>0</v>
      </c>
      <c r="P14" s="454">
        <f>Serv!H45</f>
        <v>565.37</v>
      </c>
      <c r="Q14" s="455">
        <f>'Ocorrências Mensais - FAT'!M13</f>
        <v>0</v>
      </c>
      <c r="R14" s="453">
        <f>ROUND((P14/Dados!$G$38*Q14),2)</f>
        <v>0</v>
      </c>
      <c r="S14" s="456">
        <f>I14+L14+O14+R14</f>
        <v>0</v>
      </c>
      <c r="T14" s="449">
        <f>'Serv Ins'!$J$46</f>
        <v>38.479999999999997</v>
      </c>
      <c r="U14" s="455">
        <f>'Ocorrências Mensais - FAT'!N13</f>
        <v>0</v>
      </c>
      <c r="V14" s="457">
        <f>T14*U14</f>
        <v>0</v>
      </c>
      <c r="W14" s="448">
        <f>ROUND((F14-S14+V14),2)</f>
        <v>4385.54</v>
      </c>
    </row>
    <row r="15" spans="1:23" s="17" customFormat="1" ht="15.75" x14ac:dyDescent="0.25">
      <c r="A15" s="717"/>
      <c r="B15" s="430" t="str">
        <f>Dados!C10</f>
        <v>Porteiro</v>
      </c>
      <c r="C15" s="431">
        <f>Dados!D10</f>
        <v>150</v>
      </c>
      <c r="D15" s="432">
        <f>Dados!B10</f>
        <v>1</v>
      </c>
      <c r="E15" s="433">
        <f>Porteiro!$F$45</f>
        <v>2956.65</v>
      </c>
      <c r="F15" s="434">
        <f>ROUND((D15*E15),2)</f>
        <v>2956.65</v>
      </c>
      <c r="G15" s="449">
        <f>Porteiro!$I$45</f>
        <v>124.27</v>
      </c>
      <c r="H15" s="450">
        <f>'Ocorrências Mensais - FAT'!F14+'Ocorrências Mensais - FAT'!H14</f>
        <v>0</v>
      </c>
      <c r="I15" s="451">
        <f>(ROUND((G15/Dados!$G$35*H15)-(G15/'Ocorrências Mensais - FAT'!$E$5*'Ocorrências Mensais - FAT'!G14),2))</f>
        <v>0</v>
      </c>
      <c r="J15" s="452">
        <f>Porteiro!$G$45</f>
        <v>2956.65</v>
      </c>
      <c r="K15" s="450">
        <f>'Ocorrências Mensais - FAT'!K14</f>
        <v>0</v>
      </c>
      <c r="L15" s="451">
        <f>J15/'Ocorrências Mensais - FAT'!$E$5*K15</f>
        <v>0</v>
      </c>
      <c r="M15" s="452">
        <f>'Custo Estimado Substituto'!I33</f>
        <v>2490.13</v>
      </c>
      <c r="N15" s="450">
        <f>'Ocorrências Mensais - FAT'!L14</f>
        <v>0</v>
      </c>
      <c r="O15" s="453">
        <f>M15/'Ocorrências Mensais - FAT'!$E$5*N15</f>
        <v>0</v>
      </c>
      <c r="P15" s="454">
        <f>Porteiro!$H$45</f>
        <v>0</v>
      </c>
      <c r="Q15" s="455">
        <f>'Ocorrências Mensais - FAT'!M14</f>
        <v>0</v>
      </c>
      <c r="R15" s="453">
        <f>ROUND((P15/Dados!$G$38*Q15),2)</f>
        <v>0</v>
      </c>
      <c r="S15" s="456">
        <f>I15+L15+O15+R15</f>
        <v>0</v>
      </c>
      <c r="T15" s="458"/>
      <c r="U15" s="459"/>
      <c r="V15" s="460"/>
      <c r="W15" s="448">
        <f>ROUND((F15-S15+V15),2)</f>
        <v>2956.65</v>
      </c>
    </row>
    <row r="16" spans="1:23" s="17" customFormat="1" ht="15.75" x14ac:dyDescent="0.25">
      <c r="A16" s="461">
        <f>Dados!A11</f>
        <v>333903701</v>
      </c>
      <c r="B16" s="462" t="str">
        <f>Dados!C11</f>
        <v>Auxiliar Administrativo</v>
      </c>
      <c r="C16" s="463">
        <f>Dados!D11</f>
        <v>150</v>
      </c>
      <c r="D16" s="464">
        <f>Dados!B11</f>
        <v>4</v>
      </c>
      <c r="E16" s="465">
        <f>'Auxiliar Adm'!$F$45</f>
        <v>2847.53</v>
      </c>
      <c r="F16" s="466">
        <f>ROUND((D16*E16),2)</f>
        <v>11390.12</v>
      </c>
      <c r="G16" s="467">
        <f>'Auxiliar Adm'!$I$45</f>
        <v>128.19</v>
      </c>
      <c r="H16" s="468">
        <f>'Ocorrências Mensais - FAT'!F15+'Ocorrências Mensais - FAT'!H15</f>
        <v>0</v>
      </c>
      <c r="I16" s="469">
        <f>(ROUND((G16/Dados!$G$35*H16)-(G16/'Ocorrências Mensais - FAT'!$E$5*'Ocorrências Mensais - FAT'!G15),2))</f>
        <v>0</v>
      </c>
      <c r="J16" s="470">
        <f>'Auxiliar Adm'!$G$45</f>
        <v>2847.53</v>
      </c>
      <c r="K16" s="468">
        <f>'Ocorrências Mensais - FAT'!K15</f>
        <v>0</v>
      </c>
      <c r="L16" s="469">
        <f>J16/'Ocorrências Mensais - FAT'!$E$5*K16</f>
        <v>0</v>
      </c>
      <c r="M16" s="470">
        <f>'Custo Estimado Substituto'!J33</f>
        <v>2397.81</v>
      </c>
      <c r="N16" s="468">
        <f>'Ocorrências Mensais - FAT'!L15</f>
        <v>0</v>
      </c>
      <c r="O16" s="471">
        <f>M16/'Ocorrências Mensais - FAT'!$E$5*N16</f>
        <v>0</v>
      </c>
      <c r="P16" s="472">
        <f>'Auxiliar Adm'!$H$45</f>
        <v>0</v>
      </c>
      <c r="Q16" s="473">
        <f>'Ocorrências Mensais - FAT'!M15</f>
        <v>0</v>
      </c>
      <c r="R16" s="471">
        <f>ROUND((P16/Dados!$G$38*Q16),2)</f>
        <v>0</v>
      </c>
      <c r="S16" s="474">
        <f>I16+L16+O16+R16</f>
        <v>0</v>
      </c>
      <c r="T16" s="475"/>
      <c r="U16" s="476"/>
      <c r="V16" s="477"/>
      <c r="W16" s="478">
        <f>ROUND((F16-S16+V16),2)</f>
        <v>11390.12</v>
      </c>
    </row>
    <row r="17" spans="1:26" s="66" customFormat="1" ht="21.75" customHeight="1" x14ac:dyDescent="0.25">
      <c r="A17" s="707" t="s">
        <v>583</v>
      </c>
      <c r="B17" s="707"/>
      <c r="C17" s="707"/>
      <c r="D17" s="479">
        <f>SUM(D12:D16)</f>
        <v>8</v>
      </c>
      <c r="E17" s="480"/>
      <c r="F17" s="481">
        <f>SUM(F12:F16)</f>
        <v>27581.95</v>
      </c>
      <c r="G17" s="482"/>
      <c r="H17" s="480">
        <f t="shared" ref="H17:O17" si="0">SUM(H12:H16)</f>
        <v>0</v>
      </c>
      <c r="I17" s="483">
        <f t="shared" si="0"/>
        <v>0</v>
      </c>
      <c r="J17" s="484">
        <f t="shared" si="0"/>
        <v>16576.939999999999</v>
      </c>
      <c r="K17" s="480">
        <f t="shared" si="0"/>
        <v>0</v>
      </c>
      <c r="L17" s="483">
        <f t="shared" si="0"/>
        <v>0</v>
      </c>
      <c r="M17" s="485">
        <f t="shared" si="0"/>
        <v>14164.22</v>
      </c>
      <c r="N17" s="480">
        <f t="shared" si="0"/>
        <v>0</v>
      </c>
      <c r="O17" s="481">
        <f t="shared" si="0"/>
        <v>0</v>
      </c>
      <c r="P17" s="482"/>
      <c r="Q17" s="480">
        <f>SUM(Q12:Q16)</f>
        <v>0</v>
      </c>
      <c r="R17" s="481">
        <f>SUM(R12:R16)</f>
        <v>0</v>
      </c>
      <c r="S17" s="486">
        <f>SUM(S12:S16)</f>
        <v>0</v>
      </c>
      <c r="T17" s="487"/>
      <c r="U17" s="480">
        <f>SUM(U12:U16)</f>
        <v>0</v>
      </c>
      <c r="V17" s="483">
        <f>SUM(V12:V16)</f>
        <v>0</v>
      </c>
      <c r="W17" s="488">
        <f>SUM(W12:W16)</f>
        <v>27581.95</v>
      </c>
      <c r="X17" s="585" t="s">
        <v>584</v>
      </c>
      <c r="Y17" s="108"/>
    </row>
    <row r="18" spans="1:26" s="60" customFormat="1" ht="18" customHeight="1" x14ac:dyDescent="0.25">
      <c r="A18" s="718" t="s">
        <v>585</v>
      </c>
      <c r="B18" s="718"/>
      <c r="C18" s="718"/>
      <c r="D18" s="718"/>
      <c r="E18" s="718"/>
      <c r="F18" s="718"/>
      <c r="G18" s="718"/>
      <c r="H18" s="718"/>
      <c r="I18" s="718"/>
      <c r="J18" s="718"/>
      <c r="K18" s="718"/>
      <c r="L18" s="718"/>
      <c r="M18" s="718"/>
      <c r="N18" s="718"/>
      <c r="O18" s="718"/>
      <c r="P18" s="718"/>
      <c r="Q18" s="718"/>
      <c r="R18" s="718"/>
      <c r="S18" s="718"/>
      <c r="T18" s="718"/>
      <c r="U18" s="718"/>
      <c r="V18" s="718"/>
      <c r="W18" s="489">
        <f>Mat!K40+Mat!K53</f>
        <v>2088.0541666666663</v>
      </c>
    </row>
    <row r="19" spans="1:26" s="60" customFormat="1" ht="20.25" customHeight="1" x14ac:dyDescent="0.25">
      <c r="A19" s="718" t="s">
        <v>586</v>
      </c>
      <c r="B19" s="718"/>
      <c r="C19" s="718"/>
      <c r="D19" s="718"/>
      <c r="E19" s="718"/>
      <c r="F19" s="718"/>
      <c r="G19" s="718"/>
      <c r="H19" s="718"/>
      <c r="I19" s="718"/>
      <c r="J19" s="718"/>
      <c r="K19" s="718"/>
      <c r="L19" s="718"/>
      <c r="M19" s="718"/>
      <c r="N19" s="718"/>
      <c r="O19" s="718"/>
      <c r="P19" s="718"/>
      <c r="Q19" s="718"/>
      <c r="R19" s="718"/>
      <c r="S19" s="718"/>
      <c r="T19" s="718"/>
      <c r="U19" s="718"/>
      <c r="V19" s="718"/>
      <c r="W19" s="490">
        <f>W17*12</f>
        <v>330983.40000000002</v>
      </c>
    </row>
    <row r="20" spans="1:26" s="71" customFormat="1" ht="24" customHeight="1" x14ac:dyDescent="0.25">
      <c r="A20" s="719" t="s">
        <v>50</v>
      </c>
      <c r="B20" s="719"/>
      <c r="C20" s="719"/>
      <c r="D20" s="719"/>
      <c r="E20" s="719"/>
      <c r="F20" s="719"/>
      <c r="G20" s="719"/>
      <c r="H20" s="719"/>
      <c r="I20" s="719"/>
      <c r="J20" s="719"/>
      <c r="K20" s="719"/>
      <c r="L20" s="719"/>
      <c r="M20" s="719"/>
      <c r="N20" s="719"/>
      <c r="O20" s="719"/>
      <c r="P20" s="719"/>
      <c r="Q20" s="719"/>
      <c r="R20" s="719"/>
      <c r="S20" s="719"/>
      <c r="T20" s="719"/>
      <c r="U20" s="719"/>
      <c r="V20" s="719"/>
      <c r="W20" s="719"/>
      <c r="Y20" s="724">
        <f>28810.72-W17</f>
        <v>1228.7700000000004</v>
      </c>
      <c r="Z20" s="724"/>
    </row>
    <row r="21" spans="1:26" s="60" customFormat="1" ht="12.75" x14ac:dyDescent="0.25">
      <c r="A21" s="714" t="str">
        <f>CONCATENATE("1. Nas FÉRIAS SEM SUBSTITUIÇÃO DA SERVENTE INSALUBRE, quando o trabalho de limpeza de banheiros públicos ou de grande circulação for efetuado por outra servente do quadro, deverá ser acrescentado o valor de R$",T13," por dia em que este fato ocorrer.")</f>
        <v>1. Nas FÉRIAS SEM SUBSTITUIÇÃO DA SERVENTE INSALUBRE, quando o trabalho de limpeza de banheiros públicos ou de grande circulação for efetuado por outra servente do quadro, deverá ser acrescentado o valor de R$38,48 por dia em que este fato ocorrer.</v>
      </c>
      <c r="B21" s="714"/>
      <c r="C21" s="714"/>
      <c r="D21" s="714"/>
      <c r="E21" s="714"/>
      <c r="F21" s="714"/>
      <c r="G21" s="714"/>
      <c r="H21" s="714"/>
      <c r="I21" s="714"/>
      <c r="J21" s="714"/>
      <c r="K21" s="714"/>
      <c r="L21" s="714"/>
      <c r="M21" s="714"/>
      <c r="N21" s="714"/>
      <c r="O21" s="714"/>
      <c r="P21" s="714"/>
      <c r="Q21" s="714"/>
      <c r="R21" s="714"/>
      <c r="S21" s="714"/>
      <c r="T21" s="714"/>
      <c r="U21" s="714"/>
      <c r="V21" s="714"/>
      <c r="W21" s="714"/>
    </row>
    <row r="22" spans="1:26" s="491" customFormat="1" ht="18.75" customHeight="1" x14ac:dyDescent="0.25">
      <c r="A22" s="715" t="s">
        <v>587</v>
      </c>
      <c r="B22" s="715"/>
      <c r="C22" s="715"/>
      <c r="D22" s="715"/>
      <c r="E22" s="715"/>
      <c r="F22" s="715"/>
      <c r="G22" s="715"/>
      <c r="H22" s="715"/>
      <c r="I22" s="715"/>
      <c r="J22" s="715"/>
      <c r="K22" s="715"/>
      <c r="L22" s="715"/>
      <c r="M22" s="715"/>
      <c r="N22" s="715"/>
      <c r="O22" s="715"/>
      <c r="P22" s="715"/>
      <c r="Q22" s="715"/>
      <c r="R22" s="715"/>
      <c r="S22" s="715"/>
      <c r="T22" s="715"/>
      <c r="U22" s="715"/>
      <c r="V22" s="715"/>
      <c r="W22" s="715"/>
    </row>
    <row r="23" spans="1:26" x14ac:dyDescent="0.25">
      <c r="A23" s="716"/>
      <c r="B23" s="716"/>
      <c r="C23" s="716"/>
      <c r="D23" s="716"/>
      <c r="E23" s="716"/>
      <c r="F23" s="716"/>
      <c r="G23" s="716"/>
      <c r="H23" s="716"/>
      <c r="I23" s="716"/>
      <c r="J23" s="716"/>
      <c r="K23" s="716"/>
      <c r="L23" s="716"/>
      <c r="M23" s="716"/>
      <c r="N23" s="716"/>
      <c r="O23" s="716"/>
      <c r="P23" s="716"/>
      <c r="Q23" s="716"/>
      <c r="R23" s="716"/>
      <c r="S23" s="716"/>
      <c r="T23" s="716"/>
      <c r="U23" s="716"/>
      <c r="V23" s="716"/>
      <c r="W23" s="716"/>
    </row>
    <row r="24" spans="1:26" x14ac:dyDescent="0.25">
      <c r="A24" s="716"/>
      <c r="B24" s="716"/>
      <c r="C24" s="716"/>
      <c r="D24" s="716"/>
      <c r="E24" s="716"/>
      <c r="F24" s="716"/>
      <c r="G24" s="716"/>
      <c r="H24" s="716"/>
      <c r="I24" s="716"/>
      <c r="J24" s="716"/>
      <c r="K24" s="716"/>
      <c r="L24" s="716"/>
      <c r="M24" s="716"/>
      <c r="N24" s="716"/>
      <c r="O24" s="716"/>
      <c r="P24" s="716"/>
      <c r="Q24" s="716"/>
      <c r="R24" s="716"/>
      <c r="S24" s="716"/>
      <c r="T24" s="716"/>
      <c r="U24" s="716"/>
      <c r="V24" s="716"/>
      <c r="W24" s="716"/>
    </row>
    <row r="25" spans="1:26" ht="15.75" thickBot="1" x14ac:dyDescent="0.3"/>
    <row r="26" spans="1:26" ht="15.75" x14ac:dyDescent="0.25">
      <c r="A26" s="739" t="s">
        <v>666</v>
      </c>
      <c r="B26" s="739"/>
      <c r="C26" s="739"/>
      <c r="D26" s="739"/>
      <c r="E26" s="739"/>
      <c r="F26" s="739"/>
      <c r="G26" s="739"/>
      <c r="H26" s="739"/>
    </row>
    <row r="27" spans="1:26" ht="15.75" x14ac:dyDescent="0.25">
      <c r="A27" s="740" t="s">
        <v>667</v>
      </c>
      <c r="B27" s="740"/>
      <c r="C27" s="740"/>
      <c r="D27" s="741" t="s">
        <v>668</v>
      </c>
      <c r="E27" s="742"/>
      <c r="F27" s="742"/>
      <c r="G27" s="742"/>
      <c r="H27" s="743"/>
    </row>
    <row r="28" spans="1:26" ht="15.75" x14ac:dyDescent="0.25">
      <c r="A28" s="740" t="s">
        <v>669</v>
      </c>
      <c r="B28" s="740"/>
      <c r="C28" s="740"/>
      <c r="D28" s="741" t="s">
        <v>670</v>
      </c>
      <c r="E28" s="742"/>
      <c r="F28" s="742"/>
      <c r="G28" s="742"/>
      <c r="H28" s="743"/>
    </row>
    <row r="29" spans="1:26" ht="15.75" x14ac:dyDescent="0.25">
      <c r="A29" s="740" t="s">
        <v>671</v>
      </c>
      <c r="B29" s="740"/>
      <c r="C29" s="740"/>
      <c r="D29" s="741" t="s">
        <v>672</v>
      </c>
      <c r="E29" s="742"/>
      <c r="F29" s="742"/>
      <c r="G29" s="742"/>
      <c r="H29" s="743"/>
    </row>
    <row r="30" spans="1:26" ht="15.75" x14ac:dyDescent="0.25">
      <c r="A30" s="740" t="s">
        <v>673</v>
      </c>
      <c r="B30" s="740"/>
      <c r="C30" s="740"/>
      <c r="D30" s="741" t="s">
        <v>674</v>
      </c>
      <c r="E30" s="742"/>
      <c r="F30" s="742"/>
      <c r="G30" s="742"/>
      <c r="H30" s="743"/>
    </row>
    <row r="31" spans="1:26" ht="15.75" x14ac:dyDescent="0.25">
      <c r="A31" s="740" t="s">
        <v>675</v>
      </c>
      <c r="B31" s="740"/>
      <c r="C31" s="740"/>
      <c r="D31" s="744" t="s">
        <v>676</v>
      </c>
      <c r="E31" s="745"/>
      <c r="F31" s="745"/>
      <c r="G31" s="745"/>
      <c r="H31" s="746"/>
    </row>
    <row r="32" spans="1:26" ht="16.5" thickBot="1" x14ac:dyDescent="0.3">
      <c r="A32" s="747" t="s">
        <v>677</v>
      </c>
      <c r="B32" s="747"/>
      <c r="C32" s="747"/>
      <c r="D32" s="748" t="s">
        <v>678</v>
      </c>
      <c r="E32" s="749"/>
      <c r="F32" s="749"/>
      <c r="G32" s="749"/>
      <c r="H32" s="750"/>
    </row>
    <row r="33" spans="1:8" ht="16.5" thickBot="1" x14ac:dyDescent="0.3">
      <c r="A33" s="583"/>
      <c r="B33" s="583"/>
      <c r="C33" s="583"/>
      <c r="D33" s="583"/>
      <c r="E33" s="583"/>
      <c r="F33" s="583"/>
      <c r="G33" s="583"/>
      <c r="H33" s="583"/>
    </row>
    <row r="34" spans="1:8" ht="15.75" x14ac:dyDescent="0.25">
      <c r="A34" s="739" t="s">
        <v>679</v>
      </c>
      <c r="B34" s="739"/>
      <c r="C34" s="739"/>
      <c r="D34" s="739"/>
      <c r="E34" s="739"/>
      <c r="F34" s="739"/>
      <c r="G34" s="739"/>
      <c r="H34" s="739"/>
    </row>
    <row r="35" spans="1:8" ht="15.75" x14ac:dyDescent="0.25">
      <c r="A35" s="740" t="s">
        <v>680</v>
      </c>
      <c r="B35" s="740"/>
      <c r="C35" s="740"/>
      <c r="D35" s="741" t="s">
        <v>681</v>
      </c>
      <c r="E35" s="742"/>
      <c r="F35" s="742"/>
      <c r="G35" s="742"/>
      <c r="H35" s="743"/>
    </row>
    <row r="36" spans="1:8" ht="15.75" x14ac:dyDescent="0.25">
      <c r="A36" s="740" t="s">
        <v>682</v>
      </c>
      <c r="B36" s="740"/>
      <c r="C36" s="740"/>
      <c r="D36" s="751" t="s">
        <v>683</v>
      </c>
      <c r="E36" s="752"/>
      <c r="F36" s="752"/>
      <c r="G36" s="752"/>
      <c r="H36" s="753"/>
    </row>
    <row r="37" spans="1:8" ht="15.75" x14ac:dyDescent="0.25">
      <c r="A37" s="740" t="s">
        <v>684</v>
      </c>
      <c r="B37" s="740"/>
      <c r="C37" s="740"/>
      <c r="D37" s="751" t="s">
        <v>685</v>
      </c>
      <c r="E37" s="752"/>
      <c r="F37" s="752"/>
      <c r="G37" s="752"/>
      <c r="H37" s="753"/>
    </row>
    <row r="38" spans="1:8" ht="15.75" x14ac:dyDescent="0.25">
      <c r="A38" s="740" t="s">
        <v>686</v>
      </c>
      <c r="B38" s="740"/>
      <c r="C38" s="740"/>
      <c r="D38" s="741" t="s">
        <v>687</v>
      </c>
      <c r="E38" s="742"/>
      <c r="F38" s="742"/>
      <c r="G38" s="742"/>
      <c r="H38" s="743"/>
    </row>
    <row r="39" spans="1:8" ht="15.75" x14ac:dyDescent="0.25">
      <c r="A39" s="583"/>
      <c r="B39" s="583"/>
      <c r="C39" s="583"/>
      <c r="D39" s="583"/>
      <c r="E39" s="583"/>
      <c r="F39" s="583"/>
      <c r="G39" s="583"/>
      <c r="H39" s="583"/>
    </row>
    <row r="40" spans="1:8" ht="15.75" x14ac:dyDescent="0.25">
      <c r="A40" s="583"/>
      <c r="B40" s="583"/>
      <c r="C40" s="583"/>
      <c r="D40" s="583"/>
      <c r="E40" s="583"/>
      <c r="F40" s="583"/>
      <c r="G40" s="583"/>
      <c r="H40" s="583"/>
    </row>
    <row r="41" spans="1:8" ht="15.75" x14ac:dyDescent="0.25">
      <c r="A41" s="583"/>
      <c r="B41" s="583" t="s">
        <v>690</v>
      </c>
      <c r="C41" s="583"/>
      <c r="D41" s="583"/>
      <c r="E41" s="583"/>
      <c r="F41" s="583"/>
      <c r="G41" s="583"/>
      <c r="H41" s="583"/>
    </row>
    <row r="42" spans="1:8" ht="15.75" x14ac:dyDescent="0.25">
      <c r="A42" s="583"/>
      <c r="B42" s="583"/>
      <c r="C42" s="583"/>
      <c r="D42" s="583"/>
      <c r="E42" s="583"/>
      <c r="F42" s="583"/>
      <c r="G42" s="583"/>
      <c r="H42" s="583"/>
    </row>
    <row r="43" spans="1:8" ht="15.75" x14ac:dyDescent="0.25">
      <c r="A43" s="583"/>
      <c r="B43" s="583"/>
      <c r="C43" s="583"/>
      <c r="D43" s="583"/>
      <c r="E43" s="583"/>
      <c r="F43" s="583"/>
      <c r="G43" s="583"/>
      <c r="H43" s="583"/>
    </row>
    <row r="44" spans="1:8" ht="15.75" x14ac:dyDescent="0.25">
      <c r="A44" s="583"/>
      <c r="B44" s="583"/>
      <c r="C44" s="583"/>
      <c r="D44" s="583"/>
      <c r="E44" s="583"/>
      <c r="F44" s="583"/>
      <c r="G44" s="583"/>
      <c r="H44" s="583"/>
    </row>
    <row r="45" spans="1:8" ht="15.75" x14ac:dyDescent="0.25">
      <c r="A45" s="583"/>
      <c r="B45" s="583"/>
      <c r="C45" s="583"/>
      <c r="D45" s="583"/>
      <c r="E45" s="583"/>
      <c r="F45" s="583"/>
      <c r="G45" s="583"/>
      <c r="H45" s="583"/>
    </row>
    <row r="46" spans="1:8" ht="15.75" x14ac:dyDescent="0.25">
      <c r="A46" s="583"/>
      <c r="B46" s="583"/>
      <c r="C46" s="583"/>
      <c r="D46" s="583"/>
      <c r="E46" s="583"/>
      <c r="F46" s="583"/>
      <c r="G46" s="583"/>
      <c r="H46" s="583"/>
    </row>
    <row r="47" spans="1:8" ht="15.75" x14ac:dyDescent="0.25">
      <c r="A47" s="583"/>
      <c r="B47" s="583"/>
      <c r="C47" s="583"/>
      <c r="D47" s="583"/>
      <c r="E47" s="583"/>
      <c r="F47" s="583"/>
      <c r="G47" s="583"/>
      <c r="H47" s="583"/>
    </row>
    <row r="48" spans="1:8" ht="15.75" x14ac:dyDescent="0.25">
      <c r="A48" s="583"/>
      <c r="B48" s="583"/>
      <c r="C48" s="583"/>
      <c r="D48" s="583"/>
      <c r="E48" s="584" t="s">
        <v>688</v>
      </c>
      <c r="F48" s="584"/>
      <c r="G48" s="584"/>
      <c r="H48" s="583"/>
    </row>
    <row r="49" spans="1:8" ht="15.75" x14ac:dyDescent="0.25">
      <c r="A49" s="583"/>
      <c r="B49" s="583"/>
      <c r="C49" s="583"/>
      <c r="D49" s="583"/>
      <c r="E49" s="584" t="s">
        <v>689</v>
      </c>
      <c r="F49" s="584"/>
      <c r="G49" s="584"/>
      <c r="H49" s="583"/>
    </row>
    <row r="50" spans="1:8" ht="15.75" x14ac:dyDescent="0.25">
      <c r="A50" s="583"/>
      <c r="B50" s="583"/>
      <c r="C50" s="583"/>
      <c r="D50" s="583"/>
      <c r="E50" s="584" t="s">
        <v>687</v>
      </c>
      <c r="F50" s="584"/>
      <c r="G50" s="584"/>
      <c r="H50" s="583"/>
    </row>
    <row r="51" spans="1:8" ht="15.75" x14ac:dyDescent="0.25">
      <c r="A51" s="583"/>
      <c r="B51" s="583"/>
      <c r="C51" s="583"/>
      <c r="D51" s="583"/>
      <c r="E51" s="583"/>
      <c r="F51" s="583"/>
      <c r="G51" s="583"/>
      <c r="H51" s="583"/>
    </row>
  </sheetData>
  <mergeCells count="53">
    <mergeCell ref="A36:C36"/>
    <mergeCell ref="D36:H36"/>
    <mergeCell ref="A37:C37"/>
    <mergeCell ref="D37:H37"/>
    <mergeCell ref="A38:C38"/>
    <mergeCell ref="D38:H38"/>
    <mergeCell ref="A32:C32"/>
    <mergeCell ref="D32:H32"/>
    <mergeCell ref="A34:H34"/>
    <mergeCell ref="A35:C35"/>
    <mergeCell ref="D35:H35"/>
    <mergeCell ref="A29:C29"/>
    <mergeCell ref="D29:H29"/>
    <mergeCell ref="A30:C30"/>
    <mergeCell ref="D30:H30"/>
    <mergeCell ref="A31:C31"/>
    <mergeCell ref="D31:H31"/>
    <mergeCell ref="A26:H26"/>
    <mergeCell ref="A27:C27"/>
    <mergeCell ref="D27:H27"/>
    <mergeCell ref="A28:C28"/>
    <mergeCell ref="D28:H28"/>
    <mergeCell ref="Y20:Z20"/>
    <mergeCell ref="A4:W4"/>
    <mergeCell ref="A5:W5"/>
    <mergeCell ref="A6:W6"/>
    <mergeCell ref="S7:W7"/>
    <mergeCell ref="A8:A11"/>
    <mergeCell ref="B8:C10"/>
    <mergeCell ref="D8:V8"/>
    <mergeCell ref="W8:W11"/>
    <mergeCell ref="D9:F9"/>
    <mergeCell ref="G9:I9"/>
    <mergeCell ref="J9:O9"/>
    <mergeCell ref="P9:R9"/>
    <mergeCell ref="T9:V9"/>
    <mergeCell ref="D10:F10"/>
    <mergeCell ref="G10:G11"/>
    <mergeCell ref="T10:V10"/>
    <mergeCell ref="A21:W21"/>
    <mergeCell ref="A22:W22"/>
    <mergeCell ref="A23:W23"/>
    <mergeCell ref="A24:W24"/>
    <mergeCell ref="A12:A15"/>
    <mergeCell ref="A17:C17"/>
    <mergeCell ref="A18:V18"/>
    <mergeCell ref="A19:V19"/>
    <mergeCell ref="A20:W20"/>
    <mergeCell ref="H10:I10"/>
    <mergeCell ref="J10:L10"/>
    <mergeCell ref="M10:O10"/>
    <mergeCell ref="P10:R10"/>
    <mergeCell ref="S10:S11"/>
  </mergeCells>
  <hyperlinks>
    <hyperlink ref="D32" r:id="rId1" display="COMERCIAL@VILLAGESERVICOS.COM.BR" xr:uid="{B84E13E8-754D-4A70-B173-9B26C4D20CBB}"/>
    <hyperlink ref="D31" r:id="rId2" xr:uid="{FF2EADB7-3C28-40A3-B1EF-3B88DEA596C1}"/>
  </hyperlinks>
  <printOptions horizontalCentered="1" verticalCentered="1"/>
  <pageMargins left="0.51181102362204722" right="0.51181102362204722" top="0.78740157480314965" bottom="0.78740157480314965" header="0.51181102362204722" footer="0.51181102362204722"/>
  <pageSetup paperSize="9" scale="29" firstPageNumber="0" fitToHeight="2" orientation="portrait"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MK33"/>
  <sheetViews>
    <sheetView showGridLines="0" topLeftCell="A13" zoomScaleNormal="100" workbookViewId="0">
      <selection activeCell="O9" sqref="O9"/>
    </sheetView>
  </sheetViews>
  <sheetFormatPr defaultRowHeight="15" x14ac:dyDescent="0.25"/>
  <cols>
    <col min="1" max="1" width="7.28515625" style="71" customWidth="1"/>
    <col min="2" max="3" width="9.140625" style="71" customWidth="1"/>
    <col min="4" max="4" width="33" style="71" customWidth="1"/>
    <col min="5" max="5" width="9.42578125" style="71" customWidth="1"/>
    <col min="6" max="6" width="12.42578125" style="71" customWidth="1"/>
    <col min="7" max="8" width="8.85546875" style="71" customWidth="1"/>
    <col min="9" max="9" width="8.140625" style="71" customWidth="1"/>
    <col min="10" max="10" width="12.7109375" style="71" customWidth="1"/>
    <col min="11" max="1025" width="9.140625" style="71" customWidth="1"/>
  </cols>
  <sheetData>
    <row r="1" spans="1:14" x14ac:dyDescent="0.25">
      <c r="A1" s="99"/>
      <c r="B1" s="100" t="str">
        <f>INSTRUÇÕES!B1</f>
        <v>Tribunal Regional Federal da 6ª Região</v>
      </c>
      <c r="C1" s="100"/>
      <c r="D1" s="100"/>
      <c r="E1" s="100"/>
      <c r="F1" s="100"/>
      <c r="G1" s="100"/>
      <c r="H1" s="100"/>
      <c r="I1" s="100"/>
      <c r="J1" s="170"/>
    </row>
    <row r="2" spans="1:14" x14ac:dyDescent="0.25">
      <c r="A2" s="101"/>
      <c r="B2" s="102" t="str">
        <f>INSTRUÇÕES!B2</f>
        <v>Seção Judiciária de Minas Gerais</v>
      </c>
      <c r="C2" s="102"/>
      <c r="D2" s="102"/>
      <c r="E2" s="102"/>
      <c r="F2" s="102"/>
      <c r="G2" s="102"/>
      <c r="H2" s="102"/>
      <c r="I2" s="102"/>
      <c r="J2" s="172"/>
    </row>
    <row r="3" spans="1:14" x14ac:dyDescent="0.25">
      <c r="A3" s="101"/>
      <c r="B3" s="71" t="str">
        <f>INSTRUÇÕES!B3</f>
        <v>Subseção Judiciária de Montes Claros</v>
      </c>
      <c r="C3" s="358"/>
      <c r="D3" s="358"/>
      <c r="E3" s="358"/>
      <c r="F3" s="358"/>
      <c r="G3" s="358"/>
      <c r="H3" s="358"/>
      <c r="I3" s="358"/>
      <c r="J3" s="492"/>
    </row>
    <row r="4" spans="1:14" s="260" customFormat="1" ht="31.5" customHeight="1" x14ac:dyDescent="0.25">
      <c r="A4" s="765" t="s">
        <v>588</v>
      </c>
      <c r="B4" s="765"/>
      <c r="C4" s="765"/>
      <c r="D4" s="765"/>
      <c r="E4" s="765"/>
      <c r="F4" s="765"/>
      <c r="G4" s="765"/>
      <c r="H4" s="765"/>
      <c r="I4" s="765"/>
      <c r="J4" s="765"/>
      <c r="K4" s="493"/>
      <c r="L4" s="493"/>
      <c r="M4" s="493"/>
      <c r="N4" s="493"/>
    </row>
    <row r="5" spans="1:14" s="498" customFormat="1" ht="41.25" customHeight="1" x14ac:dyDescent="0.25">
      <c r="A5" s="766" t="s">
        <v>589</v>
      </c>
      <c r="B5" s="766"/>
      <c r="C5" s="766"/>
      <c r="D5" s="766"/>
      <c r="E5" s="767" t="s">
        <v>538</v>
      </c>
      <c r="F5" s="494" t="str">
        <f>Dados!C7</f>
        <v>Servente de Limpeza 40% Insalubridade</v>
      </c>
      <c r="G5" s="495" t="str">
        <f>Dados!C8</f>
        <v>Servente de Limpeza  ac. Copeira</v>
      </c>
      <c r="H5" s="496" t="str">
        <f>Dados!C9</f>
        <v>Servente de Limpeza</v>
      </c>
      <c r="I5" s="495" t="str">
        <f>Dados!C10</f>
        <v>Porteiro</v>
      </c>
      <c r="J5" s="497" t="str">
        <f>Dados!C11</f>
        <v>Auxiliar Administrativo</v>
      </c>
    </row>
    <row r="6" spans="1:14" s="111" customFormat="1" ht="22.5" customHeight="1" x14ac:dyDescent="0.2">
      <c r="A6" s="499" t="s">
        <v>590</v>
      </c>
      <c r="B6" s="768" t="s">
        <v>335</v>
      </c>
      <c r="C6" s="768"/>
      <c r="D6" s="768"/>
      <c r="E6" s="767"/>
      <c r="F6" s="769" t="s">
        <v>591</v>
      </c>
      <c r="G6" s="769"/>
      <c r="H6" s="769"/>
      <c r="I6" s="769"/>
      <c r="J6" s="769"/>
    </row>
    <row r="7" spans="1:14" ht="14.25" customHeight="1" x14ac:dyDescent="0.25">
      <c r="A7" s="500">
        <v>1</v>
      </c>
      <c r="B7" s="762" t="s">
        <v>592</v>
      </c>
      <c r="C7" s="762"/>
      <c r="D7" s="762"/>
      <c r="E7" s="762"/>
      <c r="F7" s="501">
        <f>Dados!M7</f>
        <v>1615.6399999999999</v>
      </c>
      <c r="G7" s="501">
        <f>Dados!M8</f>
        <v>1443.1499999999999</v>
      </c>
      <c r="H7" s="501">
        <f>Dados!M9</f>
        <v>1401.12</v>
      </c>
      <c r="I7" s="501">
        <f>Dados!M10</f>
        <v>1360.32</v>
      </c>
      <c r="J7" s="502">
        <f>Dados!M11</f>
        <v>1305</v>
      </c>
    </row>
    <row r="8" spans="1:14" x14ac:dyDescent="0.25">
      <c r="A8" s="503" t="s">
        <v>593</v>
      </c>
      <c r="B8" s="763" t="s">
        <v>336</v>
      </c>
      <c r="C8" s="763"/>
      <c r="D8" s="763"/>
      <c r="E8" s="373">
        <f>Encargos!C39</f>
        <v>9.0899999999999995E-2</v>
      </c>
      <c r="F8" s="504">
        <f>ROUND(F7*$E$8,2)</f>
        <v>146.86000000000001</v>
      </c>
      <c r="G8" s="504">
        <f>ROUND(G7*$E$8,2)</f>
        <v>131.18</v>
      </c>
      <c r="H8" s="504">
        <f>ROUND(H7*$E$8,2)</f>
        <v>127.36</v>
      </c>
      <c r="I8" s="504">
        <f>ROUND(I7*$E$8,2)</f>
        <v>123.65</v>
      </c>
      <c r="J8" s="505">
        <f>ROUND(J7*$E$8,2)</f>
        <v>118.62</v>
      </c>
    </row>
    <row r="9" spans="1:14" x14ac:dyDescent="0.25">
      <c r="A9" s="376" t="s">
        <v>594</v>
      </c>
      <c r="B9" s="760" t="s">
        <v>342</v>
      </c>
      <c r="C9" s="760"/>
      <c r="D9" s="760"/>
      <c r="E9" s="506">
        <f>E8*Encargos!C18</f>
        <v>3.1996800000000006E-2</v>
      </c>
      <c r="F9" s="507">
        <f>ROUND(F7*$E$9,2)</f>
        <v>51.7</v>
      </c>
      <c r="G9" s="507">
        <f>ROUND(G7*$E$9,2)</f>
        <v>46.18</v>
      </c>
      <c r="H9" s="507">
        <f>ROUND(H7*$E$9,2)</f>
        <v>44.83</v>
      </c>
      <c r="I9" s="507">
        <f>ROUND(I7*$E$9,2)</f>
        <v>43.53</v>
      </c>
      <c r="J9" s="508">
        <f>ROUND(J7*$E$9,2)</f>
        <v>41.76</v>
      </c>
    </row>
    <row r="10" spans="1:14" ht="12.75" customHeight="1" x14ac:dyDescent="0.25">
      <c r="A10" s="764" t="s">
        <v>595</v>
      </c>
      <c r="B10" s="764"/>
      <c r="C10" s="764"/>
      <c r="D10" s="764"/>
      <c r="E10" s="509">
        <f t="shared" ref="E10:J10" si="0">SUM(E8:E9)</f>
        <v>0.1228968</v>
      </c>
      <c r="F10" s="510">
        <f t="shared" si="0"/>
        <v>198.56</v>
      </c>
      <c r="G10" s="510">
        <f t="shared" si="0"/>
        <v>177.36</v>
      </c>
      <c r="H10" s="510">
        <f t="shared" si="0"/>
        <v>172.19</v>
      </c>
      <c r="I10" s="510">
        <f t="shared" si="0"/>
        <v>167.18</v>
      </c>
      <c r="J10" s="511">
        <f t="shared" si="0"/>
        <v>160.38</v>
      </c>
    </row>
    <row r="11" spans="1:14" ht="12.75" customHeight="1" x14ac:dyDescent="0.25">
      <c r="A11" s="764" t="s">
        <v>596</v>
      </c>
      <c r="B11" s="764"/>
      <c r="C11" s="764"/>
      <c r="D11" s="764"/>
      <c r="E11" s="764"/>
      <c r="F11" s="510">
        <f>F10*12</f>
        <v>2382.7200000000003</v>
      </c>
      <c r="G11" s="510">
        <f>G10*12</f>
        <v>2128.3200000000002</v>
      </c>
      <c r="H11" s="510">
        <f>H10*12</f>
        <v>2066.2799999999997</v>
      </c>
      <c r="I11" s="510">
        <f>I10*12</f>
        <v>2006.16</v>
      </c>
      <c r="J11" s="511">
        <f>J10*12</f>
        <v>1924.56</v>
      </c>
    </row>
    <row r="12" spans="1:14" x14ac:dyDescent="0.25">
      <c r="A12" s="512">
        <v>2</v>
      </c>
      <c r="B12" s="513" t="s">
        <v>597</v>
      </c>
      <c r="C12" s="513"/>
      <c r="D12" s="513"/>
      <c r="E12" s="513"/>
      <c r="F12" s="759" t="s">
        <v>462</v>
      </c>
      <c r="G12" s="759"/>
      <c r="H12" s="759"/>
      <c r="I12" s="759"/>
      <c r="J12" s="759"/>
    </row>
    <row r="13" spans="1:14" x14ac:dyDescent="0.25">
      <c r="A13" s="376" t="s">
        <v>593</v>
      </c>
      <c r="B13" s="760" t="s">
        <v>598</v>
      </c>
      <c r="C13" s="760"/>
      <c r="D13" s="760"/>
      <c r="E13" s="514"/>
      <c r="F13" s="515">
        <f>'Serv Ins'!$F$23</f>
        <v>0</v>
      </c>
      <c r="G13" s="515">
        <f>'Serv Copeira'!$F$23</f>
        <v>479.42</v>
      </c>
      <c r="H13" s="515">
        <f>Serv!F23</f>
        <v>479.42</v>
      </c>
      <c r="I13" s="515">
        <f>Porteiro!$F$23</f>
        <v>0</v>
      </c>
      <c r="J13" s="38">
        <f>'Auxiliar Adm'!$F$23</f>
        <v>0</v>
      </c>
    </row>
    <row r="14" spans="1:14" x14ac:dyDescent="0.25">
      <c r="A14" s="376" t="s">
        <v>599</v>
      </c>
      <c r="B14" s="760" t="s">
        <v>600</v>
      </c>
      <c r="C14" s="760"/>
      <c r="D14" s="760"/>
      <c r="E14" s="514"/>
      <c r="F14" s="515">
        <f>'Serv Ins'!$F$22</f>
        <v>123.95</v>
      </c>
      <c r="G14" s="515">
        <f>'Serv Copeira'!$F$22</f>
        <v>102.93</v>
      </c>
      <c r="H14" s="515">
        <f>Serv!F22</f>
        <v>102.93</v>
      </c>
      <c r="I14" s="515">
        <f>Porteiro!$F$22</f>
        <v>105.38</v>
      </c>
      <c r="J14" s="38">
        <f>'Auxiliar Adm'!$F$22</f>
        <v>108.7</v>
      </c>
    </row>
    <row r="15" spans="1:14" x14ac:dyDescent="0.25">
      <c r="A15" s="376" t="s">
        <v>601</v>
      </c>
      <c r="B15" s="514" t="s">
        <v>602</v>
      </c>
      <c r="C15" s="514"/>
      <c r="D15" s="514"/>
      <c r="E15" s="514"/>
      <c r="F15" s="515">
        <v>0</v>
      </c>
      <c r="G15" s="515">
        <v>0</v>
      </c>
      <c r="H15" s="515">
        <v>0</v>
      </c>
      <c r="I15" s="515">
        <v>0</v>
      </c>
      <c r="J15" s="38">
        <v>0</v>
      </c>
    </row>
    <row r="16" spans="1:14" x14ac:dyDescent="0.25">
      <c r="A16" s="754" t="s">
        <v>603</v>
      </c>
      <c r="B16" s="754"/>
      <c r="C16" s="754"/>
      <c r="D16" s="754"/>
      <c r="E16" s="754"/>
      <c r="F16" s="516">
        <f>SUM(F13:F15)</f>
        <v>123.95</v>
      </c>
      <c r="G16" s="516">
        <f>SUM(G13:G15)</f>
        <v>582.35</v>
      </c>
      <c r="H16" s="516">
        <f>SUM(H13:H15)</f>
        <v>582.35</v>
      </c>
      <c r="I16" s="516">
        <f>SUM(I13:I15)</f>
        <v>105.38</v>
      </c>
      <c r="J16" s="517">
        <f>SUM(J13:J15)</f>
        <v>108.7</v>
      </c>
    </row>
    <row r="17" spans="1:10" ht="12.75" customHeight="1" x14ac:dyDescent="0.25">
      <c r="A17" s="512">
        <v>5</v>
      </c>
      <c r="B17" s="761" t="s">
        <v>604</v>
      </c>
      <c r="C17" s="761"/>
      <c r="D17" s="761"/>
      <c r="E17" s="518" t="s">
        <v>538</v>
      </c>
      <c r="F17" s="759" t="s">
        <v>462</v>
      </c>
      <c r="G17" s="759"/>
      <c r="H17" s="759"/>
      <c r="I17" s="759"/>
      <c r="J17" s="759"/>
    </row>
    <row r="18" spans="1:10" ht="12.75" customHeight="1" x14ac:dyDescent="0.25">
      <c r="A18" s="376" t="s">
        <v>593</v>
      </c>
      <c r="B18" s="704" t="s">
        <v>605</v>
      </c>
      <c r="C18" s="704"/>
      <c r="D18" s="704"/>
      <c r="E18" s="519">
        <f>Dados!$G$44</f>
        <v>0.03</v>
      </c>
      <c r="F18" s="520">
        <f>ROUND(($E$18*F31),2)</f>
        <v>75.2</v>
      </c>
      <c r="G18" s="520">
        <f>ROUND(($E$18*G31),2)</f>
        <v>81.319999999999993</v>
      </c>
      <c r="H18" s="520">
        <f>ROUND(($E$18*H31),2)</f>
        <v>79.459999999999994</v>
      </c>
      <c r="I18" s="520">
        <f>ROUND(($E$18*I31),2)</f>
        <v>63.35</v>
      </c>
      <c r="J18" s="521">
        <f>ROUND(($E$18*J31),2)</f>
        <v>61</v>
      </c>
    </row>
    <row r="19" spans="1:10" ht="12.75" customHeight="1" x14ac:dyDescent="0.25">
      <c r="A19" s="376" t="s">
        <v>599</v>
      </c>
      <c r="B19" s="704" t="s">
        <v>244</v>
      </c>
      <c r="C19" s="704"/>
      <c r="D19" s="704"/>
      <c r="E19" s="519">
        <f>Dados!$G$45</f>
        <v>6.7900000000000002E-2</v>
      </c>
      <c r="F19" s="520">
        <f>ROUND(($E$19*(F18+F31)),2)</f>
        <v>175.31</v>
      </c>
      <c r="G19" s="520">
        <f>ROUND(($E$19*(G18+G31)),2)</f>
        <v>189.58</v>
      </c>
      <c r="H19" s="520">
        <f>ROUND(($E$19*(H18+H31)),2)</f>
        <v>185.24</v>
      </c>
      <c r="I19" s="520">
        <f>ROUND(($E$19*(I18+I31)),2)</f>
        <v>147.68</v>
      </c>
      <c r="J19" s="521">
        <f>ROUND(($E$19*(J18+J31)),2)</f>
        <v>142.19999999999999</v>
      </c>
    </row>
    <row r="20" spans="1:10" ht="12.75" customHeight="1" x14ac:dyDescent="0.25">
      <c r="A20" s="522" t="s">
        <v>601</v>
      </c>
      <c r="B20" s="758" t="s">
        <v>606</v>
      </c>
      <c r="C20" s="758"/>
      <c r="D20" s="758"/>
      <c r="E20" s="523">
        <f>SUM(E21:E24)</f>
        <v>6.7290000000000003E-2</v>
      </c>
      <c r="F20" s="524">
        <f>ROUND((((F31+F18+F19)/(1-$E$20))-(F31+F18+F19)),2)</f>
        <v>198.92</v>
      </c>
      <c r="G20" s="524">
        <f>ROUND((((G31+G18+G19)/(1-$E$20))-(G31+G18+G19)),2)</f>
        <v>215.1</v>
      </c>
      <c r="H20" s="524">
        <f>ROUND((((H31+H18+H19)/(1-$E$20))-(H31+H18+H19)),2)</f>
        <v>210.18</v>
      </c>
      <c r="I20" s="524">
        <f>ROUND((((I31+I18+I19)/(1-$E$20))-(I31+I18+I19)),2)</f>
        <v>167.56</v>
      </c>
      <c r="J20" s="525">
        <f>ROUND((((J31+J18+J19)/(1-$E$20))-(J31+J18+J19)),2)</f>
        <v>161.35</v>
      </c>
    </row>
    <row r="21" spans="1:10" ht="12.75" customHeight="1" x14ac:dyDescent="0.25">
      <c r="A21" s="526" t="s">
        <v>607</v>
      </c>
      <c r="B21" s="704" t="s">
        <v>608</v>
      </c>
      <c r="C21" s="704"/>
      <c r="D21" s="704"/>
      <c r="E21" s="519">
        <f>Dados!G52+Dados!G53</f>
        <v>3.7290000000000004E-2</v>
      </c>
      <c r="F21" s="520">
        <f>ROUND($E$21*F33,2)</f>
        <v>110.23</v>
      </c>
      <c r="G21" s="520">
        <f>ROUND($E$21*G33,2)</f>
        <v>119.2</v>
      </c>
      <c r="H21" s="520">
        <f>ROUND($E$21*H33,2)</f>
        <v>116.48</v>
      </c>
      <c r="I21" s="520">
        <f>ROUND($E$21*I33,2)</f>
        <v>92.86</v>
      </c>
      <c r="J21" s="521">
        <f>ROUND($E$21*J33,2)</f>
        <v>89.41</v>
      </c>
    </row>
    <row r="22" spans="1:10" ht="12.75" customHeight="1" x14ac:dyDescent="0.25">
      <c r="A22" s="376" t="s">
        <v>609</v>
      </c>
      <c r="B22" s="704" t="s">
        <v>610</v>
      </c>
      <c r="C22" s="704"/>
      <c r="D22" s="704"/>
      <c r="E22" s="519">
        <v>0</v>
      </c>
      <c r="F22" s="520">
        <f>ROUND($E$22*F33,2)</f>
        <v>0</v>
      </c>
      <c r="G22" s="520">
        <f>ROUND($E$22*G33,2)</f>
        <v>0</v>
      </c>
      <c r="H22" s="520">
        <f>ROUND($E$22*H33,2)</f>
        <v>0</v>
      </c>
      <c r="I22" s="520">
        <f>ROUND($E$22*I33,2)</f>
        <v>0</v>
      </c>
      <c r="J22" s="521">
        <f>ROUND($E$22*J33,2)</f>
        <v>0</v>
      </c>
    </row>
    <row r="23" spans="1:10" ht="12.75" customHeight="1" x14ac:dyDescent="0.25">
      <c r="A23" s="376" t="s">
        <v>611</v>
      </c>
      <c r="B23" s="704" t="s">
        <v>612</v>
      </c>
      <c r="C23" s="704"/>
      <c r="D23" s="704"/>
      <c r="E23" s="519">
        <f>Dados!G54</f>
        <v>0.03</v>
      </c>
      <c r="F23" s="520">
        <f>ROUND($E$23*F33,2)</f>
        <v>88.68</v>
      </c>
      <c r="G23" s="520">
        <f>ROUND($E$23*G33,2)</f>
        <v>95.9</v>
      </c>
      <c r="H23" s="520">
        <f>ROUND($E$23*H33,2)</f>
        <v>93.71</v>
      </c>
      <c r="I23" s="520">
        <f>ROUND($E$23*I33,2)</f>
        <v>74.7</v>
      </c>
      <c r="J23" s="521">
        <f>ROUND($E$23*J33,2)</f>
        <v>71.930000000000007</v>
      </c>
    </row>
    <row r="24" spans="1:10" x14ac:dyDescent="0.25">
      <c r="A24" s="376" t="s">
        <v>613</v>
      </c>
      <c r="B24" s="704" t="str">
        <f>Dados!B55</f>
        <v>Outros (inserir somente com a justificativa legal)</v>
      </c>
      <c r="C24" s="704"/>
      <c r="D24" s="704"/>
      <c r="E24" s="519">
        <f>Dados!G55</f>
        <v>0</v>
      </c>
      <c r="F24" s="520">
        <f>ROUND($E$24*F33,2)</f>
        <v>0</v>
      </c>
      <c r="G24" s="520">
        <f>ROUND($E$24*G33,2)</f>
        <v>0</v>
      </c>
      <c r="H24" s="520">
        <f>ROUND($E$24*H33,2)</f>
        <v>0</v>
      </c>
      <c r="I24" s="520">
        <f>ROUND($E$24*I33,2)</f>
        <v>0</v>
      </c>
      <c r="J24" s="521">
        <f>ROUND($E$24*J33,2)</f>
        <v>0</v>
      </c>
    </row>
    <row r="25" spans="1:10" x14ac:dyDescent="0.25">
      <c r="A25" s="527" t="s">
        <v>614</v>
      </c>
      <c r="B25" s="366"/>
      <c r="C25" s="366"/>
      <c r="D25" s="366"/>
      <c r="E25" s="366"/>
      <c r="F25" s="528">
        <f>SUM(F18:F20)</f>
        <v>449.42999999999995</v>
      </c>
      <c r="G25" s="528">
        <f>SUM(G18:G20)</f>
        <v>486</v>
      </c>
      <c r="H25" s="528">
        <f>SUM(H18:H20)</f>
        <v>474.88</v>
      </c>
      <c r="I25" s="528">
        <f>SUM(I18:I20)</f>
        <v>378.59000000000003</v>
      </c>
      <c r="J25" s="529">
        <f>SUM(J18:J20)</f>
        <v>364.54999999999995</v>
      </c>
    </row>
    <row r="26" spans="1:10" ht="19.5" customHeight="1" x14ac:dyDescent="0.25">
      <c r="A26" s="755" t="s">
        <v>615</v>
      </c>
      <c r="B26" s="755"/>
      <c r="C26" s="755"/>
      <c r="D26" s="755"/>
      <c r="E26" s="755"/>
      <c r="F26" s="755"/>
      <c r="G26" s="755"/>
      <c r="H26" s="755"/>
      <c r="I26" s="755"/>
      <c r="J26" s="755"/>
    </row>
    <row r="27" spans="1:10" ht="18" customHeight="1" x14ac:dyDescent="0.25">
      <c r="A27" s="756" t="s">
        <v>616</v>
      </c>
      <c r="B27" s="756"/>
      <c r="C27" s="756"/>
      <c r="D27" s="756"/>
      <c r="E27" s="756"/>
      <c r="F27" s="756"/>
      <c r="G27" s="756"/>
      <c r="H27" s="756"/>
      <c r="I27" s="756"/>
      <c r="J27" s="756"/>
    </row>
    <row r="28" spans="1:10" ht="14.25" customHeight="1" x14ac:dyDescent="0.25">
      <c r="A28" s="530" t="s">
        <v>617</v>
      </c>
      <c r="B28" s="531"/>
      <c r="C28" s="531"/>
      <c r="D28" s="531"/>
      <c r="E28" s="531"/>
      <c r="F28" s="757" t="s">
        <v>462</v>
      </c>
      <c r="G28" s="757"/>
      <c r="H28" s="757"/>
      <c r="I28" s="757"/>
      <c r="J28" s="757"/>
    </row>
    <row r="29" spans="1:10" x14ac:dyDescent="0.25">
      <c r="A29" s="376" t="s">
        <v>593</v>
      </c>
      <c r="B29" s="514" t="s">
        <v>618</v>
      </c>
      <c r="C29" s="514"/>
      <c r="D29" s="514"/>
      <c r="E29" s="514"/>
      <c r="F29" s="532">
        <f>F11</f>
        <v>2382.7200000000003</v>
      </c>
      <c r="G29" s="532">
        <f>G11</f>
        <v>2128.3200000000002</v>
      </c>
      <c r="H29" s="532">
        <f>H11</f>
        <v>2066.2799999999997</v>
      </c>
      <c r="I29" s="532">
        <f>I11</f>
        <v>2006.16</v>
      </c>
      <c r="J29" s="533">
        <f>J11</f>
        <v>1924.56</v>
      </c>
    </row>
    <row r="30" spans="1:10" x14ac:dyDescent="0.25">
      <c r="A30" s="376" t="s">
        <v>599</v>
      </c>
      <c r="B30" s="514" t="s">
        <v>597</v>
      </c>
      <c r="C30" s="514"/>
      <c r="D30" s="514"/>
      <c r="E30" s="514"/>
      <c r="F30" s="532">
        <f>F16</f>
        <v>123.95</v>
      </c>
      <c r="G30" s="532">
        <f>G16</f>
        <v>582.35</v>
      </c>
      <c r="H30" s="532">
        <f>H16</f>
        <v>582.35</v>
      </c>
      <c r="I30" s="532">
        <f>I16</f>
        <v>105.38</v>
      </c>
      <c r="J30" s="533">
        <f>J16</f>
        <v>108.7</v>
      </c>
    </row>
    <row r="31" spans="1:10" x14ac:dyDescent="0.25">
      <c r="A31" s="754" t="s">
        <v>619</v>
      </c>
      <c r="B31" s="754"/>
      <c r="C31" s="754"/>
      <c r="D31" s="754"/>
      <c r="E31" s="534"/>
      <c r="F31" s="535">
        <f>SUM(F29:F30)</f>
        <v>2506.67</v>
      </c>
      <c r="G31" s="535">
        <f>SUM(G29:G30)</f>
        <v>2710.67</v>
      </c>
      <c r="H31" s="535">
        <f>SUM(H29:H30)</f>
        <v>2648.6299999999997</v>
      </c>
      <c r="I31" s="535">
        <f>SUM(I29:I30)</f>
        <v>2111.54</v>
      </c>
      <c r="J31" s="536">
        <f>SUM(J29:J30)</f>
        <v>2033.26</v>
      </c>
    </row>
    <row r="32" spans="1:10" x14ac:dyDescent="0.25">
      <c r="A32" s="361" t="s">
        <v>620</v>
      </c>
      <c r="B32" s="537" t="s">
        <v>621</v>
      </c>
      <c r="C32" s="537"/>
      <c r="D32" s="537"/>
      <c r="E32" s="537"/>
      <c r="F32" s="538">
        <f>F25</f>
        <v>449.42999999999995</v>
      </c>
      <c r="G32" s="538">
        <f>G25</f>
        <v>486</v>
      </c>
      <c r="H32" s="538">
        <f>H25</f>
        <v>474.88</v>
      </c>
      <c r="I32" s="538">
        <f>I25</f>
        <v>378.59000000000003</v>
      </c>
      <c r="J32" s="539">
        <f>J25</f>
        <v>364.54999999999995</v>
      </c>
    </row>
    <row r="33" spans="1:10" ht="19.5" customHeight="1" x14ac:dyDescent="0.25">
      <c r="A33" s="540" t="s">
        <v>622</v>
      </c>
      <c r="B33" s="541"/>
      <c r="C33" s="541"/>
      <c r="D33" s="541"/>
      <c r="E33" s="541"/>
      <c r="F33" s="542">
        <f>SUM(F31:F32)</f>
        <v>2956.1</v>
      </c>
      <c r="G33" s="542">
        <f>SUM(G31:G32)</f>
        <v>3196.67</v>
      </c>
      <c r="H33" s="542">
        <f>SUM(H31:H32)</f>
        <v>3123.5099999999998</v>
      </c>
      <c r="I33" s="542">
        <f>SUM(I31:I32)</f>
        <v>2490.13</v>
      </c>
      <c r="J33" s="543">
        <f>SUM(J31:J32)</f>
        <v>2397.81</v>
      </c>
    </row>
  </sheetData>
  <sheetProtection sheet="1" objects="1" scenarios="1"/>
  <mergeCells count="27">
    <mergeCell ref="A4:J4"/>
    <mergeCell ref="A5:D5"/>
    <mergeCell ref="E5:E6"/>
    <mergeCell ref="B6:D6"/>
    <mergeCell ref="F6:J6"/>
    <mergeCell ref="B7:E7"/>
    <mergeCell ref="B8:D8"/>
    <mergeCell ref="B9:D9"/>
    <mergeCell ref="A10:D10"/>
    <mergeCell ref="A11:E11"/>
    <mergeCell ref="F12:J12"/>
    <mergeCell ref="B13:D13"/>
    <mergeCell ref="B14:D14"/>
    <mergeCell ref="A16:E16"/>
    <mergeCell ref="B17:D17"/>
    <mergeCell ref="F17:J17"/>
    <mergeCell ref="B18:D18"/>
    <mergeCell ref="B19:D19"/>
    <mergeCell ref="B20:D20"/>
    <mergeCell ref="B21:D21"/>
    <mergeCell ref="B22:D22"/>
    <mergeCell ref="A31:D31"/>
    <mergeCell ref="B23:D23"/>
    <mergeCell ref="B24:D24"/>
    <mergeCell ref="A26:J26"/>
    <mergeCell ref="A27:J27"/>
    <mergeCell ref="F28:J28"/>
  </mergeCells>
  <printOptions horizontalCentered="1" verticalCentered="1"/>
  <pageMargins left="0.51180555555555496" right="0.51180555555555496" top="0.78749999999999998" bottom="0.78749999999999998" header="0.51180555555555496" footer="0.51180555555555496"/>
  <pageSetup paperSize="9" scale="78" firstPageNumber="0" fitToHeight="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I23"/>
  <sheetViews>
    <sheetView showGridLines="0" zoomScaleNormal="100" workbookViewId="0"/>
  </sheetViews>
  <sheetFormatPr defaultRowHeight="15" x14ac:dyDescent="0.25"/>
  <cols>
    <col min="1" max="1" width="7.85546875" customWidth="1"/>
    <col min="2" max="2" width="7.28515625" customWidth="1"/>
    <col min="3" max="3" width="4.42578125" customWidth="1"/>
    <col min="4" max="4" width="7.5703125" customWidth="1"/>
    <col min="5" max="5" width="5.42578125" customWidth="1"/>
    <col min="6" max="6" width="8.28515625" customWidth="1"/>
    <col min="7" max="7" width="7.42578125" customWidth="1"/>
    <col min="8" max="8" width="3.28515625" customWidth="1"/>
    <col min="9" max="9" width="7.28515625" customWidth="1"/>
    <col min="10" max="10" width="4.42578125" customWidth="1"/>
    <col min="11" max="11" width="7.5703125" customWidth="1"/>
    <col min="12" max="12" width="5.42578125" customWidth="1"/>
    <col min="13" max="13" width="8.28515625" customWidth="1"/>
    <col min="14" max="14" width="7.42578125" customWidth="1"/>
    <col min="15" max="15" width="3" customWidth="1"/>
    <col min="16" max="16" width="7.28515625" customWidth="1"/>
    <col min="17" max="17" width="4.42578125" customWidth="1"/>
    <col min="18" max="18" width="7.5703125" customWidth="1"/>
    <col min="19" max="19" width="5.42578125" customWidth="1"/>
    <col min="20" max="20" width="8.28515625" customWidth="1"/>
    <col min="21" max="21" width="7.42578125" customWidth="1"/>
    <col min="22" max="22" width="3" customWidth="1"/>
    <col min="23" max="23" width="7.28515625" customWidth="1"/>
    <col min="24" max="24" width="4.42578125" customWidth="1"/>
    <col min="25" max="25" width="7.5703125" customWidth="1"/>
    <col min="26" max="26" width="5.42578125" customWidth="1"/>
    <col min="27" max="27" width="8.28515625" customWidth="1"/>
    <col min="28" max="28" width="7.42578125" customWidth="1"/>
    <col min="29" max="29" width="3" customWidth="1"/>
    <col min="30" max="30" width="7.28515625" customWidth="1"/>
    <col min="31" max="31" width="4.42578125" customWidth="1"/>
    <col min="32" max="256" width="8.7109375" customWidth="1"/>
    <col min="257" max="257" width="1.42578125" customWidth="1"/>
    <col min="258" max="258" width="7.28515625" customWidth="1"/>
    <col min="259" max="259" width="4.42578125" customWidth="1"/>
    <col min="260" max="260" width="7.5703125" customWidth="1"/>
    <col min="261" max="261" width="5.42578125" customWidth="1"/>
    <col min="262" max="262" width="8.28515625" customWidth="1"/>
    <col min="263" max="263" width="7.42578125" customWidth="1"/>
    <col min="264" max="264" width="3.28515625" customWidth="1"/>
    <col min="265" max="265" width="7.28515625" customWidth="1"/>
    <col min="266" max="266" width="4.42578125" customWidth="1"/>
    <col min="267" max="267" width="7.5703125" customWidth="1"/>
    <col min="268" max="268" width="5.42578125" customWidth="1"/>
    <col min="269" max="269" width="8.28515625" customWidth="1"/>
    <col min="270" max="270" width="7.42578125" customWidth="1"/>
    <col min="271" max="271" width="3" customWidth="1"/>
    <col min="272" max="272" width="7.28515625" customWidth="1"/>
    <col min="273" max="273" width="4.42578125" customWidth="1"/>
    <col min="274" max="274" width="7.5703125" customWidth="1"/>
    <col min="275" max="275" width="5.42578125" customWidth="1"/>
    <col min="276" max="276" width="8.28515625" customWidth="1"/>
    <col min="277" max="277" width="7.42578125" customWidth="1"/>
    <col min="278" max="278" width="3" customWidth="1"/>
    <col min="279" max="279" width="7.28515625" customWidth="1"/>
    <col min="280" max="280" width="4.42578125" customWidth="1"/>
    <col min="281" max="281" width="7.5703125" customWidth="1"/>
    <col min="282" max="282" width="5.42578125" customWidth="1"/>
    <col min="283" max="283" width="8.28515625" customWidth="1"/>
    <col min="284" max="284" width="7.42578125" customWidth="1"/>
    <col min="285" max="285" width="3" customWidth="1"/>
    <col min="286" max="286" width="7.28515625" customWidth="1"/>
    <col min="287" max="287" width="4.42578125" customWidth="1"/>
    <col min="288" max="512" width="8.7109375" customWidth="1"/>
    <col min="513" max="513" width="1.42578125" customWidth="1"/>
    <col min="514" max="514" width="7.28515625" customWidth="1"/>
    <col min="515" max="515" width="4.42578125" customWidth="1"/>
    <col min="516" max="516" width="7.5703125" customWidth="1"/>
    <col min="517" max="517" width="5.42578125" customWidth="1"/>
    <col min="518" max="518" width="8.28515625" customWidth="1"/>
    <col min="519" max="519" width="7.42578125" customWidth="1"/>
    <col min="520" max="520" width="3.28515625" customWidth="1"/>
    <col min="521" max="521" width="7.28515625" customWidth="1"/>
    <col min="522" max="522" width="4.42578125" customWidth="1"/>
    <col min="523" max="523" width="7.5703125" customWidth="1"/>
    <col min="524" max="524" width="5.42578125" customWidth="1"/>
    <col min="525" max="525" width="8.28515625" customWidth="1"/>
    <col min="526" max="526" width="7.42578125" customWidth="1"/>
    <col min="527" max="527" width="3" customWidth="1"/>
    <col min="528" max="528" width="7.28515625" customWidth="1"/>
    <col min="529" max="529" width="4.42578125" customWidth="1"/>
    <col min="530" max="530" width="7.5703125" customWidth="1"/>
    <col min="531" max="531" width="5.42578125" customWidth="1"/>
    <col min="532" max="532" width="8.28515625" customWidth="1"/>
    <col min="533" max="533" width="7.42578125" customWidth="1"/>
    <col min="534" max="534" width="3" customWidth="1"/>
    <col min="535" max="535" width="7.28515625" customWidth="1"/>
    <col min="536" max="536" width="4.42578125" customWidth="1"/>
    <col min="537" max="537" width="7.5703125" customWidth="1"/>
    <col min="538" max="538" width="5.42578125" customWidth="1"/>
    <col min="539" max="539" width="8.28515625" customWidth="1"/>
    <col min="540" max="540" width="7.42578125" customWidth="1"/>
    <col min="541" max="541" width="3" customWidth="1"/>
    <col min="542" max="542" width="7.28515625" customWidth="1"/>
    <col min="543" max="543" width="4.42578125" customWidth="1"/>
    <col min="544" max="768" width="8.7109375" customWidth="1"/>
    <col min="769" max="769" width="1.42578125" customWidth="1"/>
    <col min="770" max="770" width="7.28515625" customWidth="1"/>
    <col min="771" max="771" width="4.42578125" customWidth="1"/>
    <col min="772" max="772" width="7.5703125" customWidth="1"/>
    <col min="773" max="773" width="5.42578125" customWidth="1"/>
    <col min="774" max="774" width="8.28515625" customWidth="1"/>
    <col min="775" max="775" width="7.42578125" customWidth="1"/>
    <col min="776" max="776" width="3.28515625" customWidth="1"/>
    <col min="777" max="777" width="7.28515625" customWidth="1"/>
    <col min="778" max="778" width="4.42578125" customWidth="1"/>
    <col min="779" max="779" width="7.5703125" customWidth="1"/>
    <col min="780" max="780" width="5.42578125" customWidth="1"/>
    <col min="781" max="781" width="8.28515625" customWidth="1"/>
    <col min="782" max="782" width="7.42578125" customWidth="1"/>
    <col min="783" max="783" width="3" customWidth="1"/>
    <col min="784" max="784" width="7.28515625" customWidth="1"/>
    <col min="785" max="785" width="4.42578125" customWidth="1"/>
    <col min="786" max="786" width="7.5703125" customWidth="1"/>
    <col min="787" max="787" width="5.42578125" customWidth="1"/>
    <col min="788" max="788" width="8.28515625" customWidth="1"/>
    <col min="789" max="789" width="7.42578125" customWidth="1"/>
    <col min="790" max="790" width="3" customWidth="1"/>
    <col min="791" max="791" width="7.28515625" customWidth="1"/>
    <col min="792" max="792" width="4.42578125" customWidth="1"/>
    <col min="793" max="793" width="7.5703125" customWidth="1"/>
    <col min="794" max="794" width="5.42578125" customWidth="1"/>
    <col min="795" max="795" width="8.28515625" customWidth="1"/>
    <col min="796" max="796" width="7.42578125" customWidth="1"/>
    <col min="797" max="797" width="3" customWidth="1"/>
    <col min="798" max="798" width="7.28515625" customWidth="1"/>
    <col min="799" max="799" width="4.42578125" customWidth="1"/>
    <col min="800" max="1025" width="8.7109375" customWidth="1"/>
  </cols>
  <sheetData>
    <row r="1" spans="1:35" x14ac:dyDescent="0.25">
      <c r="A1" s="102"/>
      <c r="B1" s="102" t="s">
        <v>90</v>
      </c>
    </row>
    <row r="2" spans="1:35" x14ac:dyDescent="0.25">
      <c r="A2" s="102"/>
      <c r="B2" s="102" t="s">
        <v>91</v>
      </c>
    </row>
    <row r="3" spans="1:35" x14ac:dyDescent="0.25">
      <c r="A3" s="358"/>
      <c r="B3" s="71" t="s">
        <v>623</v>
      </c>
    </row>
    <row r="4" spans="1:35" ht="6" customHeight="1" x14ac:dyDescent="0.25"/>
    <row r="5" spans="1:35" ht="6" customHeight="1" x14ac:dyDescent="0.25"/>
    <row r="6" spans="1:35" ht="15.75" customHeight="1" x14ac:dyDescent="0.25">
      <c r="B6" s="772" t="s">
        <v>265</v>
      </c>
      <c r="C6" s="772"/>
      <c r="D6" s="772"/>
      <c r="E6" s="772"/>
      <c r="F6" s="772"/>
      <c r="G6" s="772"/>
      <c r="I6" s="772" t="s">
        <v>269</v>
      </c>
      <c r="J6" s="772"/>
      <c r="K6" s="772"/>
      <c r="L6" s="772"/>
      <c r="M6" s="772"/>
      <c r="N6" s="772"/>
      <c r="P6" s="772" t="s">
        <v>270</v>
      </c>
      <c r="Q6" s="772"/>
      <c r="R6" s="772"/>
      <c r="S6" s="772"/>
      <c r="T6" s="772"/>
      <c r="U6" s="772"/>
      <c r="W6" s="772" t="s">
        <v>271</v>
      </c>
      <c r="X6" s="772"/>
      <c r="Y6" s="772"/>
      <c r="Z6" s="772"/>
      <c r="AA6" s="772"/>
      <c r="AB6" s="772"/>
      <c r="AD6" s="772" t="s">
        <v>272</v>
      </c>
      <c r="AE6" s="772"/>
      <c r="AF6" s="772"/>
      <c r="AG6" s="772"/>
      <c r="AH6" s="772"/>
      <c r="AI6" s="772"/>
    </row>
    <row r="7" spans="1:35" x14ac:dyDescent="0.25">
      <c r="B7" s="544" t="s">
        <v>624</v>
      </c>
      <c r="C7" s="771"/>
      <c r="D7" s="771"/>
      <c r="E7" s="771"/>
      <c r="F7" s="771"/>
      <c r="G7" s="771"/>
      <c r="I7" s="544" t="s">
        <v>624</v>
      </c>
      <c r="J7" s="771"/>
      <c r="K7" s="771"/>
      <c r="L7" s="771"/>
      <c r="M7" s="771"/>
      <c r="N7" s="771"/>
      <c r="P7" s="544" t="s">
        <v>624</v>
      </c>
      <c r="Q7" s="771"/>
      <c r="R7" s="771"/>
      <c r="S7" s="771"/>
      <c r="T7" s="771"/>
      <c r="U7" s="771"/>
      <c r="W7" s="544" t="s">
        <v>624</v>
      </c>
      <c r="X7" s="771"/>
      <c r="Y7" s="771"/>
      <c r="Z7" s="771"/>
      <c r="AA7" s="771"/>
      <c r="AB7" s="771"/>
      <c r="AD7" s="544" t="s">
        <v>624</v>
      </c>
      <c r="AE7" s="771"/>
      <c r="AF7" s="771"/>
      <c r="AG7" s="771"/>
      <c r="AH7" s="771"/>
      <c r="AI7" s="771"/>
    </row>
    <row r="8" spans="1:35" ht="25.5" customHeight="1" x14ac:dyDescent="0.25">
      <c r="B8" s="664" t="s">
        <v>625</v>
      </c>
      <c r="C8" s="664"/>
      <c r="D8" s="220" t="s">
        <v>626</v>
      </c>
      <c r="E8" s="220" t="s">
        <v>627</v>
      </c>
      <c r="F8" s="220" t="s">
        <v>628</v>
      </c>
      <c r="G8" s="220" t="s">
        <v>629</v>
      </c>
      <c r="I8" s="664" t="s">
        <v>625</v>
      </c>
      <c r="J8" s="664"/>
      <c r="K8" s="220" t="s">
        <v>626</v>
      </c>
      <c r="L8" s="220" t="s">
        <v>627</v>
      </c>
      <c r="M8" s="220" t="s">
        <v>628</v>
      </c>
      <c r="N8" s="220" t="s">
        <v>629</v>
      </c>
      <c r="P8" s="664" t="s">
        <v>625</v>
      </c>
      <c r="Q8" s="664"/>
      <c r="R8" s="220" t="s">
        <v>626</v>
      </c>
      <c r="S8" s="220" t="s">
        <v>627</v>
      </c>
      <c r="T8" s="220" t="s">
        <v>628</v>
      </c>
      <c r="U8" s="220" t="s">
        <v>629</v>
      </c>
      <c r="W8" s="664" t="s">
        <v>625</v>
      </c>
      <c r="X8" s="664"/>
      <c r="Y8" s="220" t="s">
        <v>626</v>
      </c>
      <c r="Z8" s="220" t="s">
        <v>627</v>
      </c>
      <c r="AA8" s="220" t="s">
        <v>628</v>
      </c>
      <c r="AB8" s="220" t="s">
        <v>629</v>
      </c>
      <c r="AD8" s="664" t="s">
        <v>625</v>
      </c>
      <c r="AE8" s="664"/>
      <c r="AF8" s="220" t="s">
        <v>626</v>
      </c>
      <c r="AG8" s="220" t="s">
        <v>627</v>
      </c>
      <c r="AH8" s="220" t="s">
        <v>628</v>
      </c>
      <c r="AI8" s="220" t="s">
        <v>629</v>
      </c>
    </row>
    <row r="9" spans="1:35" x14ac:dyDescent="0.25">
      <c r="B9" s="545" t="s">
        <v>630</v>
      </c>
      <c r="C9" s="545" t="s">
        <v>631</v>
      </c>
      <c r="D9" s="545" t="s">
        <v>632</v>
      </c>
      <c r="E9" s="545"/>
      <c r="F9" s="545" t="s">
        <v>633</v>
      </c>
      <c r="G9" s="546">
        <v>100</v>
      </c>
      <c r="I9" s="545" t="s">
        <v>630</v>
      </c>
      <c r="J9" s="545" t="s">
        <v>631</v>
      </c>
      <c r="K9" s="545" t="s">
        <v>632</v>
      </c>
      <c r="L9" s="545"/>
      <c r="M9" s="545" t="s">
        <v>633</v>
      </c>
      <c r="N9" s="546">
        <v>100</v>
      </c>
      <c r="P9" s="545" t="s">
        <v>630</v>
      </c>
      <c r="Q9" s="545" t="s">
        <v>631</v>
      </c>
      <c r="R9" s="545" t="s">
        <v>632</v>
      </c>
      <c r="S9" s="545"/>
      <c r="T9" s="545" t="s">
        <v>633</v>
      </c>
      <c r="U9" s="546">
        <v>100</v>
      </c>
      <c r="W9" s="545" t="s">
        <v>630</v>
      </c>
      <c r="X9" s="545" t="s">
        <v>631</v>
      </c>
      <c r="Y9" s="545" t="s">
        <v>632</v>
      </c>
      <c r="Z9" s="545"/>
      <c r="AA9" s="545" t="s">
        <v>633</v>
      </c>
      <c r="AB9" s="546">
        <v>100</v>
      </c>
      <c r="AD9" s="545" t="s">
        <v>630</v>
      </c>
      <c r="AE9" s="545" t="s">
        <v>631</v>
      </c>
      <c r="AF9" s="545" t="s">
        <v>632</v>
      </c>
      <c r="AG9" s="545"/>
      <c r="AH9" s="545" t="s">
        <v>633</v>
      </c>
      <c r="AI9" s="546">
        <v>100</v>
      </c>
    </row>
    <row r="10" spans="1:35" x14ac:dyDescent="0.25">
      <c r="B10" s="545">
        <v>2023</v>
      </c>
      <c r="C10" s="547" t="s">
        <v>634</v>
      </c>
      <c r="D10" s="548"/>
      <c r="E10" s="549">
        <v>25</v>
      </c>
      <c r="F10" s="548">
        <f t="shared" ref="F10:F22" si="0">D10/30*E10</f>
        <v>0</v>
      </c>
      <c r="G10" s="550">
        <f t="shared" ref="G10:G22" si="1">(G9*F10)+G9</f>
        <v>100</v>
      </c>
      <c r="I10" s="545">
        <f t="shared" ref="I10:I22" si="2">B10+1</f>
        <v>2024</v>
      </c>
      <c r="J10" s="547" t="str">
        <f>$C$10</f>
        <v>AGO</v>
      </c>
      <c r="K10" s="548"/>
      <c r="L10" s="549">
        <f>$E$10</f>
        <v>25</v>
      </c>
      <c r="M10" s="548">
        <f t="shared" ref="M10:M22" si="3">K10/30*L10</f>
        <v>0</v>
      </c>
      <c r="N10" s="550">
        <f t="shared" ref="N10:N22" si="4">(N9*M10)+N9</f>
        <v>100</v>
      </c>
      <c r="P10" s="545">
        <f t="shared" ref="P10:P22" si="5">I10+1</f>
        <v>2025</v>
      </c>
      <c r="Q10" s="547" t="str">
        <f>$C$10</f>
        <v>AGO</v>
      </c>
      <c r="R10" s="548"/>
      <c r="S10" s="549">
        <f>$E$10</f>
        <v>25</v>
      </c>
      <c r="T10" s="548">
        <f t="shared" ref="T10:T22" si="6">R10/30*S10</f>
        <v>0</v>
      </c>
      <c r="U10" s="550">
        <f t="shared" ref="U10:U22" si="7">(U9*T10)+U9</f>
        <v>100</v>
      </c>
      <c r="W10" s="545">
        <f t="shared" ref="W10:W22" si="8">P10+1</f>
        <v>2026</v>
      </c>
      <c r="X10" s="547" t="str">
        <f>$C$10</f>
        <v>AGO</v>
      </c>
      <c r="Y10" s="548"/>
      <c r="Z10" s="549">
        <f>$E$10</f>
        <v>25</v>
      </c>
      <c r="AA10" s="548">
        <f t="shared" ref="AA10:AA22" si="9">Y10/30*Z10</f>
        <v>0</v>
      </c>
      <c r="AB10" s="550">
        <f t="shared" ref="AB10:AB22" si="10">(AB9*AA10)+AB9</f>
        <v>100</v>
      </c>
      <c r="AD10" s="545">
        <f t="shared" ref="AD10:AD22" si="11">W10+1</f>
        <v>2027</v>
      </c>
      <c r="AE10" s="547" t="str">
        <f>$C$10</f>
        <v>AGO</v>
      </c>
      <c r="AF10" s="548"/>
      <c r="AG10" s="549">
        <f>$E$10</f>
        <v>25</v>
      </c>
      <c r="AH10" s="548">
        <f t="shared" ref="AH10:AH22" si="12">AF10/30*AG10</f>
        <v>0</v>
      </c>
      <c r="AI10" s="550">
        <f t="shared" ref="AI10:AI22" si="13">(AI9*AH10)+AI9</f>
        <v>100</v>
      </c>
    </row>
    <row r="11" spans="1:35" x14ac:dyDescent="0.25">
      <c r="B11" s="545">
        <v>2023</v>
      </c>
      <c r="C11" s="547" t="s">
        <v>635</v>
      </c>
      <c r="D11" s="548"/>
      <c r="E11" s="549"/>
      <c r="F11" s="548">
        <f t="shared" si="0"/>
        <v>0</v>
      </c>
      <c r="G11" s="550">
        <f t="shared" si="1"/>
        <v>100</v>
      </c>
      <c r="I11" s="545">
        <f t="shared" si="2"/>
        <v>2024</v>
      </c>
      <c r="J11" s="547" t="str">
        <f>$C$11</f>
        <v>SET</v>
      </c>
      <c r="K11" s="548"/>
      <c r="L11" s="549"/>
      <c r="M11" s="548">
        <f t="shared" si="3"/>
        <v>0</v>
      </c>
      <c r="N11" s="550">
        <f t="shared" si="4"/>
        <v>100</v>
      </c>
      <c r="P11" s="545">
        <f t="shared" si="5"/>
        <v>2025</v>
      </c>
      <c r="Q11" s="547" t="str">
        <f>$C$11</f>
        <v>SET</v>
      </c>
      <c r="R11" s="548"/>
      <c r="S11" s="549"/>
      <c r="T11" s="548">
        <f t="shared" si="6"/>
        <v>0</v>
      </c>
      <c r="U11" s="550">
        <f t="shared" si="7"/>
        <v>100</v>
      </c>
      <c r="W11" s="545">
        <f t="shared" si="8"/>
        <v>2026</v>
      </c>
      <c r="X11" s="547" t="str">
        <f>$C$11</f>
        <v>SET</v>
      </c>
      <c r="Y11" s="548"/>
      <c r="Z11" s="549"/>
      <c r="AA11" s="548">
        <f t="shared" si="9"/>
        <v>0</v>
      </c>
      <c r="AB11" s="550">
        <f t="shared" si="10"/>
        <v>100</v>
      </c>
      <c r="AD11" s="545">
        <f t="shared" si="11"/>
        <v>2027</v>
      </c>
      <c r="AE11" s="547" t="str">
        <f>$C$11</f>
        <v>SET</v>
      </c>
      <c r="AF11" s="548"/>
      <c r="AG11" s="549"/>
      <c r="AH11" s="548">
        <f t="shared" si="12"/>
        <v>0</v>
      </c>
      <c r="AI11" s="550">
        <f t="shared" si="13"/>
        <v>100</v>
      </c>
    </row>
    <row r="12" spans="1:35" x14ac:dyDescent="0.25">
      <c r="B12" s="545">
        <v>2023</v>
      </c>
      <c r="C12" s="547" t="s">
        <v>636</v>
      </c>
      <c r="D12" s="548"/>
      <c r="E12" s="549"/>
      <c r="F12" s="548">
        <f t="shared" si="0"/>
        <v>0</v>
      </c>
      <c r="G12" s="550">
        <f t="shared" si="1"/>
        <v>100</v>
      </c>
      <c r="I12" s="545">
        <f t="shared" si="2"/>
        <v>2024</v>
      </c>
      <c r="J12" s="547" t="str">
        <f>$C$12</f>
        <v>OUT</v>
      </c>
      <c r="K12" s="548"/>
      <c r="L12" s="549"/>
      <c r="M12" s="548">
        <f t="shared" si="3"/>
        <v>0</v>
      </c>
      <c r="N12" s="550">
        <f t="shared" si="4"/>
        <v>100</v>
      </c>
      <c r="P12" s="545">
        <f t="shared" si="5"/>
        <v>2025</v>
      </c>
      <c r="Q12" s="547" t="str">
        <f>$C$12</f>
        <v>OUT</v>
      </c>
      <c r="R12" s="548"/>
      <c r="S12" s="549"/>
      <c r="T12" s="548">
        <f t="shared" si="6"/>
        <v>0</v>
      </c>
      <c r="U12" s="550">
        <f t="shared" si="7"/>
        <v>100</v>
      </c>
      <c r="W12" s="545">
        <f t="shared" si="8"/>
        <v>2026</v>
      </c>
      <c r="X12" s="547" t="str">
        <f>$C$12</f>
        <v>OUT</v>
      </c>
      <c r="Y12" s="548"/>
      <c r="Z12" s="549"/>
      <c r="AA12" s="548">
        <f t="shared" si="9"/>
        <v>0</v>
      </c>
      <c r="AB12" s="550">
        <f t="shared" si="10"/>
        <v>100</v>
      </c>
      <c r="AD12" s="545">
        <f t="shared" si="11"/>
        <v>2027</v>
      </c>
      <c r="AE12" s="547" t="str">
        <f>$C$12</f>
        <v>OUT</v>
      </c>
      <c r="AF12" s="548"/>
      <c r="AG12" s="549"/>
      <c r="AH12" s="548">
        <f t="shared" si="12"/>
        <v>0</v>
      </c>
      <c r="AI12" s="550">
        <f t="shared" si="13"/>
        <v>100</v>
      </c>
    </row>
    <row r="13" spans="1:35" x14ac:dyDescent="0.25">
      <c r="B13" s="545">
        <v>2023</v>
      </c>
      <c r="C13" s="547" t="s">
        <v>637</v>
      </c>
      <c r="D13" s="548"/>
      <c r="E13" s="549"/>
      <c r="F13" s="548">
        <f t="shared" si="0"/>
        <v>0</v>
      </c>
      <c r="G13" s="550">
        <f t="shared" si="1"/>
        <v>100</v>
      </c>
      <c r="I13" s="545">
        <f t="shared" si="2"/>
        <v>2024</v>
      </c>
      <c r="J13" s="547" t="str">
        <f>$C$13</f>
        <v>NOV</v>
      </c>
      <c r="K13" s="548"/>
      <c r="L13" s="549"/>
      <c r="M13" s="548">
        <f t="shared" si="3"/>
        <v>0</v>
      </c>
      <c r="N13" s="550">
        <f t="shared" si="4"/>
        <v>100</v>
      </c>
      <c r="P13" s="545">
        <f t="shared" si="5"/>
        <v>2025</v>
      </c>
      <c r="Q13" s="547" t="str">
        <f>$C$13</f>
        <v>NOV</v>
      </c>
      <c r="R13" s="548"/>
      <c r="S13" s="549"/>
      <c r="T13" s="548">
        <f t="shared" si="6"/>
        <v>0</v>
      </c>
      <c r="U13" s="550">
        <f t="shared" si="7"/>
        <v>100</v>
      </c>
      <c r="W13" s="545">
        <f t="shared" si="8"/>
        <v>2026</v>
      </c>
      <c r="X13" s="547" t="str">
        <f>$C$13</f>
        <v>NOV</v>
      </c>
      <c r="Y13" s="548"/>
      <c r="Z13" s="549"/>
      <c r="AA13" s="548">
        <f t="shared" si="9"/>
        <v>0</v>
      </c>
      <c r="AB13" s="550">
        <f t="shared" si="10"/>
        <v>100</v>
      </c>
      <c r="AD13" s="545">
        <f t="shared" si="11"/>
        <v>2027</v>
      </c>
      <c r="AE13" s="547" t="str">
        <f>$C$13</f>
        <v>NOV</v>
      </c>
      <c r="AF13" s="548"/>
      <c r="AG13" s="549"/>
      <c r="AH13" s="548">
        <f t="shared" si="12"/>
        <v>0</v>
      </c>
      <c r="AI13" s="550">
        <f t="shared" si="13"/>
        <v>100</v>
      </c>
    </row>
    <row r="14" spans="1:35" x14ac:dyDescent="0.25">
      <c r="B14" s="545">
        <v>2023</v>
      </c>
      <c r="C14" s="547" t="s">
        <v>638</v>
      </c>
      <c r="D14" s="548"/>
      <c r="E14" s="549"/>
      <c r="F14" s="548">
        <f t="shared" si="0"/>
        <v>0</v>
      </c>
      <c r="G14" s="550">
        <f t="shared" si="1"/>
        <v>100</v>
      </c>
      <c r="I14" s="545">
        <f t="shared" si="2"/>
        <v>2024</v>
      </c>
      <c r="J14" s="547" t="str">
        <f>$C$14</f>
        <v>DEZ</v>
      </c>
      <c r="K14" s="548"/>
      <c r="L14" s="549"/>
      <c r="M14" s="548">
        <f t="shared" si="3"/>
        <v>0</v>
      </c>
      <c r="N14" s="550">
        <f t="shared" si="4"/>
        <v>100</v>
      </c>
      <c r="P14" s="545">
        <f t="shared" si="5"/>
        <v>2025</v>
      </c>
      <c r="Q14" s="547" t="str">
        <f>$C$14</f>
        <v>DEZ</v>
      </c>
      <c r="R14" s="548"/>
      <c r="S14" s="549"/>
      <c r="T14" s="548">
        <f t="shared" si="6"/>
        <v>0</v>
      </c>
      <c r="U14" s="550">
        <f t="shared" si="7"/>
        <v>100</v>
      </c>
      <c r="W14" s="545">
        <f t="shared" si="8"/>
        <v>2026</v>
      </c>
      <c r="X14" s="547" t="str">
        <f>$C$14</f>
        <v>DEZ</v>
      </c>
      <c r="Y14" s="548"/>
      <c r="Z14" s="549"/>
      <c r="AA14" s="548">
        <f t="shared" si="9"/>
        <v>0</v>
      </c>
      <c r="AB14" s="550">
        <f t="shared" si="10"/>
        <v>100</v>
      </c>
      <c r="AD14" s="545">
        <f t="shared" si="11"/>
        <v>2027</v>
      </c>
      <c r="AE14" s="547" t="str">
        <f>$C$14</f>
        <v>DEZ</v>
      </c>
      <c r="AF14" s="548"/>
      <c r="AG14" s="549"/>
      <c r="AH14" s="548">
        <f t="shared" si="12"/>
        <v>0</v>
      </c>
      <c r="AI14" s="550">
        <f t="shared" si="13"/>
        <v>100</v>
      </c>
    </row>
    <row r="15" spans="1:35" x14ac:dyDescent="0.25">
      <c r="B15" s="545">
        <v>2023</v>
      </c>
      <c r="C15" s="547" t="s">
        <v>638</v>
      </c>
      <c r="D15" s="548"/>
      <c r="E15" s="549"/>
      <c r="F15" s="548">
        <f t="shared" si="0"/>
        <v>0</v>
      </c>
      <c r="G15" s="550">
        <f t="shared" si="1"/>
        <v>100</v>
      </c>
      <c r="I15" s="545">
        <f t="shared" si="2"/>
        <v>2024</v>
      </c>
      <c r="J15" s="547" t="str">
        <f>$C$15</f>
        <v>DEZ</v>
      </c>
      <c r="K15" s="548"/>
      <c r="L15" s="549"/>
      <c r="M15" s="548">
        <f t="shared" si="3"/>
        <v>0</v>
      </c>
      <c r="N15" s="550">
        <f t="shared" si="4"/>
        <v>100</v>
      </c>
      <c r="P15" s="545">
        <f t="shared" si="5"/>
        <v>2025</v>
      </c>
      <c r="Q15" s="547" t="str">
        <f>$C$15</f>
        <v>DEZ</v>
      </c>
      <c r="R15" s="548"/>
      <c r="S15" s="549"/>
      <c r="T15" s="548">
        <f t="shared" si="6"/>
        <v>0</v>
      </c>
      <c r="U15" s="550">
        <f t="shared" si="7"/>
        <v>100</v>
      </c>
      <c r="W15" s="545">
        <f t="shared" si="8"/>
        <v>2026</v>
      </c>
      <c r="X15" s="547" t="str">
        <f>$C$15</f>
        <v>DEZ</v>
      </c>
      <c r="Y15" s="548"/>
      <c r="Z15" s="549"/>
      <c r="AA15" s="548">
        <f t="shared" si="9"/>
        <v>0</v>
      </c>
      <c r="AB15" s="550">
        <f t="shared" si="10"/>
        <v>100</v>
      </c>
      <c r="AD15" s="545">
        <f t="shared" si="11"/>
        <v>2027</v>
      </c>
      <c r="AE15" s="547" t="str">
        <f>$C$15</f>
        <v>DEZ</v>
      </c>
      <c r="AF15" s="548"/>
      <c r="AG15" s="549"/>
      <c r="AH15" s="548">
        <f t="shared" si="12"/>
        <v>0</v>
      </c>
      <c r="AI15" s="550">
        <f t="shared" si="13"/>
        <v>100</v>
      </c>
    </row>
    <row r="16" spans="1:35" x14ac:dyDescent="0.25">
      <c r="B16" s="545">
        <v>2024</v>
      </c>
      <c r="C16" s="551" t="s">
        <v>639</v>
      </c>
      <c r="D16" s="552"/>
      <c r="E16" s="553"/>
      <c r="F16" s="548">
        <f t="shared" si="0"/>
        <v>0</v>
      </c>
      <c r="G16" s="550">
        <f t="shared" si="1"/>
        <v>100</v>
      </c>
      <c r="I16" s="545">
        <f t="shared" si="2"/>
        <v>2025</v>
      </c>
      <c r="J16" s="547" t="str">
        <f>$C$16</f>
        <v>JAN</v>
      </c>
      <c r="K16" s="552"/>
      <c r="L16" s="549"/>
      <c r="M16" s="548">
        <f t="shared" si="3"/>
        <v>0</v>
      </c>
      <c r="N16" s="550">
        <f t="shared" si="4"/>
        <v>100</v>
      </c>
      <c r="P16" s="545">
        <f t="shared" si="5"/>
        <v>2026</v>
      </c>
      <c r="Q16" s="547" t="str">
        <f>$C$16</f>
        <v>JAN</v>
      </c>
      <c r="R16" s="552"/>
      <c r="S16" s="549"/>
      <c r="T16" s="548">
        <f t="shared" si="6"/>
        <v>0</v>
      </c>
      <c r="U16" s="550">
        <f t="shared" si="7"/>
        <v>100</v>
      </c>
      <c r="W16" s="545">
        <f t="shared" si="8"/>
        <v>2027</v>
      </c>
      <c r="X16" s="547" t="str">
        <f>$C$16</f>
        <v>JAN</v>
      </c>
      <c r="Y16" s="552"/>
      <c r="Z16" s="549"/>
      <c r="AA16" s="548">
        <f t="shared" si="9"/>
        <v>0</v>
      </c>
      <c r="AB16" s="550">
        <f t="shared" si="10"/>
        <v>100</v>
      </c>
      <c r="AD16" s="545">
        <f t="shared" si="11"/>
        <v>2028</v>
      </c>
      <c r="AE16" s="547" t="str">
        <f>$C$16</f>
        <v>JAN</v>
      </c>
      <c r="AF16" s="552"/>
      <c r="AG16" s="549"/>
      <c r="AH16" s="548">
        <f t="shared" si="12"/>
        <v>0</v>
      </c>
      <c r="AI16" s="550">
        <f t="shared" si="13"/>
        <v>100</v>
      </c>
    </row>
    <row r="17" spans="2:35" x14ac:dyDescent="0.25">
      <c r="B17" s="545">
        <v>2024</v>
      </c>
      <c r="C17" s="547" t="s">
        <v>640</v>
      </c>
      <c r="D17" s="548"/>
      <c r="E17" s="549"/>
      <c r="F17" s="548">
        <f t="shared" si="0"/>
        <v>0</v>
      </c>
      <c r="G17" s="550">
        <f t="shared" si="1"/>
        <v>100</v>
      </c>
      <c r="I17" s="545">
        <f t="shared" si="2"/>
        <v>2025</v>
      </c>
      <c r="J17" s="547" t="str">
        <f>$C$17</f>
        <v>FEV</v>
      </c>
      <c r="K17" s="548"/>
      <c r="L17" s="549"/>
      <c r="M17" s="548">
        <f t="shared" si="3"/>
        <v>0</v>
      </c>
      <c r="N17" s="550">
        <f t="shared" si="4"/>
        <v>100</v>
      </c>
      <c r="P17" s="545">
        <f t="shared" si="5"/>
        <v>2026</v>
      </c>
      <c r="Q17" s="547" t="str">
        <f>$C$17</f>
        <v>FEV</v>
      </c>
      <c r="R17" s="548"/>
      <c r="S17" s="549"/>
      <c r="T17" s="548">
        <f t="shared" si="6"/>
        <v>0</v>
      </c>
      <c r="U17" s="550">
        <f t="shared" si="7"/>
        <v>100</v>
      </c>
      <c r="W17" s="545">
        <f t="shared" si="8"/>
        <v>2027</v>
      </c>
      <c r="X17" s="547" t="str">
        <f>$C$17</f>
        <v>FEV</v>
      </c>
      <c r="Y17" s="548"/>
      <c r="Z17" s="549"/>
      <c r="AA17" s="548">
        <f t="shared" si="9"/>
        <v>0</v>
      </c>
      <c r="AB17" s="550">
        <f t="shared" si="10"/>
        <v>100</v>
      </c>
      <c r="AD17" s="545">
        <f t="shared" si="11"/>
        <v>2028</v>
      </c>
      <c r="AE17" s="547" t="str">
        <f>$C$17</f>
        <v>FEV</v>
      </c>
      <c r="AF17" s="548"/>
      <c r="AG17" s="549"/>
      <c r="AH17" s="548">
        <f t="shared" si="12"/>
        <v>0</v>
      </c>
      <c r="AI17" s="550">
        <f t="shared" si="13"/>
        <v>100</v>
      </c>
    </row>
    <row r="18" spans="2:35" x14ac:dyDescent="0.25">
      <c r="B18" s="545">
        <v>2024</v>
      </c>
      <c r="C18" s="551" t="s">
        <v>641</v>
      </c>
      <c r="D18" s="548"/>
      <c r="E18" s="549"/>
      <c r="F18" s="548">
        <f t="shared" si="0"/>
        <v>0</v>
      </c>
      <c r="G18" s="550">
        <f t="shared" si="1"/>
        <v>100</v>
      </c>
      <c r="I18" s="545">
        <f t="shared" si="2"/>
        <v>2025</v>
      </c>
      <c r="J18" s="547" t="str">
        <f>$C$18</f>
        <v>MAR</v>
      </c>
      <c r="K18" s="548"/>
      <c r="L18" s="549"/>
      <c r="M18" s="548">
        <f t="shared" si="3"/>
        <v>0</v>
      </c>
      <c r="N18" s="550">
        <f t="shared" si="4"/>
        <v>100</v>
      </c>
      <c r="P18" s="545">
        <f t="shared" si="5"/>
        <v>2026</v>
      </c>
      <c r="Q18" s="547" t="str">
        <f>$C$18</f>
        <v>MAR</v>
      </c>
      <c r="R18" s="548"/>
      <c r="S18" s="549"/>
      <c r="T18" s="548">
        <f t="shared" si="6"/>
        <v>0</v>
      </c>
      <c r="U18" s="550">
        <f t="shared" si="7"/>
        <v>100</v>
      </c>
      <c r="W18" s="545">
        <f t="shared" si="8"/>
        <v>2027</v>
      </c>
      <c r="X18" s="547" t="str">
        <f>$C$18</f>
        <v>MAR</v>
      </c>
      <c r="Y18" s="548"/>
      <c r="Z18" s="549"/>
      <c r="AA18" s="548">
        <f t="shared" si="9"/>
        <v>0</v>
      </c>
      <c r="AB18" s="550">
        <f t="shared" si="10"/>
        <v>100</v>
      </c>
      <c r="AD18" s="545">
        <f t="shared" si="11"/>
        <v>2028</v>
      </c>
      <c r="AE18" s="547" t="str">
        <f>$C$18</f>
        <v>MAR</v>
      </c>
      <c r="AF18" s="548"/>
      <c r="AG18" s="549"/>
      <c r="AH18" s="548">
        <f t="shared" si="12"/>
        <v>0</v>
      </c>
      <c r="AI18" s="550">
        <f t="shared" si="13"/>
        <v>100</v>
      </c>
    </row>
    <row r="19" spans="2:35" x14ac:dyDescent="0.25">
      <c r="B19" s="545">
        <v>2024</v>
      </c>
      <c r="C19" s="547" t="s">
        <v>642</v>
      </c>
      <c r="D19" s="548"/>
      <c r="E19" s="549"/>
      <c r="F19" s="548">
        <f t="shared" si="0"/>
        <v>0</v>
      </c>
      <c r="G19" s="550">
        <f t="shared" si="1"/>
        <v>100</v>
      </c>
      <c r="I19" s="545">
        <f t="shared" si="2"/>
        <v>2025</v>
      </c>
      <c r="J19" s="547" t="str">
        <f>$C$19</f>
        <v>ABR</v>
      </c>
      <c r="K19" s="548"/>
      <c r="L19" s="549"/>
      <c r="M19" s="548">
        <f t="shared" si="3"/>
        <v>0</v>
      </c>
      <c r="N19" s="550">
        <f t="shared" si="4"/>
        <v>100</v>
      </c>
      <c r="P19" s="545">
        <f t="shared" si="5"/>
        <v>2026</v>
      </c>
      <c r="Q19" s="547" t="str">
        <f>$C$19</f>
        <v>ABR</v>
      </c>
      <c r="R19" s="548"/>
      <c r="S19" s="549"/>
      <c r="T19" s="548">
        <f t="shared" si="6"/>
        <v>0</v>
      </c>
      <c r="U19" s="550">
        <f t="shared" si="7"/>
        <v>100</v>
      </c>
      <c r="W19" s="545">
        <f t="shared" si="8"/>
        <v>2027</v>
      </c>
      <c r="X19" s="547" t="str">
        <f>$C$19</f>
        <v>ABR</v>
      </c>
      <c r="Y19" s="548"/>
      <c r="Z19" s="549"/>
      <c r="AA19" s="548">
        <f t="shared" si="9"/>
        <v>0</v>
      </c>
      <c r="AB19" s="550">
        <f t="shared" si="10"/>
        <v>100</v>
      </c>
      <c r="AD19" s="545">
        <f t="shared" si="11"/>
        <v>2028</v>
      </c>
      <c r="AE19" s="547" t="str">
        <f>$C$19</f>
        <v>ABR</v>
      </c>
      <c r="AF19" s="548"/>
      <c r="AG19" s="549"/>
      <c r="AH19" s="548">
        <f t="shared" si="12"/>
        <v>0</v>
      </c>
      <c r="AI19" s="550">
        <f t="shared" si="13"/>
        <v>100</v>
      </c>
    </row>
    <row r="20" spans="2:35" x14ac:dyDescent="0.25">
      <c r="B20" s="545">
        <v>2024</v>
      </c>
      <c r="C20" s="551" t="s">
        <v>643</v>
      </c>
      <c r="D20" s="548"/>
      <c r="E20" s="549"/>
      <c r="F20" s="548">
        <f t="shared" si="0"/>
        <v>0</v>
      </c>
      <c r="G20" s="550">
        <f t="shared" si="1"/>
        <v>100</v>
      </c>
      <c r="I20" s="545">
        <f t="shared" si="2"/>
        <v>2025</v>
      </c>
      <c r="J20" s="547" t="str">
        <f>$C$20</f>
        <v>MAI</v>
      </c>
      <c r="K20" s="548"/>
      <c r="L20" s="549"/>
      <c r="M20" s="548">
        <f t="shared" si="3"/>
        <v>0</v>
      </c>
      <c r="N20" s="550">
        <f t="shared" si="4"/>
        <v>100</v>
      </c>
      <c r="P20" s="545">
        <f t="shared" si="5"/>
        <v>2026</v>
      </c>
      <c r="Q20" s="547" t="str">
        <f>$C$20</f>
        <v>MAI</v>
      </c>
      <c r="R20" s="548"/>
      <c r="S20" s="549"/>
      <c r="T20" s="548">
        <f t="shared" si="6"/>
        <v>0</v>
      </c>
      <c r="U20" s="550">
        <f t="shared" si="7"/>
        <v>100</v>
      </c>
      <c r="W20" s="545">
        <f t="shared" si="8"/>
        <v>2027</v>
      </c>
      <c r="X20" s="547" t="str">
        <f>$C$20</f>
        <v>MAI</v>
      </c>
      <c r="Y20" s="548"/>
      <c r="Z20" s="549"/>
      <c r="AA20" s="548">
        <f t="shared" si="9"/>
        <v>0</v>
      </c>
      <c r="AB20" s="550">
        <f t="shared" si="10"/>
        <v>100</v>
      </c>
      <c r="AD20" s="545">
        <f t="shared" si="11"/>
        <v>2028</v>
      </c>
      <c r="AE20" s="547" t="str">
        <f>$C$20</f>
        <v>MAI</v>
      </c>
      <c r="AF20" s="548"/>
      <c r="AG20" s="549"/>
      <c r="AH20" s="548">
        <f t="shared" si="12"/>
        <v>0</v>
      </c>
      <c r="AI20" s="550">
        <f t="shared" si="13"/>
        <v>100</v>
      </c>
    </row>
    <row r="21" spans="2:35" x14ac:dyDescent="0.25">
      <c r="B21" s="545">
        <v>2024</v>
      </c>
      <c r="C21" s="547" t="s">
        <v>644</v>
      </c>
      <c r="D21" s="548"/>
      <c r="E21" s="549"/>
      <c r="F21" s="548">
        <f t="shared" si="0"/>
        <v>0</v>
      </c>
      <c r="G21" s="550">
        <f t="shared" si="1"/>
        <v>100</v>
      </c>
      <c r="I21" s="545">
        <f t="shared" si="2"/>
        <v>2025</v>
      </c>
      <c r="J21" s="547" t="str">
        <f>$C$21</f>
        <v>JUN</v>
      </c>
      <c r="K21" s="548"/>
      <c r="L21" s="549"/>
      <c r="M21" s="548">
        <f t="shared" si="3"/>
        <v>0</v>
      </c>
      <c r="N21" s="550">
        <f t="shared" si="4"/>
        <v>100</v>
      </c>
      <c r="P21" s="545">
        <f t="shared" si="5"/>
        <v>2026</v>
      </c>
      <c r="Q21" s="547" t="str">
        <f>$C$21</f>
        <v>JUN</v>
      </c>
      <c r="R21" s="548"/>
      <c r="S21" s="549"/>
      <c r="T21" s="548">
        <f t="shared" si="6"/>
        <v>0</v>
      </c>
      <c r="U21" s="550">
        <f t="shared" si="7"/>
        <v>100</v>
      </c>
      <c r="W21" s="545">
        <f t="shared" si="8"/>
        <v>2027</v>
      </c>
      <c r="X21" s="547" t="str">
        <f>$C$21</f>
        <v>JUN</v>
      </c>
      <c r="Y21" s="548"/>
      <c r="Z21" s="549"/>
      <c r="AA21" s="548">
        <f t="shared" si="9"/>
        <v>0</v>
      </c>
      <c r="AB21" s="550">
        <f t="shared" si="10"/>
        <v>100</v>
      </c>
      <c r="AD21" s="545">
        <f t="shared" si="11"/>
        <v>2028</v>
      </c>
      <c r="AE21" s="547" t="str">
        <f>$C$21</f>
        <v>JUN</v>
      </c>
      <c r="AF21" s="548"/>
      <c r="AG21" s="549"/>
      <c r="AH21" s="548">
        <f t="shared" si="12"/>
        <v>0</v>
      </c>
      <c r="AI21" s="550">
        <f t="shared" si="13"/>
        <v>100</v>
      </c>
    </row>
    <row r="22" spans="2:35" x14ac:dyDescent="0.25">
      <c r="B22" s="545">
        <v>2024</v>
      </c>
      <c r="C22" s="551" t="s">
        <v>645</v>
      </c>
      <c r="D22" s="548"/>
      <c r="E22" s="549">
        <v>5</v>
      </c>
      <c r="F22" s="548">
        <f t="shared" si="0"/>
        <v>0</v>
      </c>
      <c r="G22" s="550">
        <f t="shared" si="1"/>
        <v>100</v>
      </c>
      <c r="I22" s="545">
        <f t="shared" si="2"/>
        <v>2025</v>
      </c>
      <c r="J22" s="547" t="str">
        <f>$C$22</f>
        <v>JUL</v>
      </c>
      <c r="K22" s="548"/>
      <c r="L22" s="549">
        <f>$E$22</f>
        <v>5</v>
      </c>
      <c r="M22" s="548">
        <f t="shared" si="3"/>
        <v>0</v>
      </c>
      <c r="N22" s="550">
        <f t="shared" si="4"/>
        <v>100</v>
      </c>
      <c r="P22" s="545">
        <f t="shared" si="5"/>
        <v>2026</v>
      </c>
      <c r="Q22" s="547" t="str">
        <f>$C$22</f>
        <v>JUL</v>
      </c>
      <c r="R22" s="548"/>
      <c r="S22" s="549">
        <f>$E$22</f>
        <v>5</v>
      </c>
      <c r="T22" s="548">
        <f t="shared" si="6"/>
        <v>0</v>
      </c>
      <c r="U22" s="550">
        <f t="shared" si="7"/>
        <v>100</v>
      </c>
      <c r="W22" s="545">
        <f t="shared" si="8"/>
        <v>2027</v>
      </c>
      <c r="X22" s="547" t="str">
        <f>$C$22</f>
        <v>JUL</v>
      </c>
      <c r="Y22" s="548"/>
      <c r="Z22" s="549">
        <f>$E$22</f>
        <v>5</v>
      </c>
      <c r="AA22" s="548">
        <f t="shared" si="9"/>
        <v>0</v>
      </c>
      <c r="AB22" s="550">
        <f t="shared" si="10"/>
        <v>100</v>
      </c>
      <c r="AD22" s="545">
        <f t="shared" si="11"/>
        <v>2028</v>
      </c>
      <c r="AE22" s="547" t="str">
        <f>$C$22</f>
        <v>JUL</v>
      </c>
      <c r="AF22" s="548"/>
      <c r="AG22" s="549">
        <f>$E$22</f>
        <v>5</v>
      </c>
      <c r="AH22" s="548">
        <f t="shared" si="12"/>
        <v>0</v>
      </c>
      <c r="AI22" s="550">
        <f t="shared" si="13"/>
        <v>100</v>
      </c>
    </row>
    <row r="23" spans="2:35" x14ac:dyDescent="0.25">
      <c r="B23" s="770" t="s">
        <v>646</v>
      </c>
      <c r="C23" s="770"/>
      <c r="D23" s="770"/>
      <c r="E23" s="770"/>
      <c r="F23" s="770"/>
      <c r="G23" s="554">
        <f>ROUND(((G22-G9)/G9),4)</f>
        <v>0</v>
      </c>
      <c r="I23" s="770" t="s">
        <v>646</v>
      </c>
      <c r="J23" s="770"/>
      <c r="K23" s="770"/>
      <c r="L23" s="770"/>
      <c r="M23" s="770"/>
      <c r="N23" s="554">
        <f>ROUND(((N22-N9)/N9),4)</f>
        <v>0</v>
      </c>
      <c r="P23" s="770" t="s">
        <v>646</v>
      </c>
      <c r="Q23" s="770"/>
      <c r="R23" s="770"/>
      <c r="S23" s="770"/>
      <c r="T23" s="770"/>
      <c r="U23" s="554">
        <f>ROUND(((U22-U9)/U9),4)</f>
        <v>0</v>
      </c>
      <c r="W23" s="770" t="s">
        <v>646</v>
      </c>
      <c r="X23" s="770"/>
      <c r="Y23" s="770"/>
      <c r="Z23" s="770"/>
      <c r="AA23" s="770"/>
      <c r="AB23" s="554">
        <f>ROUND(((AB22-AB9)/AB9),4)</f>
        <v>0</v>
      </c>
      <c r="AD23" s="770" t="s">
        <v>646</v>
      </c>
      <c r="AE23" s="770"/>
      <c r="AF23" s="770"/>
      <c r="AG23" s="770"/>
      <c r="AH23" s="770"/>
      <c r="AI23" s="554">
        <f>ROUND(((AI22-AI9)/AI9),4)</f>
        <v>0</v>
      </c>
    </row>
  </sheetData>
  <sheetProtection sheet="1" objects="1" scenarios="1"/>
  <mergeCells count="20">
    <mergeCell ref="B6:G6"/>
    <mergeCell ref="I6:N6"/>
    <mergeCell ref="P6:U6"/>
    <mergeCell ref="W6:AB6"/>
    <mergeCell ref="AD6:AI6"/>
    <mergeCell ref="C7:G7"/>
    <mergeCell ref="J7:N7"/>
    <mergeCell ref="Q7:U7"/>
    <mergeCell ref="X7:AB7"/>
    <mergeCell ref="AE7:AI7"/>
    <mergeCell ref="B8:C8"/>
    <mergeCell ref="I8:J8"/>
    <mergeCell ref="P8:Q8"/>
    <mergeCell ref="W8:X8"/>
    <mergeCell ref="AD8:AE8"/>
    <mergeCell ref="B23:F23"/>
    <mergeCell ref="I23:M23"/>
    <mergeCell ref="P23:T23"/>
    <mergeCell ref="W23:AA23"/>
    <mergeCell ref="AD23:AH23"/>
  </mergeCells>
  <pageMargins left="0.51180555555555496" right="0.51180555555555496" top="0.78749999999999998" bottom="0.78749999999999998" header="0.51180555555555496" footer="0.51180555555555496"/>
  <pageSetup paperSize="9" firstPageNumber="0"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2F8E2-6E14-4AD0-BADD-B3DDD92C78D1}">
  <sheetPr>
    <tabColor rgb="FFC00000"/>
  </sheetPr>
  <dimension ref="B1:H30"/>
  <sheetViews>
    <sheetView showGridLines="0" topLeftCell="B1" workbookViewId="0">
      <selection activeCell="G4" sqref="G4"/>
    </sheetView>
  </sheetViews>
  <sheetFormatPr defaultRowHeight="12.75" x14ac:dyDescent="0.2"/>
  <cols>
    <col min="1" max="1" width="9.140625" style="555"/>
    <col min="2" max="2" width="41.140625" style="555" customWidth="1"/>
    <col min="3" max="3" width="13.42578125" style="555" customWidth="1"/>
    <col min="4" max="4" width="17.28515625" style="555" customWidth="1"/>
    <col min="5" max="5" width="10.140625" style="555" customWidth="1"/>
    <col min="6" max="256" width="9.140625" style="555"/>
    <col min="257" max="257" width="41.140625" style="555" customWidth="1"/>
    <col min="258" max="258" width="27" style="555" customWidth="1"/>
    <col min="259" max="259" width="17.28515625" style="555" customWidth="1"/>
    <col min="260" max="260" width="6.42578125" style="555" customWidth="1"/>
    <col min="261" max="261" width="10.140625" style="555" customWidth="1"/>
    <col min="262" max="512" width="9.140625" style="555"/>
    <col min="513" max="513" width="41.140625" style="555" customWidth="1"/>
    <col min="514" max="514" width="27" style="555" customWidth="1"/>
    <col min="515" max="515" width="17.28515625" style="555" customWidth="1"/>
    <col min="516" max="516" width="6.42578125" style="555" customWidth="1"/>
    <col min="517" max="517" width="10.140625" style="555" customWidth="1"/>
    <col min="518" max="768" width="9.140625" style="555"/>
    <col min="769" max="769" width="41.140625" style="555" customWidth="1"/>
    <col min="770" max="770" width="27" style="555" customWidth="1"/>
    <col min="771" max="771" width="17.28515625" style="555" customWidth="1"/>
    <col min="772" max="772" width="6.42578125" style="555" customWidth="1"/>
    <col min="773" max="773" width="10.140625" style="555" customWidth="1"/>
    <col min="774" max="1024" width="9.140625" style="555"/>
    <col min="1025" max="1025" width="41.140625" style="555" customWidth="1"/>
    <col min="1026" max="1026" width="27" style="555" customWidth="1"/>
    <col min="1027" max="1027" width="17.28515625" style="555" customWidth="1"/>
    <col min="1028" max="1028" width="6.42578125" style="555" customWidth="1"/>
    <col min="1029" max="1029" width="10.140625" style="555" customWidth="1"/>
    <col min="1030" max="1280" width="9.140625" style="555"/>
    <col min="1281" max="1281" width="41.140625" style="555" customWidth="1"/>
    <col min="1282" max="1282" width="27" style="555" customWidth="1"/>
    <col min="1283" max="1283" width="17.28515625" style="555" customWidth="1"/>
    <col min="1284" max="1284" width="6.42578125" style="555" customWidth="1"/>
    <col min="1285" max="1285" width="10.140625" style="555" customWidth="1"/>
    <col min="1286" max="1536" width="9.140625" style="555"/>
    <col min="1537" max="1537" width="41.140625" style="555" customWidth="1"/>
    <col min="1538" max="1538" width="27" style="555" customWidth="1"/>
    <col min="1539" max="1539" width="17.28515625" style="555" customWidth="1"/>
    <col min="1540" max="1540" width="6.42578125" style="555" customWidth="1"/>
    <col min="1541" max="1541" width="10.140625" style="555" customWidth="1"/>
    <col min="1542" max="1792" width="9.140625" style="555"/>
    <col min="1793" max="1793" width="41.140625" style="555" customWidth="1"/>
    <col min="1794" max="1794" width="27" style="555" customWidth="1"/>
    <col min="1795" max="1795" width="17.28515625" style="555" customWidth="1"/>
    <col min="1796" max="1796" width="6.42578125" style="555" customWidth="1"/>
    <col min="1797" max="1797" width="10.140625" style="555" customWidth="1"/>
    <col min="1798" max="2048" width="9.140625" style="555"/>
    <col min="2049" max="2049" width="41.140625" style="555" customWidth="1"/>
    <col min="2050" max="2050" width="27" style="555" customWidth="1"/>
    <col min="2051" max="2051" width="17.28515625" style="555" customWidth="1"/>
    <col min="2052" max="2052" width="6.42578125" style="555" customWidth="1"/>
    <col min="2053" max="2053" width="10.140625" style="555" customWidth="1"/>
    <col min="2054" max="2304" width="9.140625" style="555"/>
    <col min="2305" max="2305" width="41.140625" style="555" customWidth="1"/>
    <col min="2306" max="2306" width="27" style="555" customWidth="1"/>
    <col min="2307" max="2307" width="17.28515625" style="555" customWidth="1"/>
    <col min="2308" max="2308" width="6.42578125" style="555" customWidth="1"/>
    <col min="2309" max="2309" width="10.140625" style="555" customWidth="1"/>
    <col min="2310" max="2560" width="9.140625" style="555"/>
    <col min="2561" max="2561" width="41.140625" style="555" customWidth="1"/>
    <col min="2562" max="2562" width="27" style="555" customWidth="1"/>
    <col min="2563" max="2563" width="17.28515625" style="555" customWidth="1"/>
    <col min="2564" max="2564" width="6.42578125" style="555" customWidth="1"/>
    <col min="2565" max="2565" width="10.140625" style="555" customWidth="1"/>
    <col min="2566" max="2816" width="9.140625" style="555"/>
    <col min="2817" max="2817" width="41.140625" style="555" customWidth="1"/>
    <col min="2818" max="2818" width="27" style="555" customWidth="1"/>
    <col min="2819" max="2819" width="17.28515625" style="555" customWidth="1"/>
    <col min="2820" max="2820" width="6.42578125" style="555" customWidth="1"/>
    <col min="2821" max="2821" width="10.140625" style="555" customWidth="1"/>
    <col min="2822" max="3072" width="9.140625" style="555"/>
    <col min="3073" max="3073" width="41.140625" style="555" customWidth="1"/>
    <col min="3074" max="3074" width="27" style="555" customWidth="1"/>
    <col min="3075" max="3075" width="17.28515625" style="555" customWidth="1"/>
    <col min="3076" max="3076" width="6.42578125" style="555" customWidth="1"/>
    <col min="3077" max="3077" width="10.140625" style="555" customWidth="1"/>
    <col min="3078" max="3328" width="9.140625" style="555"/>
    <col min="3329" max="3329" width="41.140625" style="555" customWidth="1"/>
    <col min="3330" max="3330" width="27" style="555" customWidth="1"/>
    <col min="3331" max="3331" width="17.28515625" style="555" customWidth="1"/>
    <col min="3332" max="3332" width="6.42578125" style="555" customWidth="1"/>
    <col min="3333" max="3333" width="10.140625" style="555" customWidth="1"/>
    <col min="3334" max="3584" width="9.140625" style="555"/>
    <col min="3585" max="3585" width="41.140625" style="555" customWidth="1"/>
    <col min="3586" max="3586" width="27" style="555" customWidth="1"/>
    <col min="3587" max="3587" width="17.28515625" style="555" customWidth="1"/>
    <col min="3588" max="3588" width="6.42578125" style="555" customWidth="1"/>
    <col min="3589" max="3589" width="10.140625" style="555" customWidth="1"/>
    <col min="3590" max="3840" width="9.140625" style="555"/>
    <col min="3841" max="3841" width="41.140625" style="555" customWidth="1"/>
    <col min="3842" max="3842" width="27" style="555" customWidth="1"/>
    <col min="3843" max="3843" width="17.28515625" style="555" customWidth="1"/>
    <col min="3844" max="3844" width="6.42578125" style="555" customWidth="1"/>
    <col min="3845" max="3845" width="10.140625" style="555" customWidth="1"/>
    <col min="3846" max="4096" width="9.140625" style="555"/>
    <col min="4097" max="4097" width="41.140625" style="555" customWidth="1"/>
    <col min="4098" max="4098" width="27" style="555" customWidth="1"/>
    <col min="4099" max="4099" width="17.28515625" style="555" customWidth="1"/>
    <col min="4100" max="4100" width="6.42578125" style="555" customWidth="1"/>
    <col min="4101" max="4101" width="10.140625" style="555" customWidth="1"/>
    <col min="4102" max="4352" width="9.140625" style="555"/>
    <col min="4353" max="4353" width="41.140625" style="555" customWidth="1"/>
    <col min="4354" max="4354" width="27" style="555" customWidth="1"/>
    <col min="4355" max="4355" width="17.28515625" style="555" customWidth="1"/>
    <col min="4356" max="4356" width="6.42578125" style="555" customWidth="1"/>
    <col min="4357" max="4357" width="10.140625" style="555" customWidth="1"/>
    <col min="4358" max="4608" width="9.140625" style="555"/>
    <col min="4609" max="4609" width="41.140625" style="555" customWidth="1"/>
    <col min="4610" max="4610" width="27" style="555" customWidth="1"/>
    <col min="4611" max="4611" width="17.28515625" style="555" customWidth="1"/>
    <col min="4612" max="4612" width="6.42578125" style="555" customWidth="1"/>
    <col min="4613" max="4613" width="10.140625" style="555" customWidth="1"/>
    <col min="4614" max="4864" width="9.140625" style="555"/>
    <col min="4865" max="4865" width="41.140625" style="555" customWidth="1"/>
    <col min="4866" max="4866" width="27" style="555" customWidth="1"/>
    <col min="4867" max="4867" width="17.28515625" style="555" customWidth="1"/>
    <col min="4868" max="4868" width="6.42578125" style="555" customWidth="1"/>
    <col min="4869" max="4869" width="10.140625" style="555" customWidth="1"/>
    <col min="4870" max="5120" width="9.140625" style="555"/>
    <col min="5121" max="5121" width="41.140625" style="555" customWidth="1"/>
    <col min="5122" max="5122" width="27" style="555" customWidth="1"/>
    <col min="5123" max="5123" width="17.28515625" style="555" customWidth="1"/>
    <col min="5124" max="5124" width="6.42578125" style="555" customWidth="1"/>
    <col min="5125" max="5125" width="10.140625" style="555" customWidth="1"/>
    <col min="5126" max="5376" width="9.140625" style="555"/>
    <col min="5377" max="5377" width="41.140625" style="555" customWidth="1"/>
    <col min="5378" max="5378" width="27" style="555" customWidth="1"/>
    <col min="5379" max="5379" width="17.28515625" style="555" customWidth="1"/>
    <col min="5380" max="5380" width="6.42578125" style="555" customWidth="1"/>
    <col min="5381" max="5381" width="10.140625" style="555" customWidth="1"/>
    <col min="5382" max="5632" width="9.140625" style="555"/>
    <col min="5633" max="5633" width="41.140625" style="555" customWidth="1"/>
    <col min="5634" max="5634" width="27" style="555" customWidth="1"/>
    <col min="5635" max="5635" width="17.28515625" style="555" customWidth="1"/>
    <col min="5636" max="5636" width="6.42578125" style="555" customWidth="1"/>
    <col min="5637" max="5637" width="10.140625" style="555" customWidth="1"/>
    <col min="5638" max="5888" width="9.140625" style="555"/>
    <col min="5889" max="5889" width="41.140625" style="555" customWidth="1"/>
    <col min="5890" max="5890" width="27" style="555" customWidth="1"/>
    <col min="5891" max="5891" width="17.28515625" style="555" customWidth="1"/>
    <col min="5892" max="5892" width="6.42578125" style="555" customWidth="1"/>
    <col min="5893" max="5893" width="10.140625" style="555" customWidth="1"/>
    <col min="5894" max="6144" width="9.140625" style="555"/>
    <col min="6145" max="6145" width="41.140625" style="555" customWidth="1"/>
    <col min="6146" max="6146" width="27" style="555" customWidth="1"/>
    <col min="6147" max="6147" width="17.28515625" style="555" customWidth="1"/>
    <col min="6148" max="6148" width="6.42578125" style="555" customWidth="1"/>
    <col min="6149" max="6149" width="10.140625" style="555" customWidth="1"/>
    <col min="6150" max="6400" width="9.140625" style="555"/>
    <col min="6401" max="6401" width="41.140625" style="555" customWidth="1"/>
    <col min="6402" max="6402" width="27" style="555" customWidth="1"/>
    <col min="6403" max="6403" width="17.28515625" style="555" customWidth="1"/>
    <col min="6404" max="6404" width="6.42578125" style="555" customWidth="1"/>
    <col min="6405" max="6405" width="10.140625" style="555" customWidth="1"/>
    <col min="6406" max="6656" width="9.140625" style="555"/>
    <col min="6657" max="6657" width="41.140625" style="555" customWidth="1"/>
    <col min="6658" max="6658" width="27" style="555" customWidth="1"/>
    <col min="6659" max="6659" width="17.28515625" style="555" customWidth="1"/>
    <col min="6660" max="6660" width="6.42578125" style="555" customWidth="1"/>
    <col min="6661" max="6661" width="10.140625" style="555" customWidth="1"/>
    <col min="6662" max="6912" width="9.140625" style="555"/>
    <col min="6913" max="6913" width="41.140625" style="555" customWidth="1"/>
    <col min="6914" max="6914" width="27" style="555" customWidth="1"/>
    <col min="6915" max="6915" width="17.28515625" style="555" customWidth="1"/>
    <col min="6916" max="6916" width="6.42578125" style="555" customWidth="1"/>
    <col min="6917" max="6917" width="10.140625" style="555" customWidth="1"/>
    <col min="6918" max="7168" width="9.140625" style="555"/>
    <col min="7169" max="7169" width="41.140625" style="555" customWidth="1"/>
    <col min="7170" max="7170" width="27" style="555" customWidth="1"/>
    <col min="7171" max="7171" width="17.28515625" style="555" customWidth="1"/>
    <col min="7172" max="7172" width="6.42578125" style="555" customWidth="1"/>
    <col min="7173" max="7173" width="10.140625" style="555" customWidth="1"/>
    <col min="7174" max="7424" width="9.140625" style="555"/>
    <col min="7425" max="7425" width="41.140625" style="555" customWidth="1"/>
    <col min="7426" max="7426" width="27" style="555" customWidth="1"/>
    <col min="7427" max="7427" width="17.28515625" style="555" customWidth="1"/>
    <col min="7428" max="7428" width="6.42578125" style="555" customWidth="1"/>
    <col min="7429" max="7429" width="10.140625" style="555" customWidth="1"/>
    <col min="7430" max="7680" width="9.140625" style="555"/>
    <col min="7681" max="7681" width="41.140625" style="555" customWidth="1"/>
    <col min="7682" max="7682" width="27" style="555" customWidth="1"/>
    <col min="7683" max="7683" width="17.28515625" style="555" customWidth="1"/>
    <col min="7684" max="7684" width="6.42578125" style="555" customWidth="1"/>
    <col min="7685" max="7685" width="10.140625" style="555" customWidth="1"/>
    <col min="7686" max="7936" width="9.140625" style="555"/>
    <col min="7937" max="7937" width="41.140625" style="555" customWidth="1"/>
    <col min="7938" max="7938" width="27" style="555" customWidth="1"/>
    <col min="7939" max="7939" width="17.28515625" style="555" customWidth="1"/>
    <col min="7940" max="7940" width="6.42578125" style="555" customWidth="1"/>
    <col min="7941" max="7941" width="10.140625" style="555" customWidth="1"/>
    <col min="7942" max="8192" width="9.140625" style="555"/>
    <col min="8193" max="8193" width="41.140625" style="555" customWidth="1"/>
    <col min="8194" max="8194" width="27" style="555" customWidth="1"/>
    <col min="8195" max="8195" width="17.28515625" style="555" customWidth="1"/>
    <col min="8196" max="8196" width="6.42578125" style="555" customWidth="1"/>
    <col min="8197" max="8197" width="10.140625" style="555" customWidth="1"/>
    <col min="8198" max="8448" width="9.140625" style="555"/>
    <col min="8449" max="8449" width="41.140625" style="555" customWidth="1"/>
    <col min="8450" max="8450" width="27" style="555" customWidth="1"/>
    <col min="8451" max="8451" width="17.28515625" style="555" customWidth="1"/>
    <col min="8452" max="8452" width="6.42578125" style="555" customWidth="1"/>
    <col min="8453" max="8453" width="10.140625" style="555" customWidth="1"/>
    <col min="8454" max="8704" width="9.140625" style="555"/>
    <col min="8705" max="8705" width="41.140625" style="555" customWidth="1"/>
    <col min="8706" max="8706" width="27" style="555" customWidth="1"/>
    <col min="8707" max="8707" width="17.28515625" style="555" customWidth="1"/>
    <col min="8708" max="8708" width="6.42578125" style="555" customWidth="1"/>
    <col min="8709" max="8709" width="10.140625" style="555" customWidth="1"/>
    <col min="8710" max="8960" width="9.140625" style="555"/>
    <col min="8961" max="8961" width="41.140625" style="555" customWidth="1"/>
    <col min="8962" max="8962" width="27" style="555" customWidth="1"/>
    <col min="8963" max="8963" width="17.28515625" style="555" customWidth="1"/>
    <col min="8964" max="8964" width="6.42578125" style="555" customWidth="1"/>
    <col min="8965" max="8965" width="10.140625" style="555" customWidth="1"/>
    <col min="8966" max="9216" width="9.140625" style="555"/>
    <col min="9217" max="9217" width="41.140625" style="555" customWidth="1"/>
    <col min="9218" max="9218" width="27" style="555" customWidth="1"/>
    <col min="9219" max="9219" width="17.28515625" style="555" customWidth="1"/>
    <col min="9220" max="9220" width="6.42578125" style="555" customWidth="1"/>
    <col min="9221" max="9221" width="10.140625" style="555" customWidth="1"/>
    <col min="9222" max="9472" width="9.140625" style="555"/>
    <col min="9473" max="9473" width="41.140625" style="555" customWidth="1"/>
    <col min="9474" max="9474" width="27" style="555" customWidth="1"/>
    <col min="9475" max="9475" width="17.28515625" style="555" customWidth="1"/>
    <col min="9476" max="9476" width="6.42578125" style="555" customWidth="1"/>
    <col min="9477" max="9477" width="10.140625" style="555" customWidth="1"/>
    <col min="9478" max="9728" width="9.140625" style="555"/>
    <col min="9729" max="9729" width="41.140625" style="555" customWidth="1"/>
    <col min="9730" max="9730" width="27" style="555" customWidth="1"/>
    <col min="9731" max="9731" width="17.28515625" style="555" customWidth="1"/>
    <col min="9732" max="9732" width="6.42578125" style="555" customWidth="1"/>
    <col min="9733" max="9733" width="10.140625" style="555" customWidth="1"/>
    <col min="9734" max="9984" width="9.140625" style="555"/>
    <col min="9985" max="9985" width="41.140625" style="555" customWidth="1"/>
    <col min="9986" max="9986" width="27" style="555" customWidth="1"/>
    <col min="9987" max="9987" width="17.28515625" style="555" customWidth="1"/>
    <col min="9988" max="9988" width="6.42578125" style="555" customWidth="1"/>
    <col min="9989" max="9989" width="10.140625" style="555" customWidth="1"/>
    <col min="9990" max="10240" width="9.140625" style="555"/>
    <col min="10241" max="10241" width="41.140625" style="555" customWidth="1"/>
    <col min="10242" max="10242" width="27" style="555" customWidth="1"/>
    <col min="10243" max="10243" width="17.28515625" style="555" customWidth="1"/>
    <col min="10244" max="10244" width="6.42578125" style="555" customWidth="1"/>
    <col min="10245" max="10245" width="10.140625" style="555" customWidth="1"/>
    <col min="10246" max="10496" width="9.140625" style="555"/>
    <col min="10497" max="10497" width="41.140625" style="555" customWidth="1"/>
    <col min="10498" max="10498" width="27" style="555" customWidth="1"/>
    <col min="10499" max="10499" width="17.28515625" style="555" customWidth="1"/>
    <col min="10500" max="10500" width="6.42578125" style="555" customWidth="1"/>
    <col min="10501" max="10501" width="10.140625" style="555" customWidth="1"/>
    <col min="10502" max="10752" width="9.140625" style="555"/>
    <col min="10753" max="10753" width="41.140625" style="555" customWidth="1"/>
    <col min="10754" max="10754" width="27" style="555" customWidth="1"/>
    <col min="10755" max="10755" width="17.28515625" style="555" customWidth="1"/>
    <col min="10756" max="10756" width="6.42578125" style="555" customWidth="1"/>
    <col min="10757" max="10757" width="10.140625" style="555" customWidth="1"/>
    <col min="10758" max="11008" width="9.140625" style="555"/>
    <col min="11009" max="11009" width="41.140625" style="555" customWidth="1"/>
    <col min="11010" max="11010" width="27" style="555" customWidth="1"/>
    <col min="11011" max="11011" width="17.28515625" style="555" customWidth="1"/>
    <col min="11012" max="11012" width="6.42578125" style="555" customWidth="1"/>
    <col min="11013" max="11013" width="10.140625" style="555" customWidth="1"/>
    <col min="11014" max="11264" width="9.140625" style="555"/>
    <col min="11265" max="11265" width="41.140625" style="555" customWidth="1"/>
    <col min="11266" max="11266" width="27" style="555" customWidth="1"/>
    <col min="11267" max="11267" width="17.28515625" style="555" customWidth="1"/>
    <col min="11268" max="11268" width="6.42578125" style="555" customWidth="1"/>
    <col min="11269" max="11269" width="10.140625" style="555" customWidth="1"/>
    <col min="11270" max="11520" width="9.140625" style="555"/>
    <col min="11521" max="11521" width="41.140625" style="555" customWidth="1"/>
    <col min="11522" max="11522" width="27" style="555" customWidth="1"/>
    <col min="11523" max="11523" width="17.28515625" style="555" customWidth="1"/>
    <col min="11524" max="11524" width="6.42578125" style="555" customWidth="1"/>
    <col min="11525" max="11525" width="10.140625" style="555" customWidth="1"/>
    <col min="11526" max="11776" width="9.140625" style="555"/>
    <col min="11777" max="11777" width="41.140625" style="555" customWidth="1"/>
    <col min="11778" max="11778" width="27" style="555" customWidth="1"/>
    <col min="11779" max="11779" width="17.28515625" style="555" customWidth="1"/>
    <col min="11780" max="11780" width="6.42578125" style="555" customWidth="1"/>
    <col min="11781" max="11781" width="10.140625" style="555" customWidth="1"/>
    <col min="11782" max="12032" width="9.140625" style="555"/>
    <col min="12033" max="12033" width="41.140625" style="555" customWidth="1"/>
    <col min="12034" max="12034" width="27" style="555" customWidth="1"/>
    <col min="12035" max="12035" width="17.28515625" style="555" customWidth="1"/>
    <col min="12036" max="12036" width="6.42578125" style="555" customWidth="1"/>
    <col min="12037" max="12037" width="10.140625" style="555" customWidth="1"/>
    <col min="12038" max="12288" width="9.140625" style="555"/>
    <col min="12289" max="12289" width="41.140625" style="555" customWidth="1"/>
    <col min="12290" max="12290" width="27" style="555" customWidth="1"/>
    <col min="12291" max="12291" width="17.28515625" style="555" customWidth="1"/>
    <col min="12292" max="12292" width="6.42578125" style="555" customWidth="1"/>
    <col min="12293" max="12293" width="10.140625" style="555" customWidth="1"/>
    <col min="12294" max="12544" width="9.140625" style="555"/>
    <col min="12545" max="12545" width="41.140625" style="555" customWidth="1"/>
    <col min="12546" max="12546" width="27" style="555" customWidth="1"/>
    <col min="12547" max="12547" width="17.28515625" style="555" customWidth="1"/>
    <col min="12548" max="12548" width="6.42578125" style="555" customWidth="1"/>
    <col min="12549" max="12549" width="10.140625" style="555" customWidth="1"/>
    <col min="12550" max="12800" width="9.140625" style="555"/>
    <col min="12801" max="12801" width="41.140625" style="555" customWidth="1"/>
    <col min="12802" max="12802" width="27" style="555" customWidth="1"/>
    <col min="12803" max="12803" width="17.28515625" style="555" customWidth="1"/>
    <col min="12804" max="12804" width="6.42578125" style="555" customWidth="1"/>
    <col min="12805" max="12805" width="10.140625" style="555" customWidth="1"/>
    <col min="12806" max="13056" width="9.140625" style="555"/>
    <col min="13057" max="13057" width="41.140625" style="555" customWidth="1"/>
    <col min="13058" max="13058" width="27" style="555" customWidth="1"/>
    <col min="13059" max="13059" width="17.28515625" style="555" customWidth="1"/>
    <col min="13060" max="13060" width="6.42578125" style="555" customWidth="1"/>
    <col min="13061" max="13061" width="10.140625" style="555" customWidth="1"/>
    <col min="13062" max="13312" width="9.140625" style="555"/>
    <col min="13313" max="13313" width="41.140625" style="555" customWidth="1"/>
    <col min="13314" max="13314" width="27" style="555" customWidth="1"/>
    <col min="13315" max="13315" width="17.28515625" style="555" customWidth="1"/>
    <col min="13316" max="13316" width="6.42578125" style="555" customWidth="1"/>
    <col min="13317" max="13317" width="10.140625" style="555" customWidth="1"/>
    <col min="13318" max="13568" width="9.140625" style="555"/>
    <col min="13569" max="13569" width="41.140625" style="555" customWidth="1"/>
    <col min="13570" max="13570" width="27" style="555" customWidth="1"/>
    <col min="13571" max="13571" width="17.28515625" style="555" customWidth="1"/>
    <col min="13572" max="13572" width="6.42578125" style="555" customWidth="1"/>
    <col min="13573" max="13573" width="10.140625" style="555" customWidth="1"/>
    <col min="13574" max="13824" width="9.140625" style="555"/>
    <col min="13825" max="13825" width="41.140625" style="555" customWidth="1"/>
    <col min="13826" max="13826" width="27" style="555" customWidth="1"/>
    <col min="13827" max="13827" width="17.28515625" style="555" customWidth="1"/>
    <col min="13828" max="13828" width="6.42578125" style="555" customWidth="1"/>
    <col min="13829" max="13829" width="10.140625" style="555" customWidth="1"/>
    <col min="13830" max="14080" width="9.140625" style="555"/>
    <col min="14081" max="14081" width="41.140625" style="555" customWidth="1"/>
    <col min="14082" max="14082" width="27" style="555" customWidth="1"/>
    <col min="14083" max="14083" width="17.28515625" style="555" customWidth="1"/>
    <col min="14084" max="14084" width="6.42578125" style="555" customWidth="1"/>
    <col min="14085" max="14085" width="10.140625" style="555" customWidth="1"/>
    <col min="14086" max="14336" width="9.140625" style="555"/>
    <col min="14337" max="14337" width="41.140625" style="555" customWidth="1"/>
    <col min="14338" max="14338" width="27" style="555" customWidth="1"/>
    <col min="14339" max="14339" width="17.28515625" style="555" customWidth="1"/>
    <col min="14340" max="14340" width="6.42578125" style="555" customWidth="1"/>
    <col min="14341" max="14341" width="10.140625" style="555" customWidth="1"/>
    <col min="14342" max="14592" width="9.140625" style="555"/>
    <col min="14593" max="14593" width="41.140625" style="555" customWidth="1"/>
    <col min="14594" max="14594" width="27" style="555" customWidth="1"/>
    <col min="14595" max="14595" width="17.28515625" style="555" customWidth="1"/>
    <col min="14596" max="14596" width="6.42578125" style="555" customWidth="1"/>
    <col min="14597" max="14597" width="10.140625" style="555" customWidth="1"/>
    <col min="14598" max="14848" width="9.140625" style="555"/>
    <col min="14849" max="14849" width="41.140625" style="555" customWidth="1"/>
    <col min="14850" max="14850" width="27" style="555" customWidth="1"/>
    <col min="14851" max="14851" width="17.28515625" style="555" customWidth="1"/>
    <col min="14852" max="14852" width="6.42578125" style="555" customWidth="1"/>
    <col min="14853" max="14853" width="10.140625" style="555" customWidth="1"/>
    <col min="14854" max="15104" width="9.140625" style="555"/>
    <col min="15105" max="15105" width="41.140625" style="555" customWidth="1"/>
    <col min="15106" max="15106" width="27" style="555" customWidth="1"/>
    <col min="15107" max="15107" width="17.28515625" style="555" customWidth="1"/>
    <col min="15108" max="15108" width="6.42578125" style="555" customWidth="1"/>
    <col min="15109" max="15109" width="10.140625" style="555" customWidth="1"/>
    <col min="15110" max="15360" width="9.140625" style="555"/>
    <col min="15361" max="15361" width="41.140625" style="555" customWidth="1"/>
    <col min="15362" max="15362" width="27" style="555" customWidth="1"/>
    <col min="15363" max="15363" width="17.28515625" style="555" customWidth="1"/>
    <col min="15364" max="15364" width="6.42578125" style="555" customWidth="1"/>
    <col min="15365" max="15365" width="10.140625" style="555" customWidth="1"/>
    <col min="15366" max="15616" width="9.140625" style="555"/>
    <col min="15617" max="15617" width="41.140625" style="555" customWidth="1"/>
    <col min="15618" max="15618" width="27" style="555" customWidth="1"/>
    <col min="15619" max="15619" width="17.28515625" style="555" customWidth="1"/>
    <col min="15620" max="15620" width="6.42578125" style="555" customWidth="1"/>
    <col min="15621" max="15621" width="10.140625" style="555" customWidth="1"/>
    <col min="15622" max="15872" width="9.140625" style="555"/>
    <col min="15873" max="15873" width="41.140625" style="555" customWidth="1"/>
    <col min="15874" max="15874" width="27" style="555" customWidth="1"/>
    <col min="15875" max="15875" width="17.28515625" style="555" customWidth="1"/>
    <col min="15876" max="15876" width="6.42578125" style="555" customWidth="1"/>
    <col min="15877" max="15877" width="10.140625" style="555" customWidth="1"/>
    <col min="15878" max="16128" width="9.140625" style="555"/>
    <col min="16129" max="16129" width="41.140625" style="555" customWidth="1"/>
    <col min="16130" max="16130" width="27" style="555" customWidth="1"/>
    <col min="16131" max="16131" width="17.28515625" style="555" customWidth="1"/>
    <col min="16132" max="16132" width="6.42578125" style="555" customWidth="1"/>
    <col min="16133" max="16133" width="10.140625" style="555" customWidth="1"/>
    <col min="16134" max="16384" width="9.140625" style="555"/>
  </cols>
  <sheetData>
    <row r="1" spans="2:8" ht="13.5" thickBot="1" x14ac:dyDescent="0.25">
      <c r="B1" s="556"/>
      <c r="C1" s="556"/>
      <c r="D1" s="556"/>
      <c r="E1" s="556"/>
      <c r="F1" s="556"/>
      <c r="G1" s="556"/>
      <c r="H1" s="556"/>
    </row>
    <row r="2" spans="2:8" ht="15.75" x14ac:dyDescent="0.25">
      <c r="B2" s="557"/>
      <c r="C2" s="558"/>
      <c r="D2" s="559"/>
      <c r="E2" s="556"/>
      <c r="F2" s="556"/>
      <c r="G2" s="556"/>
      <c r="H2" s="556"/>
    </row>
    <row r="3" spans="2:8" ht="15.75" x14ac:dyDescent="0.2">
      <c r="B3" s="560" t="s">
        <v>651</v>
      </c>
      <c r="C3" s="561"/>
      <c r="D3" s="562">
        <f>'Serv Ins'!F14+'Serv Copeira'!F14+Serv!F14+Porteiro!F14+('Auxiliar Adm'!F14*4)</f>
        <v>11040.23</v>
      </c>
      <c r="E3" s="556"/>
      <c r="F3" s="556"/>
      <c r="G3" s="556"/>
      <c r="H3" s="556"/>
    </row>
    <row r="4" spans="2:8" ht="15.75" thickBot="1" x14ac:dyDescent="0.3">
      <c r="B4" s="563"/>
      <c r="C4" s="564"/>
      <c r="D4" s="565"/>
      <c r="E4" s="556"/>
      <c r="F4" s="556"/>
      <c r="G4" s="556"/>
      <c r="H4" s="556"/>
    </row>
    <row r="5" spans="2:8" ht="15" customHeight="1" thickBot="1" x14ac:dyDescent="0.25">
      <c r="B5" s="566" t="s">
        <v>652</v>
      </c>
      <c r="C5" s="567">
        <f>[1]Encargos!C18</f>
        <v>0.35200000000000009</v>
      </c>
      <c r="D5" s="568">
        <f>$D$3*C5</f>
        <v>3886.1609600000011</v>
      </c>
      <c r="E5" s="556"/>
      <c r="F5" s="556"/>
      <c r="G5" s="556"/>
      <c r="H5" s="556"/>
    </row>
    <row r="6" spans="2:8" ht="15" customHeight="1" thickBot="1" x14ac:dyDescent="0.25">
      <c r="B6" s="566" t="s">
        <v>360</v>
      </c>
      <c r="C6" s="567">
        <v>0.121</v>
      </c>
      <c r="D6" s="568">
        <f>$D$3*C6</f>
        <v>1335.8678299999999</v>
      </c>
      <c r="E6" s="569"/>
      <c r="F6" s="569"/>
      <c r="G6" s="569"/>
      <c r="H6" s="556"/>
    </row>
    <row r="7" spans="2:8" ht="15" customHeight="1" thickBot="1" x14ac:dyDescent="0.25">
      <c r="B7" s="566" t="s">
        <v>315</v>
      </c>
      <c r="C7" s="567">
        <v>8.3299999999999999E-2</v>
      </c>
      <c r="D7" s="568">
        <f>$D$3*C7</f>
        <v>919.65115900000001</v>
      </c>
      <c r="E7" s="569"/>
      <c r="F7" s="569"/>
      <c r="G7" s="569"/>
      <c r="H7" s="556"/>
    </row>
    <row r="8" spans="2:8" ht="15" customHeight="1" thickBot="1" x14ac:dyDescent="0.25">
      <c r="B8" s="566" t="s">
        <v>653</v>
      </c>
      <c r="C8" s="567">
        <v>0.04</v>
      </c>
      <c r="D8" s="568">
        <f>$D$3*C8</f>
        <v>441.60919999999999</v>
      </c>
      <c r="E8" s="556"/>
      <c r="F8" s="556"/>
      <c r="G8" s="556"/>
      <c r="H8" s="556"/>
    </row>
    <row r="9" spans="2:8" ht="15" customHeight="1" thickBot="1" x14ac:dyDescent="0.25">
      <c r="B9" s="622" t="s">
        <v>227</v>
      </c>
      <c r="C9" s="623"/>
      <c r="D9" s="568">
        <f>'Serv Ins'!F22+'Serv Copeira'!F22+Serv!F22+Porteiro!F22+'Auxiliar Adm'!F22*4</f>
        <v>869.99</v>
      </c>
      <c r="E9" s="556"/>
      <c r="F9" s="556"/>
      <c r="G9" s="556"/>
      <c r="H9" s="556"/>
    </row>
    <row r="10" spans="2:8" ht="15" customHeight="1" thickBot="1" x14ac:dyDescent="0.25">
      <c r="B10" s="622" t="s">
        <v>236</v>
      </c>
      <c r="C10" s="623"/>
      <c r="D10" s="568">
        <f>'Serv Copeira'!F23+Serv!F23</f>
        <v>958.84</v>
      </c>
      <c r="E10" s="556"/>
      <c r="F10" s="556"/>
      <c r="G10" s="556"/>
      <c r="H10" s="556"/>
    </row>
    <row r="11" spans="2:8" ht="15" customHeight="1" thickBot="1" x14ac:dyDescent="0.25">
      <c r="B11" s="622" t="s">
        <v>224</v>
      </c>
      <c r="C11" s="623"/>
      <c r="D11" s="568">
        <f>'Serv Ins'!F20*8</f>
        <v>24.72</v>
      </c>
      <c r="E11" s="556"/>
      <c r="F11" s="556"/>
      <c r="G11" s="556"/>
      <c r="H11" s="556"/>
    </row>
    <row r="12" spans="2:8" ht="15" customHeight="1" thickBot="1" x14ac:dyDescent="0.25">
      <c r="B12" s="622" t="s">
        <v>654</v>
      </c>
      <c r="C12" s="623"/>
      <c r="D12" s="568">
        <f>'Serv Ins'!F19+'Serv Copeira'!F19+Serv!F19+Porteiro!F19+'Auxiliar Adm'!F19*4</f>
        <v>296.26</v>
      </c>
      <c r="E12" s="556"/>
      <c r="F12" s="556"/>
      <c r="G12" s="556"/>
      <c r="H12" s="556"/>
    </row>
    <row r="13" spans="2:8" ht="15" customHeight="1" thickBot="1" x14ac:dyDescent="0.25">
      <c r="B13" s="622" t="s">
        <v>655</v>
      </c>
      <c r="C13" s="623"/>
      <c r="D13" s="568">
        <f>Mat!K40+Mat!K53</f>
        <v>2088.0541666666663</v>
      </c>
      <c r="E13" s="556"/>
      <c r="F13" s="556"/>
      <c r="G13" s="556"/>
      <c r="H13" s="556"/>
    </row>
    <row r="14" spans="2:8" ht="15" customHeight="1" thickBot="1" x14ac:dyDescent="0.25">
      <c r="B14" s="622" t="s">
        <v>665</v>
      </c>
      <c r="C14" s="623"/>
      <c r="D14" s="570">
        <f>EPI!F8+Equip!G9</f>
        <v>18</v>
      </c>
      <c r="E14" s="556"/>
      <c r="F14" s="556"/>
      <c r="G14" s="556"/>
      <c r="H14" s="556"/>
    </row>
    <row r="15" spans="2:8" ht="15" customHeight="1" thickBot="1" x14ac:dyDescent="0.25">
      <c r="B15" s="566" t="s">
        <v>656</v>
      </c>
      <c r="C15" s="567">
        <v>0.01</v>
      </c>
      <c r="D15" s="568">
        <f>($D$23*C15)</f>
        <v>296.70004166666666</v>
      </c>
      <c r="E15" s="556"/>
      <c r="F15" s="556"/>
      <c r="G15" s="556"/>
      <c r="H15" s="556"/>
    </row>
    <row r="16" spans="2:8" ht="15" customHeight="1" thickBot="1" x14ac:dyDescent="0.25">
      <c r="B16" s="566" t="s">
        <v>657</v>
      </c>
      <c r="C16" s="567">
        <f>'Serv Ins'!D40</f>
        <v>6.6400000000000001E-3</v>
      </c>
      <c r="D16" s="568">
        <f>($D$23*C16)</f>
        <v>197.00882766666666</v>
      </c>
      <c r="E16" s="556"/>
      <c r="F16" s="556"/>
      <c r="G16" s="556"/>
      <c r="H16" s="556"/>
    </row>
    <row r="17" spans="2:8" ht="15" customHeight="1" thickBot="1" x14ac:dyDescent="0.25">
      <c r="B17" s="566" t="s">
        <v>250</v>
      </c>
      <c r="C17" s="567">
        <f>'Serv Ins'!D39</f>
        <v>3.065E-2</v>
      </c>
      <c r="D17" s="568">
        <f>($D$23*C17)</f>
        <v>909.38562770833335</v>
      </c>
      <c r="E17" s="556"/>
      <c r="F17" s="556"/>
      <c r="G17" s="556"/>
      <c r="H17" s="556"/>
    </row>
    <row r="18" spans="2:8" ht="15" customHeight="1" thickBot="1" x14ac:dyDescent="0.25">
      <c r="B18" s="566" t="s">
        <v>658</v>
      </c>
      <c r="C18" s="567">
        <f>'Serv Ins'!D41</f>
        <v>0.03</v>
      </c>
      <c r="D18" s="568">
        <f>($D$23*C18)</f>
        <v>890.10012499999993</v>
      </c>
      <c r="E18" s="556"/>
      <c r="F18" s="556"/>
      <c r="G18" s="556"/>
      <c r="H18" s="571">
        <f>'Serv Ins'!F33+'Serv Ins'!F35</f>
        <v>362.98</v>
      </c>
    </row>
    <row r="19" spans="2:8" ht="15" customHeight="1" thickBot="1" x14ac:dyDescent="0.25">
      <c r="B19" s="566" t="s">
        <v>659</v>
      </c>
      <c r="C19" s="567">
        <f>16%*15%</f>
        <v>2.4E-2</v>
      </c>
      <c r="D19" s="568">
        <f>H23*C19</f>
        <v>56.096879999999999</v>
      </c>
      <c r="E19" s="556"/>
      <c r="F19" s="556"/>
      <c r="G19" s="556"/>
      <c r="H19" s="571">
        <f>'Serv Copeira'!F33+'Serv Copeira'!F35</f>
        <v>386.96000000000004</v>
      </c>
    </row>
    <row r="20" spans="2:8" ht="15" customHeight="1" thickBot="1" x14ac:dyDescent="0.25">
      <c r="B20" s="566" t="s">
        <v>660</v>
      </c>
      <c r="C20" s="567">
        <v>9.5999999999999992E-3</v>
      </c>
      <c r="D20" s="568">
        <f>($D$23*C20)</f>
        <v>284.83203999999995</v>
      </c>
      <c r="E20" s="556"/>
      <c r="F20" s="556"/>
      <c r="G20" s="556"/>
      <c r="H20" s="571">
        <f>Serv!F33+Serv!F35</f>
        <v>371.64</v>
      </c>
    </row>
    <row r="21" spans="2:8" ht="16.5" thickBot="1" x14ac:dyDescent="0.25">
      <c r="B21" s="618" t="s">
        <v>200</v>
      </c>
      <c r="C21" s="619"/>
      <c r="D21" s="572">
        <f>SUM(D3:D20)</f>
        <v>24513.506857708337</v>
      </c>
      <c r="E21" s="571"/>
      <c r="F21" s="556"/>
      <c r="G21" s="556"/>
      <c r="H21" s="571">
        <f>Porteiro!F33+Porteiro!F35</f>
        <v>250.55</v>
      </c>
    </row>
    <row r="22" spans="2:8" x14ac:dyDescent="0.2">
      <c r="B22" s="573"/>
      <c r="C22" s="556"/>
      <c r="D22" s="574"/>
      <c r="E22" s="556"/>
      <c r="F22" s="556"/>
      <c r="G22" s="556"/>
      <c r="H22" s="571">
        <f>('Auxiliar Adm'!F33+'Auxiliar Adm'!F35)*4</f>
        <v>965.24</v>
      </c>
    </row>
    <row r="23" spans="2:8" ht="15" x14ac:dyDescent="0.2">
      <c r="B23" s="575" t="s">
        <v>661</v>
      </c>
      <c r="C23" s="576">
        <f>Resumo!W17+Resumo!W18</f>
        <v>29670.004166666666</v>
      </c>
      <c r="D23" s="577">
        <f>C23</f>
        <v>29670.004166666666</v>
      </c>
      <c r="E23" s="571"/>
      <c r="F23" s="556"/>
      <c r="G23" s="556"/>
      <c r="H23" s="571">
        <f>SUM(H18:H22)</f>
        <v>2337.37</v>
      </c>
    </row>
    <row r="24" spans="2:8" ht="15" x14ac:dyDescent="0.2">
      <c r="B24" s="575" t="s">
        <v>662</v>
      </c>
      <c r="C24" s="576">
        <f>C23-D21</f>
        <v>5156.4973089583291</v>
      </c>
      <c r="D24" s="578">
        <f>C24/C23</f>
        <v>0.17379496409884213</v>
      </c>
      <c r="E24" s="556"/>
      <c r="F24" s="556"/>
      <c r="G24" s="556"/>
      <c r="H24" s="556"/>
    </row>
    <row r="25" spans="2:8" ht="13.5" thickBot="1" x14ac:dyDescent="0.25">
      <c r="B25" s="579"/>
      <c r="C25" s="580"/>
      <c r="D25" s="581"/>
      <c r="E25" s="556"/>
      <c r="F25" s="556"/>
      <c r="G25" s="556"/>
      <c r="H25" s="556"/>
    </row>
    <row r="26" spans="2:8" ht="15.75" thickBot="1" x14ac:dyDescent="0.3">
      <c r="B26" s="620" t="s">
        <v>663</v>
      </c>
      <c r="C26" s="621"/>
      <c r="D26" s="582">
        <v>0.03</v>
      </c>
      <c r="E26" s="556"/>
      <c r="F26" s="556"/>
      <c r="G26" s="556"/>
      <c r="H26" s="556"/>
    </row>
    <row r="27" spans="2:8" ht="15.75" thickBot="1" x14ac:dyDescent="0.3">
      <c r="B27" s="620" t="s">
        <v>664</v>
      </c>
      <c r="C27" s="621"/>
      <c r="D27" s="582">
        <v>0.04</v>
      </c>
      <c r="E27" s="556"/>
      <c r="F27" s="556"/>
      <c r="G27" s="556"/>
      <c r="H27" s="556"/>
    </row>
    <row r="28" spans="2:8" x14ac:dyDescent="0.2">
      <c r="B28" s="556"/>
      <c r="C28" s="556"/>
      <c r="D28" s="556"/>
      <c r="E28" s="556"/>
      <c r="F28" s="556"/>
      <c r="G28" s="556"/>
      <c r="H28" s="556"/>
    </row>
    <row r="29" spans="2:8" x14ac:dyDescent="0.2">
      <c r="B29" s="556"/>
      <c r="C29" s="556"/>
      <c r="D29" s="556"/>
      <c r="E29" s="556"/>
      <c r="F29" s="556"/>
      <c r="G29" s="556"/>
      <c r="H29" s="556"/>
    </row>
    <row r="30" spans="2:8" x14ac:dyDescent="0.2">
      <c r="B30" s="556"/>
      <c r="C30" s="556"/>
      <c r="D30" s="556"/>
      <c r="E30" s="556"/>
      <c r="F30" s="556"/>
      <c r="G30" s="556"/>
      <c r="H30" s="556"/>
    </row>
  </sheetData>
  <sheetProtection algorithmName="SHA-512" hashValue="8L9frGo50PU63XUQZ9Ja+miiZakF/7hVu0vbo3ms0t4OTTMnlYlJeiEZswsLf3sl3vzQkCfNX1/oiRheNZBVDg==" saltValue="BWo0bltu03dTWXDARBOZsA==" spinCount="100000" sheet="1" objects="1" scenarios="1" selectLockedCells="1" selectUnlockedCells="1"/>
  <mergeCells count="9">
    <mergeCell ref="B21:C21"/>
    <mergeCell ref="B26:C26"/>
    <mergeCell ref="B27:C27"/>
    <mergeCell ref="B9:C9"/>
    <mergeCell ref="B10:C10"/>
    <mergeCell ref="B11:C11"/>
    <mergeCell ref="B12:C12"/>
    <mergeCell ref="B13:C13"/>
    <mergeCell ref="B14:C14"/>
  </mergeCells>
  <pageMargins left="0.511811024" right="0.511811024" top="0.78740157499999996" bottom="0.78740157499999996" header="0.31496062000000002" footer="0.31496062000000002"/>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86"/>
  <sheetViews>
    <sheetView showGridLines="0" topLeftCell="A67" zoomScale="110" zoomScaleNormal="110" workbookViewId="0">
      <selection activeCell="O9" sqref="O9"/>
    </sheetView>
  </sheetViews>
  <sheetFormatPr defaultRowHeight="15" x14ac:dyDescent="0.25"/>
  <cols>
    <col min="1" max="1" width="6.28515625" style="66" customWidth="1"/>
    <col min="2" max="2" width="8.7109375" style="98" customWidth="1"/>
    <col min="3" max="3" width="4" style="71" customWidth="1"/>
    <col min="4" max="23" width="9.140625" style="71" customWidth="1"/>
    <col min="24" max="24" width="10.7109375" style="71" customWidth="1"/>
    <col min="25" max="256" width="9.140625" style="71" customWidth="1"/>
    <col min="257" max="257" width="4.5703125" style="71" customWidth="1"/>
    <col min="258" max="258" width="11.140625" style="71" customWidth="1"/>
    <col min="259" max="259" width="4" style="71" customWidth="1"/>
    <col min="260" max="512" width="9.140625" style="71" customWidth="1"/>
    <col min="513" max="513" width="4.5703125" style="71" customWidth="1"/>
    <col min="514" max="514" width="11.140625" style="71" customWidth="1"/>
    <col min="515" max="515" width="4" style="71" customWidth="1"/>
    <col min="516" max="768" width="9.140625" style="71" customWidth="1"/>
    <col min="769" max="769" width="4.5703125" style="71" customWidth="1"/>
    <col min="770" max="770" width="11.140625" style="71" customWidth="1"/>
    <col min="771" max="771" width="4" style="71" customWidth="1"/>
    <col min="772" max="1025" width="9.140625" style="71" customWidth="1"/>
  </cols>
  <sheetData>
    <row r="1" spans="1:24" x14ac:dyDescent="0.25">
      <c r="A1" s="99"/>
      <c r="B1" s="100" t="s">
        <v>90</v>
      </c>
    </row>
    <row r="2" spans="1:24" x14ac:dyDescent="0.25">
      <c r="A2" s="101"/>
      <c r="B2" s="102" t="s">
        <v>91</v>
      </c>
    </row>
    <row r="3" spans="1:24" x14ac:dyDescent="0.25">
      <c r="A3" s="101"/>
      <c r="B3" s="71" t="s">
        <v>92</v>
      </c>
    </row>
    <row r="4" spans="1:24" s="17" customFormat="1" ht="15.75" x14ac:dyDescent="0.25">
      <c r="A4" s="624" t="s">
        <v>93</v>
      </c>
      <c r="B4" s="624"/>
      <c r="C4" s="624"/>
      <c r="D4" s="624"/>
      <c r="E4" s="624"/>
      <c r="F4" s="624"/>
      <c r="G4" s="624"/>
      <c r="H4" s="624"/>
      <c r="I4" s="624"/>
      <c r="J4" s="624"/>
      <c r="K4" s="624"/>
      <c r="L4" s="624"/>
      <c r="M4" s="624"/>
      <c r="N4" s="624"/>
      <c r="O4" s="624"/>
      <c r="P4" s="624"/>
      <c r="Q4" s="624"/>
      <c r="R4" s="624"/>
      <c r="S4" s="624"/>
      <c r="T4" s="624"/>
      <c r="U4" s="624"/>
      <c r="V4" s="624"/>
      <c r="W4" s="624"/>
      <c r="X4" s="624"/>
    </row>
    <row r="5" spans="1:24" ht="12" customHeight="1" x14ac:dyDescent="0.25"/>
    <row r="6" spans="1:24" x14ac:dyDescent="0.25">
      <c r="A6" s="104" t="s">
        <v>94</v>
      </c>
      <c r="B6" s="105" t="s">
        <v>95</v>
      </c>
    </row>
    <row r="7" spans="1:24" ht="7.5" customHeight="1" x14ac:dyDescent="0.25"/>
    <row r="8" spans="1:24" x14ac:dyDescent="0.25">
      <c r="B8" s="106"/>
      <c r="C8" s="98" t="s">
        <v>96</v>
      </c>
    </row>
    <row r="10" spans="1:24" x14ac:dyDescent="0.25">
      <c r="A10" s="104" t="s">
        <v>97</v>
      </c>
      <c r="B10" s="98" t="s">
        <v>98</v>
      </c>
    </row>
    <row r="12" spans="1:24" x14ac:dyDescent="0.25">
      <c r="A12" s="104" t="s">
        <v>99</v>
      </c>
      <c r="B12" s="98" t="s">
        <v>100</v>
      </c>
    </row>
    <row r="13" spans="1:24" x14ac:dyDescent="0.25">
      <c r="A13" s="104"/>
      <c r="B13" s="98" t="s">
        <v>101</v>
      </c>
    </row>
    <row r="14" spans="1:24" s="108" customFormat="1" ht="17.25" customHeight="1" x14ac:dyDescent="0.25">
      <c r="A14" s="104"/>
      <c r="B14" s="107" t="s">
        <v>102</v>
      </c>
    </row>
    <row r="15" spans="1:24" ht="7.5" customHeight="1" x14ac:dyDescent="0.25"/>
    <row r="16" spans="1:24" x14ac:dyDescent="0.25">
      <c r="B16" s="109" t="s">
        <v>103</v>
      </c>
      <c r="C16" s="110" t="s">
        <v>104</v>
      </c>
      <c r="D16" s="110"/>
      <c r="E16" s="110"/>
      <c r="F16" s="110"/>
      <c r="G16" s="110"/>
    </row>
    <row r="18" spans="3:4" x14ac:dyDescent="0.25">
      <c r="C18" s="111" t="s">
        <v>105</v>
      </c>
      <c r="D18" s="111" t="s">
        <v>106</v>
      </c>
    </row>
    <row r="19" spans="3:4" x14ac:dyDescent="0.25">
      <c r="D19" s="71" t="s">
        <v>107</v>
      </c>
    </row>
    <row r="20" spans="3:4" x14ac:dyDescent="0.25">
      <c r="D20" s="71" t="s">
        <v>108</v>
      </c>
    </row>
    <row r="21" spans="3:4" x14ac:dyDescent="0.25">
      <c r="D21" s="71" t="s">
        <v>109</v>
      </c>
    </row>
    <row r="22" spans="3:4" x14ac:dyDescent="0.25">
      <c r="C22" s="111"/>
      <c r="D22" s="71" t="s">
        <v>110</v>
      </c>
    </row>
    <row r="23" spans="3:4" x14ac:dyDescent="0.25">
      <c r="D23" s="71" t="s">
        <v>111</v>
      </c>
    </row>
    <row r="24" spans="3:4" x14ac:dyDescent="0.25">
      <c r="D24" s="71" t="s">
        <v>112</v>
      </c>
    </row>
    <row r="25" spans="3:4" x14ac:dyDescent="0.25">
      <c r="D25" s="71" t="s">
        <v>113</v>
      </c>
    </row>
    <row r="26" spans="3:4" x14ac:dyDescent="0.25">
      <c r="D26" s="71" t="s">
        <v>114</v>
      </c>
    </row>
    <row r="27" spans="3:4" x14ac:dyDescent="0.25">
      <c r="D27" s="71" t="s">
        <v>115</v>
      </c>
    </row>
    <row r="28" spans="3:4" x14ac:dyDescent="0.25">
      <c r="D28" s="71" t="s">
        <v>116</v>
      </c>
    </row>
    <row r="29" spans="3:4" x14ac:dyDescent="0.25">
      <c r="D29" s="71" t="s">
        <v>117</v>
      </c>
    </row>
    <row r="30" spans="3:4" x14ac:dyDescent="0.25">
      <c r="D30" s="71" t="s">
        <v>118</v>
      </c>
    </row>
    <row r="31" spans="3:4" x14ac:dyDescent="0.25">
      <c r="D31" s="71" t="s">
        <v>119</v>
      </c>
    </row>
    <row r="32" spans="3:4" x14ac:dyDescent="0.25">
      <c r="D32" s="71" t="s">
        <v>120</v>
      </c>
    </row>
    <row r="33" spans="3:8" x14ac:dyDescent="0.25">
      <c r="D33" s="71" t="s">
        <v>121</v>
      </c>
    </row>
    <row r="34" spans="3:8" x14ac:dyDescent="0.25">
      <c r="D34" s="71" t="s">
        <v>122</v>
      </c>
    </row>
    <row r="35" spans="3:8" x14ac:dyDescent="0.25">
      <c r="D35" s="71" t="s">
        <v>123</v>
      </c>
    </row>
    <row r="36" spans="3:8" x14ac:dyDescent="0.25">
      <c r="D36" s="71" t="s">
        <v>124</v>
      </c>
    </row>
    <row r="37" spans="3:8" x14ac:dyDescent="0.25">
      <c r="D37" s="71" t="s">
        <v>125</v>
      </c>
    </row>
    <row r="38" spans="3:8" x14ac:dyDescent="0.25">
      <c r="D38" s="71" t="s">
        <v>126</v>
      </c>
    </row>
    <row r="39" spans="3:8" x14ac:dyDescent="0.25">
      <c r="D39" s="71" t="s">
        <v>127</v>
      </c>
    </row>
    <row r="40" spans="3:8" x14ac:dyDescent="0.25">
      <c r="D40" s="71" t="s">
        <v>128</v>
      </c>
    </row>
    <row r="41" spans="3:8" x14ac:dyDescent="0.25">
      <c r="D41" s="71" t="s">
        <v>129</v>
      </c>
    </row>
    <row r="42" spans="3:8" x14ac:dyDescent="0.25">
      <c r="D42" s="71" t="s">
        <v>130</v>
      </c>
    </row>
    <row r="43" spans="3:8" x14ac:dyDescent="0.25">
      <c r="D43" s="110" t="s">
        <v>131</v>
      </c>
      <c r="E43" s="110"/>
      <c r="F43" s="110"/>
      <c r="G43" s="110"/>
      <c r="H43" s="110"/>
    </row>
    <row r="45" spans="3:8" x14ac:dyDescent="0.25">
      <c r="C45" s="111" t="s">
        <v>132</v>
      </c>
      <c r="D45" s="111" t="s">
        <v>133</v>
      </c>
    </row>
    <row r="46" spans="3:8" x14ac:dyDescent="0.25">
      <c r="D46" s="71" t="s">
        <v>134</v>
      </c>
    </row>
    <row r="47" spans="3:8" x14ac:dyDescent="0.25">
      <c r="D47" s="71" t="s">
        <v>135</v>
      </c>
    </row>
    <row r="48" spans="3:8" x14ac:dyDescent="0.25">
      <c r="D48" s="110" t="s">
        <v>131</v>
      </c>
      <c r="E48" s="110"/>
      <c r="F48" s="110"/>
      <c r="G48" s="110"/>
      <c r="H48" s="110"/>
    </row>
    <row r="50" spans="3:8" x14ac:dyDescent="0.25">
      <c r="C50" s="111" t="s">
        <v>136</v>
      </c>
      <c r="D50" s="111" t="s">
        <v>137</v>
      </c>
    </row>
    <row r="51" spans="3:8" x14ac:dyDescent="0.25">
      <c r="D51" s="71" t="s">
        <v>138</v>
      </c>
    </row>
    <row r="52" spans="3:8" x14ac:dyDescent="0.25">
      <c r="D52" s="71" t="s">
        <v>139</v>
      </c>
    </row>
    <row r="53" spans="3:8" x14ac:dyDescent="0.25">
      <c r="E53" s="71" t="s">
        <v>140</v>
      </c>
    </row>
    <row r="54" spans="3:8" x14ac:dyDescent="0.25">
      <c r="E54" s="71" t="s">
        <v>141</v>
      </c>
    </row>
    <row r="55" spans="3:8" x14ac:dyDescent="0.25">
      <c r="D55" s="71" t="s">
        <v>142</v>
      </c>
    </row>
    <row r="56" spans="3:8" x14ac:dyDescent="0.25">
      <c r="D56" s="110" t="s">
        <v>131</v>
      </c>
      <c r="E56" s="110"/>
      <c r="F56" s="110"/>
      <c r="G56" s="110"/>
      <c r="H56" s="110"/>
    </row>
    <row r="58" spans="3:8" x14ac:dyDescent="0.25">
      <c r="C58" s="111" t="s">
        <v>143</v>
      </c>
      <c r="D58" s="111" t="s">
        <v>144</v>
      </c>
    </row>
    <row r="59" spans="3:8" x14ac:dyDescent="0.25">
      <c r="D59" s="71" t="s">
        <v>145</v>
      </c>
    </row>
    <row r="60" spans="3:8" x14ac:dyDescent="0.25">
      <c r="D60" s="110" t="s">
        <v>131</v>
      </c>
      <c r="E60" s="110"/>
      <c r="F60" s="110"/>
      <c r="G60" s="110"/>
      <c r="H60" s="110"/>
    </row>
    <row r="62" spans="3:8" x14ac:dyDescent="0.25">
      <c r="C62" s="111" t="s">
        <v>146</v>
      </c>
      <c r="D62" s="111" t="s">
        <v>147</v>
      </c>
    </row>
    <row r="63" spans="3:8" x14ac:dyDescent="0.25">
      <c r="D63" s="71" t="s">
        <v>145</v>
      </c>
    </row>
    <row r="64" spans="3:8" x14ac:dyDescent="0.25">
      <c r="D64" s="110" t="s">
        <v>131</v>
      </c>
      <c r="E64" s="110"/>
      <c r="F64" s="110"/>
      <c r="G64" s="110"/>
      <c r="H64" s="110"/>
    </row>
    <row r="66" spans="1:8" x14ac:dyDescent="0.25">
      <c r="C66" s="111" t="s">
        <v>148</v>
      </c>
      <c r="D66" s="111" t="s">
        <v>149</v>
      </c>
    </row>
    <row r="67" spans="1:8" x14ac:dyDescent="0.25">
      <c r="D67" s="71" t="s">
        <v>150</v>
      </c>
    </row>
    <row r="68" spans="1:8" x14ac:dyDescent="0.25">
      <c r="D68" s="71" t="s">
        <v>151</v>
      </c>
    </row>
    <row r="69" spans="1:8" x14ac:dyDescent="0.25">
      <c r="D69" s="110" t="s">
        <v>131</v>
      </c>
      <c r="E69" s="110"/>
      <c r="F69" s="110"/>
      <c r="G69" s="110"/>
      <c r="H69" s="110"/>
    </row>
    <row r="70" spans="1:8" ht="19.5" customHeight="1" x14ac:dyDescent="0.25"/>
    <row r="71" spans="1:8" s="60" customFormat="1" ht="20.25" customHeight="1" x14ac:dyDescent="0.25">
      <c r="A71" s="104" t="s">
        <v>152</v>
      </c>
      <c r="B71" s="63" t="s">
        <v>153</v>
      </c>
    </row>
    <row r="72" spans="1:8" s="60" customFormat="1" ht="13.5" customHeight="1" x14ac:dyDescent="0.25">
      <c r="A72" s="66"/>
      <c r="B72" s="104" t="s">
        <v>154</v>
      </c>
      <c r="C72" s="112" t="s">
        <v>155</v>
      </c>
      <c r="D72" s="112"/>
      <c r="E72" s="112"/>
      <c r="F72" s="112"/>
    </row>
    <row r="73" spans="1:8" ht="24.75" customHeight="1" x14ac:dyDescent="0.25"/>
    <row r="74" spans="1:8" x14ac:dyDescent="0.25">
      <c r="A74" s="104" t="s">
        <v>156</v>
      </c>
      <c r="B74" s="98" t="s">
        <v>157</v>
      </c>
    </row>
    <row r="75" spans="1:8" x14ac:dyDescent="0.25">
      <c r="A75" s="104"/>
      <c r="B75" s="98" t="s">
        <v>101</v>
      </c>
    </row>
    <row r="76" spans="1:8" s="108" customFormat="1" ht="18" customHeight="1" x14ac:dyDescent="0.25">
      <c r="A76" s="66"/>
      <c r="B76" s="104" t="s">
        <v>158</v>
      </c>
      <c r="C76" s="108" t="s">
        <v>159</v>
      </c>
    </row>
    <row r="77" spans="1:8" x14ac:dyDescent="0.25">
      <c r="B77" s="109" t="s">
        <v>160</v>
      </c>
      <c r="C77" s="113" t="s">
        <v>161</v>
      </c>
      <c r="D77" s="113"/>
      <c r="E77" s="113"/>
      <c r="F77" s="113"/>
      <c r="G77" s="113"/>
    </row>
    <row r="78" spans="1:8" ht="24.75" customHeight="1" x14ac:dyDescent="0.25"/>
    <row r="79" spans="1:8" s="108" customFormat="1" ht="15" customHeight="1" x14ac:dyDescent="0.25">
      <c r="A79" s="104" t="s">
        <v>162</v>
      </c>
      <c r="B79" s="63" t="s">
        <v>163</v>
      </c>
    </row>
    <row r="80" spans="1:8" s="108" customFormat="1" ht="15.75" customHeight="1" x14ac:dyDescent="0.25">
      <c r="A80" s="66"/>
      <c r="B80" s="104" t="s">
        <v>164</v>
      </c>
      <c r="C80" s="60" t="s">
        <v>165</v>
      </c>
    </row>
    <row r="81" spans="1:7" x14ac:dyDescent="0.25">
      <c r="B81" s="109" t="s">
        <v>166</v>
      </c>
      <c r="C81" s="114" t="s">
        <v>167</v>
      </c>
      <c r="D81" s="114"/>
      <c r="E81" s="114"/>
      <c r="F81" s="114"/>
    </row>
    <row r="82" spans="1:7" ht="24.75" customHeight="1" x14ac:dyDescent="0.25"/>
    <row r="83" spans="1:7" x14ac:dyDescent="0.25">
      <c r="A83" s="104" t="s">
        <v>168</v>
      </c>
      <c r="B83" s="98" t="s">
        <v>169</v>
      </c>
    </row>
    <row r="84" spans="1:7" s="108" customFormat="1" ht="16.5" customHeight="1" x14ac:dyDescent="0.25">
      <c r="A84" s="66"/>
      <c r="B84" s="104" t="s">
        <v>170</v>
      </c>
      <c r="C84" s="60" t="s">
        <v>171</v>
      </c>
    </row>
    <row r="85" spans="1:7" s="108" customFormat="1" ht="14.25" customHeight="1" x14ac:dyDescent="0.25">
      <c r="A85" s="66"/>
      <c r="B85" s="104" t="s">
        <v>172</v>
      </c>
      <c r="C85" s="115" t="s">
        <v>161</v>
      </c>
      <c r="D85" s="115"/>
      <c r="E85" s="115"/>
      <c r="F85" s="115"/>
      <c r="G85" s="115"/>
    </row>
    <row r="86" spans="1:7" s="108" customFormat="1" ht="23.25" customHeight="1" x14ac:dyDescent="0.25">
      <c r="A86" s="66"/>
      <c r="B86" s="104"/>
      <c r="C86" s="116"/>
      <c r="D86" s="116"/>
      <c r="E86" s="116"/>
      <c r="F86" s="116"/>
      <c r="G86" s="116"/>
    </row>
  </sheetData>
  <sheetProtection sheet="1" objects="1" scenarios="1"/>
  <mergeCells count="1">
    <mergeCell ref="A4:X4"/>
  </mergeCells>
  <printOptions horizontalCentered="1" verticalCentered="1"/>
  <pageMargins left="0.51180555555555496" right="0.51180555555555496" top="0.78749999999999998" bottom="0.78749999999999998" header="0.51180555555555496" footer="0.51180555555555496"/>
  <pageSetup paperSize="9" scale="43" firstPageNumber="0" fitToHeight="2"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207"/>
  <sheetViews>
    <sheetView showGridLines="0" tabSelected="1" topLeftCell="A46" zoomScale="80" zoomScaleNormal="80" workbookViewId="0">
      <selection activeCell="G54" sqref="G54"/>
    </sheetView>
  </sheetViews>
  <sheetFormatPr defaultRowHeight="15" x14ac:dyDescent="0.25"/>
  <cols>
    <col min="1" max="1" width="9.85546875" style="2" customWidth="1"/>
    <col min="2" max="2" width="10.42578125" style="2" customWidth="1"/>
    <col min="3" max="3" width="39.28515625" style="2" customWidth="1"/>
    <col min="4" max="4" width="12" style="2" customWidth="1"/>
    <col min="5" max="5" width="15.7109375" style="2" customWidth="1"/>
    <col min="6" max="6" width="14.85546875" style="2" customWidth="1"/>
    <col min="7" max="7" width="14" style="2" customWidth="1"/>
    <col min="8" max="8" width="13.5703125" style="2" customWidth="1"/>
    <col min="9" max="9" width="13.42578125" style="2" customWidth="1"/>
    <col min="10" max="10" width="13.5703125" style="3" customWidth="1"/>
    <col min="11" max="11" width="18.28515625" style="3" customWidth="1"/>
    <col min="12" max="12" width="13.28515625" style="2" customWidth="1"/>
    <col min="13" max="13" width="15.140625" style="2" customWidth="1"/>
    <col min="14" max="14" width="9.7109375" style="2" customWidth="1"/>
    <col min="15" max="15" width="12.7109375" style="2" customWidth="1"/>
    <col min="16" max="18" width="13.5703125" style="2" customWidth="1"/>
    <col min="19" max="19" width="15" style="2" customWidth="1"/>
    <col min="20" max="255" width="9.140625" style="2" customWidth="1"/>
    <col min="256" max="256" width="9.85546875" style="2" customWidth="1"/>
    <col min="257" max="257" width="10.42578125" style="2" customWidth="1"/>
    <col min="258" max="258" width="39.28515625" style="2" customWidth="1"/>
    <col min="259" max="259" width="15" style="2" customWidth="1"/>
    <col min="260" max="260" width="11" style="2" customWidth="1"/>
    <col min="261" max="261" width="11.140625" style="2" customWidth="1"/>
    <col min="262" max="262" width="12.85546875" style="2" customWidth="1"/>
    <col min="263" max="263" width="13.140625" style="2" customWidth="1"/>
    <col min="264" max="267" width="14.140625" style="2" customWidth="1"/>
    <col min="268" max="268" width="14.42578125" style="2" customWidth="1"/>
    <col min="269" max="269" width="9.7109375" style="2" customWidth="1"/>
    <col min="270" max="270" width="12.7109375" style="2" customWidth="1"/>
    <col min="271" max="273" width="13.5703125" style="2" customWidth="1"/>
    <col min="274" max="274" width="12.140625" style="2" customWidth="1"/>
    <col min="275" max="275" width="15" style="2" customWidth="1"/>
    <col min="276" max="511" width="9.140625" style="2" customWidth="1"/>
    <col min="512" max="512" width="9.85546875" style="2" customWidth="1"/>
    <col min="513" max="513" width="10.42578125" style="2" customWidth="1"/>
    <col min="514" max="514" width="39.28515625" style="2" customWidth="1"/>
    <col min="515" max="515" width="15" style="2" customWidth="1"/>
    <col min="516" max="516" width="11" style="2" customWidth="1"/>
    <col min="517" max="517" width="11.140625" style="2" customWidth="1"/>
    <col min="518" max="518" width="12.85546875" style="2" customWidth="1"/>
    <col min="519" max="519" width="13.140625" style="2" customWidth="1"/>
    <col min="520" max="523" width="14.140625" style="2" customWidth="1"/>
    <col min="524" max="524" width="14.42578125" style="2" customWidth="1"/>
    <col min="525" max="525" width="9.7109375" style="2" customWidth="1"/>
    <col min="526" max="526" width="12.7109375" style="2" customWidth="1"/>
    <col min="527" max="529" width="13.5703125" style="2" customWidth="1"/>
    <col min="530" max="530" width="12.140625" style="2" customWidth="1"/>
    <col min="531" max="531" width="15" style="2" customWidth="1"/>
    <col min="532" max="767" width="9.140625" style="2" customWidth="1"/>
    <col min="768" max="768" width="9.85546875" style="2" customWidth="1"/>
    <col min="769" max="769" width="10.42578125" style="2" customWidth="1"/>
    <col min="770" max="770" width="39.28515625" style="2" customWidth="1"/>
    <col min="771" max="771" width="15" style="2" customWidth="1"/>
    <col min="772" max="772" width="11" style="2" customWidth="1"/>
    <col min="773" max="773" width="11.140625" style="2" customWidth="1"/>
    <col min="774" max="774" width="12.85546875" style="2" customWidth="1"/>
    <col min="775" max="775" width="13.140625" style="2" customWidth="1"/>
    <col min="776" max="779" width="14.140625" style="2" customWidth="1"/>
    <col min="780" max="780" width="14.42578125" style="2" customWidth="1"/>
    <col min="781" max="781" width="9.7109375" style="2" customWidth="1"/>
    <col min="782" max="782" width="12.7109375" style="2" customWidth="1"/>
    <col min="783" max="785" width="13.5703125" style="2" customWidth="1"/>
    <col min="786" max="786" width="12.140625" style="2" customWidth="1"/>
    <col min="787" max="787" width="15" style="2" customWidth="1"/>
    <col min="788" max="1023" width="9.140625" style="2" customWidth="1"/>
    <col min="1024" max="1025" width="9.85546875" style="2" customWidth="1"/>
  </cols>
  <sheetData>
    <row r="1" spans="1:21" x14ac:dyDescent="0.25">
      <c r="A1" s="117"/>
      <c r="B1" s="102" t="str">
        <f>INSTRUÇÕES!B1</f>
        <v>Tribunal Regional Federal da 6ª Região</v>
      </c>
      <c r="D1" s="71"/>
      <c r="E1" s="71"/>
      <c r="F1" s="71"/>
      <c r="G1" s="71"/>
      <c r="H1" s="71"/>
      <c r="I1" s="71"/>
      <c r="J1" s="118"/>
      <c r="K1" s="118"/>
      <c r="L1" s="71"/>
      <c r="M1" s="71"/>
      <c r="N1" s="71"/>
    </row>
    <row r="2" spans="1:21" x14ac:dyDescent="0.25">
      <c r="A2" s="117"/>
      <c r="B2" s="102" t="str">
        <f>INSTRUÇÕES!B2</f>
        <v>Seção Judiciária de Minas Gerais</v>
      </c>
      <c r="D2" s="71"/>
      <c r="E2" s="71"/>
      <c r="F2" s="71"/>
      <c r="G2" s="71"/>
      <c r="H2" s="71"/>
      <c r="I2" s="71"/>
      <c r="J2" s="118"/>
      <c r="K2" s="118"/>
      <c r="L2" s="71"/>
      <c r="M2" s="71"/>
      <c r="N2" s="71"/>
    </row>
    <row r="3" spans="1:21" ht="18.75" x14ac:dyDescent="0.25">
      <c r="A3" s="117"/>
      <c r="B3" s="102" t="str">
        <f>INSTRUÇÕES!B3</f>
        <v>Subseção Judiciária de Montes Claros</v>
      </c>
      <c r="D3" s="71"/>
      <c r="E3" s="119" t="s">
        <v>173</v>
      </c>
      <c r="F3" s="71"/>
      <c r="G3" s="71"/>
      <c r="H3" s="71"/>
      <c r="I3" s="71"/>
      <c r="J3" s="118"/>
      <c r="K3" s="118"/>
      <c r="L3" s="71"/>
      <c r="M3" s="71"/>
      <c r="N3" s="71"/>
      <c r="R3" s="71"/>
    </row>
    <row r="4" spans="1:21" s="17" customFormat="1" ht="24.75" customHeight="1" x14ac:dyDescent="0.25">
      <c r="A4" s="120" t="str">
        <f>CONCATENATE("Sindicato utilizado - ",E15,". Vigência: ",E17,". Sendo a data base da categoria ",E18,". Com número de registro no MTE ",E16,".")</f>
        <v>Sindicato utilizado - SINSERTH X SINTAPPI. Vigência: 2024. Sendo a data base da categoria 01° DE ABRIL. Com número de registro no MTE MG002103/2024.</v>
      </c>
      <c r="B4" s="120"/>
      <c r="C4" s="121"/>
      <c r="D4" s="2"/>
      <c r="E4" s="120"/>
      <c r="F4" s="122"/>
      <c r="G4" s="122"/>
      <c r="H4" s="122"/>
      <c r="I4" s="122"/>
      <c r="J4" s="122"/>
      <c r="K4" s="122"/>
      <c r="L4" s="122"/>
      <c r="M4" s="122"/>
      <c r="N4" s="122"/>
      <c r="O4" s="122"/>
      <c r="P4" s="122"/>
      <c r="Q4" s="122"/>
      <c r="R4" s="122"/>
      <c r="S4" s="122"/>
    </row>
    <row r="5" spans="1:21" s="17" customFormat="1" ht="66.75" customHeight="1" x14ac:dyDescent="0.25">
      <c r="A5" s="641" t="s">
        <v>174</v>
      </c>
      <c r="B5" s="641" t="s">
        <v>175</v>
      </c>
      <c r="C5" s="641" t="s">
        <v>25</v>
      </c>
      <c r="D5" s="641" t="s">
        <v>176</v>
      </c>
      <c r="E5" s="641" t="s">
        <v>177</v>
      </c>
      <c r="F5" s="641" t="s">
        <v>178</v>
      </c>
      <c r="G5" s="641" t="s">
        <v>179</v>
      </c>
      <c r="H5" s="641" t="s">
        <v>180</v>
      </c>
      <c r="I5" s="641" t="s">
        <v>181</v>
      </c>
      <c r="J5" s="641" t="s">
        <v>182</v>
      </c>
      <c r="K5" s="641" t="s">
        <v>183</v>
      </c>
      <c r="L5" s="641" t="s">
        <v>184</v>
      </c>
      <c r="M5" s="630" t="s">
        <v>185</v>
      </c>
      <c r="N5" s="123" t="s">
        <v>186</v>
      </c>
      <c r="O5" s="123" t="s">
        <v>187</v>
      </c>
      <c r="P5" s="123" t="s">
        <v>188</v>
      </c>
      <c r="Q5" s="123" t="s">
        <v>189</v>
      </c>
      <c r="R5" s="123" t="s">
        <v>190</v>
      </c>
      <c r="S5" s="641" t="s">
        <v>191</v>
      </c>
      <c r="U5" s="125"/>
    </row>
    <row r="6" spans="1:21" s="17" customFormat="1" ht="30" x14ac:dyDescent="0.25">
      <c r="A6" s="641"/>
      <c r="B6" s="641"/>
      <c r="C6" s="641"/>
      <c r="D6" s="641"/>
      <c r="E6" s="641"/>
      <c r="F6" s="641"/>
      <c r="G6" s="641"/>
      <c r="H6" s="641"/>
      <c r="I6" s="641"/>
      <c r="J6" s="641"/>
      <c r="K6" s="641"/>
      <c r="L6" s="641"/>
      <c r="M6" s="630"/>
      <c r="N6" s="126" t="s">
        <v>192</v>
      </c>
      <c r="O6" s="127">
        <f>B7+B8+B9</f>
        <v>3</v>
      </c>
      <c r="P6" s="127">
        <f>B8</f>
        <v>1</v>
      </c>
      <c r="Q6" s="127"/>
      <c r="R6" s="127"/>
      <c r="S6" s="641"/>
      <c r="U6" s="125"/>
    </row>
    <row r="7" spans="1:21" s="17" customFormat="1" ht="24.75" customHeight="1" x14ac:dyDescent="0.25">
      <c r="A7" s="642">
        <v>333903702</v>
      </c>
      <c r="B7" s="127">
        <v>1</v>
      </c>
      <c r="C7" s="128" t="s">
        <v>193</v>
      </c>
      <c r="D7" s="127">
        <v>150</v>
      </c>
      <c r="E7" s="129">
        <v>1541.23</v>
      </c>
      <c r="F7" s="130">
        <f>ROUND(((E7/220)*D7),2)</f>
        <v>1050.8399999999999</v>
      </c>
      <c r="G7" s="131">
        <v>0.4</v>
      </c>
      <c r="H7" s="130">
        <f>G7*G28</f>
        <v>564.80000000000007</v>
      </c>
      <c r="I7" s="36">
        <v>0</v>
      </c>
      <c r="J7" s="36">
        <v>0</v>
      </c>
      <c r="K7" s="36"/>
      <c r="L7" s="36">
        <v>0</v>
      </c>
      <c r="M7" s="132">
        <f>F7+H7+L7</f>
        <v>1615.6399999999999</v>
      </c>
      <c r="N7" s="130">
        <f>Unif!H13</f>
        <v>27.17</v>
      </c>
      <c r="O7" s="130">
        <f>ROUND((Mat!K40/$O$6),2)</f>
        <v>672.05</v>
      </c>
      <c r="P7" s="130"/>
      <c r="Q7" s="130">
        <f>EPI!F9/3</f>
        <v>4.166666666666667</v>
      </c>
      <c r="R7" s="130">
        <f>Equip!G11/3</f>
        <v>1.8333333333333333</v>
      </c>
      <c r="S7" s="133">
        <v>2</v>
      </c>
      <c r="U7" s="125"/>
    </row>
    <row r="8" spans="1:21" s="17" customFormat="1" ht="21" customHeight="1" x14ac:dyDescent="0.25">
      <c r="A8" s="642"/>
      <c r="B8" s="127">
        <v>1</v>
      </c>
      <c r="C8" s="128" t="s">
        <v>194</v>
      </c>
      <c r="D8" s="127">
        <v>200</v>
      </c>
      <c r="E8" s="129">
        <v>1541.23</v>
      </c>
      <c r="F8" s="130">
        <f>ROUND(((E8/220)*D8),2)</f>
        <v>1401.12</v>
      </c>
      <c r="G8" s="134">
        <v>0</v>
      </c>
      <c r="H8" s="36">
        <v>0</v>
      </c>
      <c r="I8" s="135">
        <v>0.12</v>
      </c>
      <c r="J8" s="135">
        <v>0.25</v>
      </c>
      <c r="K8" s="129">
        <f>F8</f>
        <v>1401.12</v>
      </c>
      <c r="L8" s="136">
        <f>ROUND((K8*I8*J8),2)</f>
        <v>42.03</v>
      </c>
      <c r="M8" s="132">
        <f>F8+H8+L8</f>
        <v>1443.1499999999999</v>
      </c>
      <c r="N8" s="130">
        <f>Unif!H13+Unif!H20</f>
        <v>35.67</v>
      </c>
      <c r="O8" s="130">
        <f>ROUND((Mat!K40/$O$6),2)</f>
        <v>672.05</v>
      </c>
      <c r="P8" s="130">
        <f>Mat!K53/P6</f>
        <v>71.91</v>
      </c>
      <c r="Q8" s="130">
        <f>EPI!F9/3</f>
        <v>4.166666666666667</v>
      </c>
      <c r="R8" s="130">
        <f>Equip!G11/3</f>
        <v>1.8333333333333333</v>
      </c>
      <c r="S8" s="133">
        <v>2</v>
      </c>
      <c r="U8" s="125"/>
    </row>
    <row r="9" spans="1:21" s="17" customFormat="1" ht="21" customHeight="1" x14ac:dyDescent="0.25">
      <c r="A9" s="642"/>
      <c r="B9" s="127">
        <v>1</v>
      </c>
      <c r="C9" s="128" t="s">
        <v>195</v>
      </c>
      <c r="D9" s="127">
        <v>200</v>
      </c>
      <c r="E9" s="129">
        <v>1541.23</v>
      </c>
      <c r="F9" s="130">
        <f>ROUND(((E9/220)*D9),2)</f>
        <v>1401.12</v>
      </c>
      <c r="G9" s="134"/>
      <c r="H9" s="36"/>
      <c r="I9" s="137"/>
      <c r="J9" s="137"/>
      <c r="K9" s="138"/>
      <c r="L9" s="139"/>
      <c r="M9" s="132">
        <f>F9+H9+L9</f>
        <v>1401.12</v>
      </c>
      <c r="N9" s="130">
        <f>Unif!H13</f>
        <v>27.17</v>
      </c>
      <c r="O9" s="130">
        <f>ROUND((Mat!K40/$O$6),2)</f>
        <v>672.05</v>
      </c>
      <c r="P9" s="130"/>
      <c r="Q9" s="130">
        <f>EPI!F9/3</f>
        <v>4.166666666666667</v>
      </c>
      <c r="R9" s="130">
        <f>Equip!G11/3</f>
        <v>1.8333333333333333</v>
      </c>
      <c r="S9" s="133">
        <v>2</v>
      </c>
      <c r="U9" s="125"/>
    </row>
    <row r="10" spans="1:21" ht="21" customHeight="1" x14ac:dyDescent="0.25">
      <c r="A10" s="642"/>
      <c r="B10" s="127">
        <v>1</v>
      </c>
      <c r="C10" s="128" t="s">
        <v>196</v>
      </c>
      <c r="D10" s="127">
        <v>150</v>
      </c>
      <c r="E10" s="129">
        <v>1995.14</v>
      </c>
      <c r="F10" s="130">
        <f>ROUND(((E10/220)*D10),2)</f>
        <v>1360.32</v>
      </c>
      <c r="G10" s="134">
        <v>0</v>
      </c>
      <c r="H10" s="36">
        <v>0</v>
      </c>
      <c r="I10" s="137"/>
      <c r="J10" s="137"/>
      <c r="K10" s="138"/>
      <c r="L10" s="139"/>
      <c r="M10" s="132">
        <f>F10+H10+L10</f>
        <v>1360.32</v>
      </c>
      <c r="N10" s="130">
        <f>Unif!H27</f>
        <v>41.25</v>
      </c>
      <c r="O10" s="140"/>
      <c r="P10" s="130"/>
      <c r="Q10" s="130"/>
      <c r="R10" s="130"/>
      <c r="S10" s="133">
        <v>2</v>
      </c>
    </row>
    <row r="11" spans="1:21" ht="24.75" customHeight="1" x14ac:dyDescent="0.25">
      <c r="A11" s="141">
        <v>333903701</v>
      </c>
      <c r="B11" s="127">
        <v>4</v>
      </c>
      <c r="C11" s="128" t="s">
        <v>197</v>
      </c>
      <c r="D11" s="127">
        <v>150</v>
      </c>
      <c r="E11" s="129">
        <v>1914</v>
      </c>
      <c r="F11" s="130">
        <f>ROUND(((E11/220)*D11),2)</f>
        <v>1305</v>
      </c>
      <c r="G11" s="134">
        <v>0</v>
      </c>
      <c r="H11" s="36">
        <v>0</v>
      </c>
      <c r="I11" s="137"/>
      <c r="J11" s="137"/>
      <c r="K11" s="138"/>
      <c r="L11" s="142"/>
      <c r="M11" s="132">
        <f>F11+H11+L11</f>
        <v>1305</v>
      </c>
      <c r="N11" s="130">
        <f>Unif!H34</f>
        <v>41.25</v>
      </c>
      <c r="O11" s="130"/>
      <c r="P11" s="130"/>
      <c r="Q11" s="130"/>
      <c r="R11" s="130"/>
      <c r="S11" s="133">
        <v>1</v>
      </c>
    </row>
    <row r="12" spans="1:21" ht="34.5" customHeight="1" x14ac:dyDescent="0.25">
      <c r="A12" s="143" t="s">
        <v>198</v>
      </c>
      <c r="B12" s="3"/>
      <c r="C12" s="3"/>
      <c r="D12" s="143"/>
      <c r="F12" s="143"/>
      <c r="G12" s="143" t="s">
        <v>199</v>
      </c>
      <c r="H12" s="143"/>
      <c r="I12" s="143"/>
      <c r="J12" s="143"/>
      <c r="K12" s="120"/>
      <c r="L12" s="144" t="s">
        <v>200</v>
      </c>
      <c r="M12" s="145">
        <f>SUM(M7:M11)</f>
        <v>7125.23</v>
      </c>
      <c r="N12" s="120"/>
      <c r="O12" s="120"/>
      <c r="P12" s="120"/>
      <c r="Q12" s="120"/>
      <c r="R12" s="120"/>
      <c r="S12" s="120"/>
    </row>
    <row r="13" spans="1:21" ht="24.75" customHeight="1" x14ac:dyDescent="0.25">
      <c r="A13" s="636" t="s">
        <v>201</v>
      </c>
      <c r="B13" s="636"/>
      <c r="C13" s="636"/>
      <c r="D13" s="636"/>
      <c r="E13" s="636"/>
      <c r="F13" s="636"/>
      <c r="G13" s="636"/>
      <c r="N13" s="120"/>
      <c r="O13" s="120"/>
      <c r="P13" s="120"/>
      <c r="Q13" s="120"/>
      <c r="R13" s="120"/>
      <c r="S13" s="120"/>
    </row>
    <row r="14" spans="1:21" ht="24" customHeight="1" x14ac:dyDescent="0.25">
      <c r="A14" s="147">
        <v>1</v>
      </c>
      <c r="B14" s="633" t="s">
        <v>202</v>
      </c>
      <c r="C14" s="633"/>
      <c r="D14" s="633"/>
      <c r="E14" s="640">
        <v>45597</v>
      </c>
      <c r="F14" s="640"/>
      <c r="G14" s="640"/>
      <c r="H14" s="14" t="s">
        <v>203</v>
      </c>
      <c r="N14" s="120"/>
      <c r="O14" s="120"/>
      <c r="P14" s="120"/>
      <c r="Q14" s="120"/>
      <c r="R14" s="120"/>
      <c r="S14" s="60"/>
    </row>
    <row r="15" spans="1:21" ht="24" customHeight="1" x14ac:dyDescent="0.25">
      <c r="A15" s="147">
        <v>2</v>
      </c>
      <c r="B15" s="633" t="s">
        <v>204</v>
      </c>
      <c r="C15" s="633"/>
      <c r="D15" s="633"/>
      <c r="E15" s="637" t="s">
        <v>647</v>
      </c>
      <c r="F15" s="637"/>
      <c r="G15" s="637"/>
      <c r="H15" s="14" t="s">
        <v>205</v>
      </c>
      <c r="N15" s="120"/>
      <c r="O15" s="120"/>
      <c r="P15" s="120"/>
      <c r="Q15" s="120"/>
      <c r="R15" s="120"/>
      <c r="S15" s="60"/>
    </row>
    <row r="16" spans="1:21" ht="24" customHeight="1" x14ac:dyDescent="0.25">
      <c r="A16" s="147">
        <v>3</v>
      </c>
      <c r="B16" s="633" t="s">
        <v>206</v>
      </c>
      <c r="C16" s="633"/>
      <c r="D16" s="633"/>
      <c r="E16" s="637" t="s">
        <v>648</v>
      </c>
      <c r="F16" s="637"/>
      <c r="G16" s="637"/>
      <c r="H16" s="14" t="s">
        <v>207</v>
      </c>
      <c r="N16" s="120"/>
      <c r="O16" s="120"/>
      <c r="P16" s="120"/>
      <c r="Q16" s="120"/>
      <c r="R16" s="120"/>
      <c r="S16" s="60"/>
    </row>
    <row r="17" spans="1:19" ht="24" customHeight="1" x14ac:dyDescent="0.25">
      <c r="A17" s="147">
        <v>4</v>
      </c>
      <c r="B17" s="633" t="s">
        <v>208</v>
      </c>
      <c r="C17" s="633"/>
      <c r="D17" s="633"/>
      <c r="E17" s="637">
        <v>2024</v>
      </c>
      <c r="F17" s="637"/>
      <c r="G17" s="637"/>
      <c r="H17" s="14" t="s">
        <v>209</v>
      </c>
      <c r="N17" s="120"/>
      <c r="O17" s="120"/>
      <c r="P17" s="120"/>
      <c r="Q17" s="120"/>
      <c r="R17" s="120"/>
      <c r="S17" s="60"/>
    </row>
    <row r="18" spans="1:19" ht="24" customHeight="1" x14ac:dyDescent="0.25">
      <c r="A18" s="147">
        <v>5</v>
      </c>
      <c r="B18" s="633" t="s">
        <v>210</v>
      </c>
      <c r="C18" s="633"/>
      <c r="D18" s="633"/>
      <c r="E18" s="637" t="s">
        <v>649</v>
      </c>
      <c r="F18" s="637"/>
      <c r="G18" s="637"/>
      <c r="H18" s="14" t="s">
        <v>211</v>
      </c>
      <c r="N18" s="120"/>
      <c r="O18" s="120"/>
      <c r="P18" s="120"/>
      <c r="Q18" s="120"/>
      <c r="R18" s="120"/>
      <c r="S18" s="60"/>
    </row>
    <row r="19" spans="1:19" s="2" customFormat="1" ht="12.75" customHeight="1" x14ac:dyDescent="0.25">
      <c r="A19" s="148"/>
      <c r="H19" s="14"/>
    </row>
    <row r="20" spans="1:19" s="60" customFormat="1" ht="24.75" customHeight="1" x14ac:dyDescent="0.25">
      <c r="A20" s="636" t="s">
        <v>212</v>
      </c>
      <c r="B20" s="636"/>
      <c r="C20" s="636"/>
      <c r="D20" s="636"/>
      <c r="E20" s="636"/>
      <c r="F20" s="636"/>
      <c r="G20" s="636"/>
      <c r="H20" s="14"/>
      <c r="I20" s="120"/>
      <c r="J20" s="120"/>
      <c r="K20" s="120"/>
      <c r="L20" s="120"/>
      <c r="M20" s="120"/>
      <c r="N20" s="120"/>
      <c r="O20" s="120"/>
      <c r="P20" s="120"/>
      <c r="Q20" s="120"/>
      <c r="R20" s="120"/>
    </row>
    <row r="21" spans="1:19" s="2" customFormat="1" ht="24" customHeight="1" x14ac:dyDescent="0.25">
      <c r="A21" s="147" t="s">
        <v>213</v>
      </c>
      <c r="B21" s="633" t="s">
        <v>214</v>
      </c>
      <c r="C21" s="633"/>
      <c r="D21" s="633"/>
      <c r="E21" s="633"/>
      <c r="F21" s="633"/>
      <c r="G21" s="131">
        <f>Encargos!C57</f>
        <v>0.7330000000000001</v>
      </c>
      <c r="H21" s="14"/>
    </row>
    <row r="22" spans="1:19" s="2" customFormat="1" ht="12.75" customHeight="1" x14ac:dyDescent="0.25">
      <c r="A22" s="148"/>
      <c r="G22" s="3"/>
      <c r="H22" s="14"/>
    </row>
    <row r="23" spans="1:19" s="2" customFormat="1" ht="24.75" customHeight="1" x14ac:dyDescent="0.25">
      <c r="A23" s="96">
        <v>1</v>
      </c>
      <c r="B23" s="633" t="s">
        <v>215</v>
      </c>
      <c r="C23" s="633"/>
      <c r="D23" s="633"/>
      <c r="E23" s="633"/>
      <c r="F23" s="633"/>
      <c r="G23" s="149">
        <f>G24*G25</f>
        <v>1.3999999999999999E-2</v>
      </c>
      <c r="H23" s="14"/>
    </row>
    <row r="24" spans="1:19" s="2" customFormat="1" ht="24.75" customHeight="1" x14ac:dyDescent="0.25">
      <c r="A24" s="96">
        <v>2</v>
      </c>
      <c r="B24" s="633" t="s">
        <v>216</v>
      </c>
      <c r="C24" s="633"/>
      <c r="D24" s="633"/>
      <c r="E24" s="633"/>
      <c r="F24" s="633"/>
      <c r="G24" s="135">
        <v>0.02</v>
      </c>
      <c r="H24" s="14" t="s">
        <v>217</v>
      </c>
    </row>
    <row r="25" spans="1:19" s="2" customFormat="1" ht="24.75" customHeight="1" x14ac:dyDescent="0.25">
      <c r="A25" s="96">
        <v>3</v>
      </c>
      <c r="B25" s="633" t="s">
        <v>218</v>
      </c>
      <c r="C25" s="633"/>
      <c r="D25" s="633"/>
      <c r="E25" s="633"/>
      <c r="F25" s="633"/>
      <c r="G25" s="150">
        <v>0.7</v>
      </c>
      <c r="H25" s="14" t="s">
        <v>219</v>
      </c>
    </row>
    <row r="26" spans="1:19" s="2" customFormat="1" ht="12.75" customHeight="1" x14ac:dyDescent="0.25">
      <c r="A26" s="148"/>
      <c r="B26" s="120"/>
      <c r="C26" s="120"/>
      <c r="D26" s="120"/>
      <c r="E26" s="120"/>
      <c r="F26" s="120"/>
      <c r="H26" s="14"/>
    </row>
    <row r="27" spans="1:19" s="2" customFormat="1" ht="24.75" customHeight="1" x14ac:dyDescent="0.25">
      <c r="A27" s="636" t="s">
        <v>220</v>
      </c>
      <c r="B27" s="636"/>
      <c r="C27" s="636"/>
      <c r="D27" s="636"/>
      <c r="E27" s="636"/>
      <c r="F27" s="636"/>
      <c r="G27" s="636"/>
      <c r="H27" s="14"/>
    </row>
    <row r="28" spans="1:19" s="2" customFormat="1" ht="24.75" customHeight="1" x14ac:dyDescent="0.25">
      <c r="A28" s="96">
        <v>1</v>
      </c>
      <c r="B28" s="633" t="s">
        <v>221</v>
      </c>
      <c r="C28" s="633"/>
      <c r="D28" s="633"/>
      <c r="E28" s="633"/>
      <c r="F28" s="633"/>
      <c r="G28" s="129">
        <v>1412</v>
      </c>
      <c r="H28" s="14" t="s">
        <v>222</v>
      </c>
    </row>
    <row r="29" spans="1:19" s="2" customFormat="1" ht="12.75" customHeight="1" x14ac:dyDescent="0.25">
      <c r="A29" s="151"/>
      <c r="B29" s="152"/>
      <c r="C29" s="152"/>
      <c r="D29" s="152"/>
      <c r="E29" s="152"/>
      <c r="F29" s="152"/>
      <c r="G29" s="153"/>
      <c r="H29" s="14"/>
    </row>
    <row r="30" spans="1:19" s="60" customFormat="1" ht="24.75" customHeight="1" x14ac:dyDescent="0.25">
      <c r="A30" s="636" t="s">
        <v>223</v>
      </c>
      <c r="B30" s="636"/>
      <c r="C30" s="636"/>
      <c r="D30" s="636"/>
      <c r="E30" s="636"/>
      <c r="F30" s="636"/>
      <c r="G30" s="636"/>
      <c r="H30" s="14"/>
      <c r="I30" s="2"/>
      <c r="J30" s="2"/>
      <c r="K30" s="120"/>
      <c r="L30" s="120"/>
      <c r="M30" s="120"/>
      <c r="N30" s="120"/>
      <c r="O30" s="120"/>
      <c r="P30" s="120"/>
      <c r="Q30" s="120"/>
      <c r="R30" s="120"/>
    </row>
    <row r="31" spans="1:19" s="2" customFormat="1" ht="26.25" customHeight="1" x14ac:dyDescent="0.25">
      <c r="A31" s="147">
        <v>1</v>
      </c>
      <c r="B31" s="633" t="s">
        <v>224</v>
      </c>
      <c r="C31" s="633"/>
      <c r="D31" s="633"/>
      <c r="E31" s="633"/>
      <c r="F31" s="633"/>
      <c r="G31" s="150">
        <v>3.09</v>
      </c>
      <c r="H31" s="14" t="s">
        <v>225</v>
      </c>
    </row>
    <row r="32" spans="1:19" s="2" customFormat="1" ht="26.25" customHeight="1" x14ac:dyDescent="0.25">
      <c r="A32" s="154">
        <v>2</v>
      </c>
      <c r="B32" s="633" t="s">
        <v>226</v>
      </c>
      <c r="C32" s="633"/>
      <c r="D32" s="633"/>
      <c r="E32" s="633"/>
      <c r="F32" s="633"/>
      <c r="G32" s="150">
        <v>0</v>
      </c>
      <c r="H32" s="14" t="s">
        <v>225</v>
      </c>
    </row>
    <row r="33" spans="1:18" s="2" customFormat="1" ht="26.25" customHeight="1" x14ac:dyDescent="0.25">
      <c r="A33" s="632">
        <v>3</v>
      </c>
      <c r="B33" s="638" t="s">
        <v>227</v>
      </c>
      <c r="C33" s="638"/>
      <c r="D33" s="633" t="s">
        <v>228</v>
      </c>
      <c r="E33" s="633"/>
      <c r="F33" s="633"/>
      <c r="G33" s="155">
        <v>4.25</v>
      </c>
      <c r="H33" s="14" t="s">
        <v>229</v>
      </c>
      <c r="I33" s="120"/>
      <c r="O33" s="62"/>
    </row>
    <row r="34" spans="1:18" s="2" customFormat="1" ht="26.25" customHeight="1" x14ac:dyDescent="0.25">
      <c r="A34" s="632"/>
      <c r="B34" s="638"/>
      <c r="C34" s="638"/>
      <c r="D34" s="633" t="s">
        <v>230</v>
      </c>
      <c r="E34" s="633"/>
      <c r="F34" s="633"/>
      <c r="G34" s="156">
        <v>2</v>
      </c>
      <c r="H34" s="14" t="s">
        <v>231</v>
      </c>
      <c r="I34" s="120"/>
      <c r="O34" s="62"/>
    </row>
    <row r="35" spans="1:18" s="2" customFormat="1" ht="26.25" customHeight="1" x14ac:dyDescent="0.25">
      <c r="A35" s="632"/>
      <c r="B35" s="638"/>
      <c r="C35" s="638"/>
      <c r="D35" s="633" t="s">
        <v>232</v>
      </c>
      <c r="E35" s="633"/>
      <c r="F35" s="633"/>
      <c r="G35" s="157">
        <v>22</v>
      </c>
      <c r="H35" s="14" t="s">
        <v>233</v>
      </c>
      <c r="I35" s="120"/>
      <c r="O35" s="62"/>
    </row>
    <row r="36" spans="1:18" ht="26.25" customHeight="1" x14ac:dyDescent="0.25">
      <c r="A36" s="632"/>
      <c r="B36" s="638"/>
      <c r="C36" s="638"/>
      <c r="D36" s="639" t="s">
        <v>234</v>
      </c>
      <c r="E36" s="639"/>
      <c r="F36" s="639"/>
      <c r="G36" s="158">
        <v>0.06</v>
      </c>
      <c r="H36" s="14" t="s">
        <v>235</v>
      </c>
      <c r="O36" s="62"/>
    </row>
    <row r="37" spans="1:18" s="2" customFormat="1" ht="26.25" customHeight="1" x14ac:dyDescent="0.25">
      <c r="A37" s="632">
        <v>4</v>
      </c>
      <c r="B37" s="638" t="s">
        <v>236</v>
      </c>
      <c r="C37" s="638"/>
      <c r="D37" s="633" t="s">
        <v>237</v>
      </c>
      <c r="E37" s="633"/>
      <c r="F37" s="633"/>
      <c r="G37" s="150">
        <v>27.24</v>
      </c>
      <c r="H37" s="14" t="s">
        <v>238</v>
      </c>
      <c r="I37" s="120"/>
    </row>
    <row r="38" spans="1:18" ht="26.25" customHeight="1" x14ac:dyDescent="0.25">
      <c r="A38" s="632"/>
      <c r="B38" s="638"/>
      <c r="C38" s="638"/>
      <c r="D38" s="633" t="s">
        <v>232</v>
      </c>
      <c r="E38" s="633"/>
      <c r="F38" s="633"/>
      <c r="G38" s="157">
        <f>G35</f>
        <v>22</v>
      </c>
      <c r="H38" s="14" t="s">
        <v>233</v>
      </c>
      <c r="I38" s="159"/>
      <c r="J38" s="159"/>
      <c r="K38" s="120"/>
      <c r="O38" s="62"/>
    </row>
    <row r="39" spans="1:18" s="2" customFormat="1" ht="26.25" customHeight="1" x14ac:dyDescent="0.25">
      <c r="A39" s="632"/>
      <c r="B39" s="638"/>
      <c r="C39" s="638"/>
      <c r="D39" s="639" t="s">
        <v>234</v>
      </c>
      <c r="E39" s="639"/>
      <c r="F39" s="639"/>
      <c r="G39" s="135">
        <v>0.2</v>
      </c>
      <c r="H39" s="14" t="s">
        <v>235</v>
      </c>
      <c r="O39" s="62"/>
    </row>
    <row r="40" spans="1:18" s="2" customFormat="1" ht="26.25" customHeight="1" x14ac:dyDescent="0.25">
      <c r="A40" s="147">
        <v>5</v>
      </c>
      <c r="B40" s="635" t="s">
        <v>239</v>
      </c>
      <c r="C40" s="635"/>
      <c r="D40" s="635"/>
      <c r="E40" s="635"/>
      <c r="F40" s="635"/>
      <c r="G40" s="150">
        <v>0</v>
      </c>
      <c r="H40" s="14" t="s">
        <v>240</v>
      </c>
      <c r="O40" s="62"/>
    </row>
    <row r="41" spans="1:18" s="2" customFormat="1" ht="26.25" customHeight="1" x14ac:dyDescent="0.25">
      <c r="A41" s="147">
        <v>6</v>
      </c>
      <c r="B41" s="635" t="s">
        <v>239</v>
      </c>
      <c r="C41" s="635"/>
      <c r="D41" s="635"/>
      <c r="E41" s="635"/>
      <c r="F41" s="635"/>
      <c r="G41" s="150">
        <v>0</v>
      </c>
      <c r="H41" s="14" t="s">
        <v>240</v>
      </c>
    </row>
    <row r="42" spans="1:18" s="2" customFormat="1" ht="12.75" customHeight="1" x14ac:dyDescent="0.25">
      <c r="H42" s="14"/>
    </row>
    <row r="43" spans="1:18" s="60" customFormat="1" ht="24.75" customHeight="1" x14ac:dyDescent="0.25">
      <c r="A43" s="636" t="s">
        <v>241</v>
      </c>
      <c r="B43" s="636"/>
      <c r="C43" s="636"/>
      <c r="D43" s="636"/>
      <c r="E43" s="636"/>
      <c r="F43" s="636"/>
      <c r="G43" s="636"/>
      <c r="H43" s="14"/>
      <c r="I43" s="120"/>
      <c r="J43" s="120"/>
      <c r="K43" s="120"/>
      <c r="L43" s="120"/>
      <c r="M43" s="120"/>
      <c r="N43" s="120"/>
      <c r="O43" s="120"/>
      <c r="P43" s="120"/>
      <c r="Q43" s="120"/>
      <c r="R43" s="120"/>
    </row>
    <row r="44" spans="1:18" s="2" customFormat="1" ht="24.75" customHeight="1" x14ac:dyDescent="0.25">
      <c r="A44" s="147">
        <v>1</v>
      </c>
      <c r="B44" s="633" t="s">
        <v>242</v>
      </c>
      <c r="C44" s="633"/>
      <c r="D44" s="633"/>
      <c r="E44" s="633"/>
      <c r="F44" s="633"/>
      <c r="G44" s="135">
        <v>0.03</v>
      </c>
      <c r="H44" s="14" t="s">
        <v>243</v>
      </c>
    </row>
    <row r="45" spans="1:18" s="2" customFormat="1" ht="24.75" customHeight="1" x14ac:dyDescent="0.25">
      <c r="A45" s="147">
        <v>2</v>
      </c>
      <c r="B45" s="633" t="s">
        <v>244</v>
      </c>
      <c r="C45" s="633"/>
      <c r="D45" s="633"/>
      <c r="E45" s="633"/>
      <c r="F45" s="633"/>
      <c r="G45" s="135">
        <v>6.7900000000000002E-2</v>
      </c>
      <c r="H45" s="14" t="s">
        <v>243</v>
      </c>
    </row>
    <row r="46" spans="1:18" s="2" customFormat="1" ht="12.75" customHeight="1" x14ac:dyDescent="0.25">
      <c r="H46" s="14"/>
    </row>
    <row r="47" spans="1:18" s="60" customFormat="1" ht="24.75" customHeight="1" x14ac:dyDescent="0.25">
      <c r="A47" s="636" t="s">
        <v>245</v>
      </c>
      <c r="B47" s="636"/>
      <c r="C47" s="636"/>
      <c r="D47" s="636"/>
      <c r="E47" s="636"/>
      <c r="F47" s="636"/>
      <c r="G47" s="636"/>
      <c r="H47" s="14"/>
      <c r="I47" s="120"/>
      <c r="J47" s="120"/>
      <c r="K47" s="120"/>
      <c r="L47" s="120"/>
      <c r="M47" s="120"/>
      <c r="N47" s="120"/>
      <c r="O47" s="120"/>
      <c r="P47" s="120"/>
      <c r="Q47" s="120"/>
      <c r="R47" s="120"/>
    </row>
    <row r="48" spans="1:18" s="60" customFormat="1" ht="24.75" customHeight="1" x14ac:dyDescent="0.25">
      <c r="A48" s="630" t="s">
        <v>246</v>
      </c>
      <c r="B48" s="630" t="str">
        <f>IF(F51="LUCRO REAL","INFORMAR ALÍQUOTAS MÉDIAS DE RECOLHIMENTO DOS ÚLTIMOS 12 (DOZE) MESES.",IF(F51="LUCRO PRESUMIDO","ALÍQUOTAS FIXAS - PIS: 0,65%; COFINS: 3,00%.",IF(F51="SIMPLES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INFORMAR ALÍQUOTAS MÉDIAS DE RECOLHIMENTO DOS ÚLTIMOS 12 (DOZE) MESES.</v>
      </c>
      <c r="C48" s="630"/>
      <c r="D48" s="630"/>
      <c r="E48" s="630"/>
      <c r="F48" s="630"/>
      <c r="G48" s="630"/>
      <c r="H48" s="14"/>
      <c r="I48" s="120">
        <v>6</v>
      </c>
      <c r="J48" s="120"/>
      <c r="K48" s="120"/>
      <c r="L48" s="120"/>
      <c r="M48" s="120"/>
      <c r="N48" s="120"/>
      <c r="O48" s="120"/>
      <c r="P48" s="120"/>
      <c r="Q48" s="120"/>
      <c r="R48" s="120"/>
    </row>
    <row r="49" spans="1:18" s="60" customFormat="1" ht="24.75" customHeight="1" x14ac:dyDescent="0.25">
      <c r="A49" s="630"/>
      <c r="B49" s="630"/>
      <c r="C49" s="630"/>
      <c r="D49" s="630"/>
      <c r="E49" s="630"/>
      <c r="F49" s="630"/>
      <c r="G49" s="630"/>
      <c r="H49" s="14"/>
      <c r="I49" s="120"/>
      <c r="J49" s="120"/>
      <c r="K49" s="120"/>
      <c r="L49" s="120"/>
      <c r="M49" s="120"/>
      <c r="N49" s="120"/>
      <c r="O49" s="120"/>
      <c r="P49" s="120"/>
      <c r="Q49" s="120"/>
      <c r="R49" s="120"/>
    </row>
    <row r="50" spans="1:18" s="60" customFormat="1" ht="24.75" customHeight="1" x14ac:dyDescent="0.25">
      <c r="A50" s="630"/>
      <c r="B50" s="630"/>
      <c r="C50" s="630"/>
      <c r="D50" s="630"/>
      <c r="E50" s="630"/>
      <c r="F50" s="630"/>
      <c r="G50" s="630"/>
      <c r="H50" s="14"/>
      <c r="I50" s="120"/>
      <c r="J50" s="120"/>
      <c r="K50" s="120"/>
      <c r="L50" s="120"/>
      <c r="M50" s="120"/>
      <c r="N50" s="120"/>
      <c r="O50" s="120"/>
      <c r="P50" s="120"/>
      <c r="Q50" s="120"/>
      <c r="R50" s="120"/>
    </row>
    <row r="51" spans="1:18" s="2" customFormat="1" ht="24" customHeight="1" x14ac:dyDescent="0.25">
      <c r="A51" s="147">
        <v>1</v>
      </c>
      <c r="B51" s="633" t="s">
        <v>247</v>
      </c>
      <c r="C51" s="633"/>
      <c r="D51" s="633"/>
      <c r="E51" s="633"/>
      <c r="F51" s="637" t="s">
        <v>248</v>
      </c>
      <c r="G51" s="637"/>
      <c r="H51" s="14" t="s">
        <v>249</v>
      </c>
      <c r="R51" s="160"/>
    </row>
    <row r="52" spans="1:18" s="2" customFormat="1" ht="24" customHeight="1" x14ac:dyDescent="0.25">
      <c r="A52" s="147">
        <v>2</v>
      </c>
      <c r="B52" s="633" t="s">
        <v>250</v>
      </c>
      <c r="C52" s="633"/>
      <c r="D52" s="633"/>
      <c r="E52" s="633"/>
      <c r="F52" s="633"/>
      <c r="G52" s="586">
        <v>3.065E-2</v>
      </c>
      <c r="H52" s="14" t="s">
        <v>251</v>
      </c>
    </row>
    <row r="53" spans="1:18" s="2" customFormat="1" ht="24" customHeight="1" x14ac:dyDescent="0.25">
      <c r="A53" s="147">
        <v>3</v>
      </c>
      <c r="B53" s="633" t="s">
        <v>252</v>
      </c>
      <c r="C53" s="633"/>
      <c r="D53" s="633"/>
      <c r="E53" s="633"/>
      <c r="F53" s="633"/>
      <c r="G53" s="586">
        <v>6.6400000000000001E-3</v>
      </c>
      <c r="H53" s="14" t="s">
        <v>251</v>
      </c>
    </row>
    <row r="54" spans="1:18" s="2" customFormat="1" ht="24" customHeight="1" x14ac:dyDescent="0.25">
      <c r="A54" s="147">
        <v>4</v>
      </c>
      <c r="B54" s="633" t="s">
        <v>253</v>
      </c>
      <c r="C54" s="633"/>
      <c r="D54" s="633"/>
      <c r="E54" s="633"/>
      <c r="F54" s="633"/>
      <c r="G54" s="586">
        <v>0.03</v>
      </c>
      <c r="H54" s="14" t="s">
        <v>254</v>
      </c>
    </row>
    <row r="55" spans="1:18" s="2" customFormat="1" ht="24" customHeight="1" x14ac:dyDescent="0.25">
      <c r="A55" s="147">
        <v>5</v>
      </c>
      <c r="B55" s="635" t="s">
        <v>239</v>
      </c>
      <c r="C55" s="635"/>
      <c r="D55" s="635"/>
      <c r="E55" s="635"/>
      <c r="F55" s="635"/>
      <c r="G55" s="586">
        <v>0</v>
      </c>
      <c r="H55" s="14" t="s">
        <v>255</v>
      </c>
    </row>
    <row r="56" spans="1:18" s="2" customFormat="1" ht="21.75" customHeight="1" x14ac:dyDescent="0.25">
      <c r="A56" s="147">
        <v>6</v>
      </c>
      <c r="B56" s="633" t="s">
        <v>256</v>
      </c>
      <c r="C56" s="633"/>
      <c r="D56" s="633"/>
      <c r="E56" s="633"/>
      <c r="F56" s="633"/>
      <c r="G56" s="131">
        <f>SUM(G52:G55)</f>
        <v>6.7290000000000003E-2</v>
      </c>
      <c r="H56" s="14"/>
    </row>
    <row r="57" spans="1:18" ht="12.75" customHeight="1" x14ac:dyDescent="0.25"/>
    <row r="58" spans="1:18" s="2" customFormat="1" x14ac:dyDescent="0.25"/>
    <row r="60" spans="1:18" ht="66.75" hidden="1" customHeight="1" x14ac:dyDescent="0.25">
      <c r="A60" s="630" t="s">
        <v>257</v>
      </c>
      <c r="B60" s="630"/>
      <c r="C60" s="630"/>
      <c r="D60" s="630"/>
      <c r="E60" s="630"/>
      <c r="F60" s="630"/>
      <c r="G60" s="630"/>
      <c r="H60" s="630"/>
      <c r="I60" s="146" t="s">
        <v>258</v>
      </c>
      <c r="J60" s="124" t="s">
        <v>259</v>
      </c>
      <c r="K60" s="146" t="s">
        <v>260</v>
      </c>
      <c r="L60" s="146" t="s">
        <v>258</v>
      </c>
      <c r="M60" s="146" t="s">
        <v>261</v>
      </c>
      <c r="N60" s="630" t="s">
        <v>262</v>
      </c>
      <c r="O60" s="630"/>
      <c r="P60" s="124" t="s">
        <v>263</v>
      </c>
      <c r="Q60" s="124"/>
      <c r="R60" s="124" t="s">
        <v>264</v>
      </c>
    </row>
    <row r="61" spans="1:18" ht="15" hidden="1" customHeight="1" x14ac:dyDescent="0.25">
      <c r="A61" s="632" t="s">
        <v>265</v>
      </c>
      <c r="B61" s="632"/>
      <c r="C61" s="147" t="s">
        <v>266</v>
      </c>
      <c r="D61" s="161">
        <f>IPCA!G23</f>
        <v>0</v>
      </c>
      <c r="E61" s="633" t="s">
        <v>267</v>
      </c>
      <c r="F61" s="633"/>
      <c r="G61" s="633"/>
      <c r="H61" s="633"/>
      <c r="I61" s="162" t="s">
        <v>268</v>
      </c>
      <c r="J61" s="162" t="s">
        <v>268</v>
      </c>
      <c r="K61" s="162" t="s">
        <v>268</v>
      </c>
      <c r="L61" s="162" t="s">
        <v>268</v>
      </c>
      <c r="M61" s="162" t="s">
        <v>268</v>
      </c>
      <c r="N61" s="634">
        <f>ROUND((100%+D61),2)</f>
        <v>1</v>
      </c>
      <c r="O61" s="634"/>
      <c r="P61" s="163"/>
      <c r="Q61" s="163"/>
      <c r="R61" s="164"/>
    </row>
    <row r="62" spans="1:18" ht="15" hidden="1" customHeight="1" x14ac:dyDescent="0.25">
      <c r="A62" s="632" t="s">
        <v>269</v>
      </c>
      <c r="B62" s="632"/>
      <c r="C62" s="147" t="s">
        <v>266</v>
      </c>
      <c r="D62" s="161">
        <f>IPCA!N23</f>
        <v>0</v>
      </c>
      <c r="E62" s="633" t="s">
        <v>267</v>
      </c>
      <c r="F62" s="633"/>
      <c r="G62" s="633"/>
      <c r="H62" s="633"/>
      <c r="I62" s="162" t="s">
        <v>268</v>
      </c>
      <c r="J62" s="162" t="s">
        <v>268</v>
      </c>
      <c r="K62" s="162" t="s">
        <v>268</v>
      </c>
      <c r="L62" s="162" t="s">
        <v>268</v>
      </c>
      <c r="M62" s="162" t="s">
        <v>268</v>
      </c>
      <c r="N62" s="634">
        <f>ROUND((100%+D62),2)</f>
        <v>1</v>
      </c>
      <c r="O62" s="634"/>
      <c r="P62" s="163"/>
      <c r="Q62" s="163"/>
      <c r="R62" s="164"/>
    </row>
    <row r="63" spans="1:18" ht="15" hidden="1" customHeight="1" x14ac:dyDescent="0.25">
      <c r="A63" s="632" t="s">
        <v>270</v>
      </c>
      <c r="B63" s="632"/>
      <c r="C63" s="147" t="s">
        <v>266</v>
      </c>
      <c r="D63" s="161">
        <f>IPCA!U23</f>
        <v>0</v>
      </c>
      <c r="E63" s="633" t="s">
        <v>267</v>
      </c>
      <c r="F63" s="633"/>
      <c r="G63" s="633"/>
      <c r="H63" s="633"/>
      <c r="I63" s="162" t="s">
        <v>268</v>
      </c>
      <c r="J63" s="162" t="s">
        <v>268</v>
      </c>
      <c r="K63" s="162" t="s">
        <v>268</v>
      </c>
      <c r="L63" s="162" t="s">
        <v>268</v>
      </c>
      <c r="M63" s="162" t="s">
        <v>268</v>
      </c>
      <c r="N63" s="634">
        <f>ROUND((100%+D63),2)</f>
        <v>1</v>
      </c>
      <c r="O63" s="634"/>
      <c r="P63" s="163"/>
      <c r="Q63" s="163"/>
      <c r="R63" s="164"/>
    </row>
    <row r="64" spans="1:18" ht="15" hidden="1" customHeight="1" x14ac:dyDescent="0.25">
      <c r="A64" s="632" t="s">
        <v>271</v>
      </c>
      <c r="B64" s="632"/>
      <c r="C64" s="147" t="s">
        <v>266</v>
      </c>
      <c r="D64" s="161">
        <f>IPCA!AB23</f>
        <v>0</v>
      </c>
      <c r="E64" s="633" t="s">
        <v>267</v>
      </c>
      <c r="F64" s="633"/>
      <c r="G64" s="633"/>
      <c r="H64" s="633"/>
      <c r="I64" s="162" t="s">
        <v>268</v>
      </c>
      <c r="J64" s="162" t="s">
        <v>268</v>
      </c>
      <c r="K64" s="162" t="s">
        <v>268</v>
      </c>
      <c r="L64" s="162" t="s">
        <v>268</v>
      </c>
      <c r="M64" s="162" t="s">
        <v>268</v>
      </c>
      <c r="N64" s="634">
        <f>ROUND((100%+D64),2)</f>
        <v>1</v>
      </c>
      <c r="O64" s="634"/>
      <c r="P64" s="163"/>
      <c r="Q64" s="163"/>
      <c r="R64" s="164"/>
    </row>
    <row r="65" spans="1:18" ht="15" hidden="1" customHeight="1" x14ac:dyDescent="0.25">
      <c r="A65" s="632" t="s">
        <v>272</v>
      </c>
      <c r="B65" s="632"/>
      <c r="C65" s="147" t="s">
        <v>266</v>
      </c>
      <c r="D65" s="161">
        <f>IPCA!AI23</f>
        <v>0</v>
      </c>
      <c r="E65" s="633" t="s">
        <v>267</v>
      </c>
      <c r="F65" s="633"/>
      <c r="G65" s="633"/>
      <c r="H65" s="633"/>
      <c r="I65" s="162" t="s">
        <v>268</v>
      </c>
      <c r="J65" s="162" t="s">
        <v>268</v>
      </c>
      <c r="K65" s="162" t="s">
        <v>268</v>
      </c>
      <c r="L65" s="162" t="s">
        <v>268</v>
      </c>
      <c r="M65" s="162" t="s">
        <v>268</v>
      </c>
      <c r="N65" s="634">
        <f>ROUND((100%+D65),2)</f>
        <v>1</v>
      </c>
      <c r="O65" s="634"/>
      <c r="P65" s="163"/>
      <c r="Q65" s="163"/>
      <c r="R65" s="164"/>
    </row>
    <row r="66" spans="1:18" hidden="1" x14ac:dyDescent="0.25">
      <c r="B66" s="165"/>
      <c r="C66" s="165"/>
      <c r="D66" s="165"/>
      <c r="E66" s="165"/>
    </row>
    <row r="67" spans="1:18" ht="30" hidden="1" customHeight="1" x14ac:dyDescent="0.25">
      <c r="A67" s="630" t="s">
        <v>273</v>
      </c>
      <c r="B67" s="630"/>
      <c r="C67" s="630"/>
      <c r="D67" s="124" t="s">
        <v>274</v>
      </c>
      <c r="E67" s="165"/>
    </row>
    <row r="68" spans="1:18" ht="15.75" hidden="1" customHeight="1" x14ac:dyDescent="0.25">
      <c r="A68" s="630"/>
      <c r="B68" s="630"/>
      <c r="C68" s="630"/>
      <c r="D68" s="162" t="s">
        <v>275</v>
      </c>
      <c r="E68" s="165"/>
    </row>
    <row r="69" spans="1:18" ht="30" hidden="1" customHeight="1" x14ac:dyDescent="0.25">
      <c r="A69" s="630" t="s">
        <v>276</v>
      </c>
      <c r="B69" s="630"/>
      <c r="C69" s="630"/>
      <c r="D69" s="124" t="s">
        <v>274</v>
      </c>
      <c r="E69" s="165"/>
    </row>
    <row r="70" spans="1:18" ht="15.75" hidden="1" customHeight="1" x14ac:dyDescent="0.25">
      <c r="A70" s="630"/>
      <c r="B70" s="630"/>
      <c r="C70" s="630"/>
      <c r="D70" s="162" t="s">
        <v>275</v>
      </c>
      <c r="E70" s="165"/>
    </row>
    <row r="71" spans="1:18" ht="30" hidden="1" customHeight="1" x14ac:dyDescent="0.25">
      <c r="A71" s="630" t="s">
        <v>277</v>
      </c>
      <c r="B71" s="630"/>
      <c r="C71" s="630"/>
      <c r="D71" s="124" t="s">
        <v>274</v>
      </c>
      <c r="E71" s="165"/>
    </row>
    <row r="72" spans="1:18" ht="15.75" hidden="1" customHeight="1" x14ac:dyDescent="0.25">
      <c r="A72" s="630"/>
      <c r="B72" s="630"/>
      <c r="C72" s="630"/>
      <c r="D72" s="162" t="s">
        <v>275</v>
      </c>
      <c r="E72" s="165"/>
    </row>
    <row r="73" spans="1:18" ht="42.75" hidden="1" customHeight="1" x14ac:dyDescent="0.25">
      <c r="A73" s="630" t="s">
        <v>278</v>
      </c>
      <c r="B73" s="630"/>
      <c r="C73" s="630"/>
      <c r="D73" s="124" t="s">
        <v>274</v>
      </c>
      <c r="E73" s="166" t="s">
        <v>279</v>
      </c>
      <c r="F73" s="124" t="s">
        <v>280</v>
      </c>
      <c r="G73" s="124" t="s">
        <v>281</v>
      </c>
      <c r="H73" s="124" t="s">
        <v>282</v>
      </c>
      <c r="I73" s="124" t="s">
        <v>283</v>
      </c>
      <c r="J73" s="124" t="s">
        <v>284</v>
      </c>
      <c r="K73" s="165"/>
    </row>
    <row r="74" spans="1:18" ht="15.75" hidden="1" customHeight="1" x14ac:dyDescent="0.25">
      <c r="A74" s="630"/>
      <c r="B74" s="630"/>
      <c r="C74" s="630"/>
      <c r="D74" s="162" t="s">
        <v>275</v>
      </c>
      <c r="E74" s="162">
        <v>1.55</v>
      </c>
      <c r="F74" s="147">
        <f>ROUND(IF(Dados!$M$61="SIM",E74*Dados!$N$61,E74),2)</f>
        <v>1.55</v>
      </c>
      <c r="G74" s="147">
        <f>ROUND(IF(Dados!$M$62="SIM",F74*Dados!$N$62,F74),2)</f>
        <v>1.55</v>
      </c>
      <c r="H74" s="147">
        <f>ROUND(IF(Dados!$M$63="SIM",G74*Dados!$N$63,G74),2)</f>
        <v>1.55</v>
      </c>
      <c r="I74" s="147">
        <f>ROUND(IF(Dados!$M$64="SIM",H74*Dados!$N$64,H74),2)</f>
        <v>1.55</v>
      </c>
      <c r="J74" s="147">
        <f>ROUND(IF(Dados!$M$65="SIM",I74*Dados!$N$65,I74),2)</f>
        <v>1.55</v>
      </c>
    </row>
    <row r="75" spans="1:18" hidden="1" x14ac:dyDescent="0.25">
      <c r="E75" s="165"/>
    </row>
    <row r="76" spans="1:18" ht="15.75" hidden="1" customHeight="1" x14ac:dyDescent="0.25">
      <c r="A76" s="631" t="s">
        <v>285</v>
      </c>
      <c r="B76" s="631"/>
      <c r="C76" s="631"/>
      <c r="D76" s="631"/>
      <c r="E76" s="631"/>
      <c r="F76" s="631"/>
      <c r="G76" s="631"/>
      <c r="H76" s="631"/>
    </row>
    <row r="77" spans="1:18" hidden="1" x14ac:dyDescent="0.25">
      <c r="A77" s="627" t="s">
        <v>286</v>
      </c>
      <c r="B77" s="627"/>
      <c r="C77" s="627"/>
      <c r="D77" s="627"/>
      <c r="E77" s="627"/>
      <c r="F77" s="628" t="s">
        <v>287</v>
      </c>
      <c r="G77" s="628"/>
      <c r="H77" s="167"/>
    </row>
    <row r="78" spans="1:18" ht="43.5" hidden="1" customHeight="1" x14ac:dyDescent="0.25">
      <c r="A78" s="625" t="s">
        <v>288</v>
      </c>
      <c r="B78" s="625"/>
      <c r="C78" s="625"/>
      <c r="D78" s="625"/>
      <c r="E78" s="625"/>
      <c r="F78" s="625"/>
      <c r="G78" s="625"/>
      <c r="H78" s="625"/>
    </row>
    <row r="79" spans="1:18" hidden="1" x14ac:dyDescent="0.25">
      <c r="A79" s="627" t="s">
        <v>289</v>
      </c>
      <c r="B79" s="627"/>
      <c r="C79" s="627"/>
      <c r="D79" s="627"/>
      <c r="E79" s="627"/>
      <c r="F79" s="628" t="s">
        <v>287</v>
      </c>
      <c r="G79" s="628"/>
      <c r="H79" s="167"/>
    </row>
    <row r="80" spans="1:18" ht="43.5" hidden="1" customHeight="1" x14ac:dyDescent="0.25">
      <c r="A80" s="626" t="s">
        <v>290</v>
      </c>
      <c r="B80" s="626"/>
      <c r="C80" s="626"/>
      <c r="D80" s="626"/>
      <c r="E80" s="626"/>
      <c r="F80" s="626"/>
      <c r="G80" s="626"/>
      <c r="H80" s="626"/>
    </row>
    <row r="81" spans="1:8" hidden="1" x14ac:dyDescent="0.25">
      <c r="A81" s="627" t="s">
        <v>291</v>
      </c>
      <c r="B81" s="627"/>
      <c r="C81" s="627"/>
      <c r="D81" s="627"/>
      <c r="E81" s="627"/>
      <c r="F81" s="628" t="s">
        <v>287</v>
      </c>
      <c r="G81" s="628"/>
      <c r="H81" s="167"/>
    </row>
    <row r="82" spans="1:8" ht="43.5" hidden="1" customHeight="1" x14ac:dyDescent="0.25">
      <c r="A82" s="625" t="s">
        <v>292</v>
      </c>
      <c r="B82" s="625"/>
      <c r="C82" s="625"/>
      <c r="D82" s="625"/>
      <c r="E82" s="625"/>
      <c r="F82" s="625"/>
      <c r="G82" s="625"/>
      <c r="H82" s="625"/>
    </row>
    <row r="83" spans="1:8" hidden="1" x14ac:dyDescent="0.25">
      <c r="A83" s="629" t="s">
        <v>293</v>
      </c>
      <c r="B83" s="629"/>
      <c r="C83" s="629"/>
      <c r="D83" s="629"/>
      <c r="E83" s="629"/>
      <c r="F83" s="628" t="s">
        <v>287</v>
      </c>
      <c r="G83" s="628"/>
      <c r="H83" s="168"/>
    </row>
    <row r="84" spans="1:8" ht="43.5" hidden="1" customHeight="1" x14ac:dyDescent="0.25">
      <c r="A84" s="625" t="s">
        <v>294</v>
      </c>
      <c r="B84" s="625"/>
      <c r="C84" s="625"/>
      <c r="D84" s="625"/>
      <c r="E84" s="625"/>
      <c r="F84" s="625"/>
      <c r="G84" s="625"/>
      <c r="H84" s="625"/>
    </row>
    <row r="85" spans="1:8" hidden="1" x14ac:dyDescent="0.25"/>
    <row r="86" spans="1:8" hidden="1" x14ac:dyDescent="0.25"/>
    <row r="87" spans="1:8" hidden="1" x14ac:dyDescent="0.25"/>
    <row r="88" spans="1:8" hidden="1" x14ac:dyDescent="0.25"/>
    <row r="89" spans="1:8" hidden="1" x14ac:dyDescent="0.25"/>
    <row r="90" spans="1:8" hidden="1" x14ac:dyDescent="0.25"/>
    <row r="91" spans="1:8" hidden="1" x14ac:dyDescent="0.25"/>
    <row r="92" spans="1:8" hidden="1" x14ac:dyDescent="0.25"/>
    <row r="93" spans="1:8" hidden="1" x14ac:dyDescent="0.25"/>
    <row r="94" spans="1:8" hidden="1" x14ac:dyDescent="0.25"/>
    <row r="95" spans="1:8" hidden="1" x14ac:dyDescent="0.25"/>
    <row r="96" spans="1:8"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sheetData>
  <mergeCells count="96">
    <mergeCell ref="K5:K6"/>
    <mergeCell ref="L5:L6"/>
    <mergeCell ref="M5:M6"/>
    <mergeCell ref="S5:S6"/>
    <mergeCell ref="A7:A10"/>
    <mergeCell ref="F5:F6"/>
    <mergeCell ref="G5:G6"/>
    <mergeCell ref="H5:H6"/>
    <mergeCell ref="I5:I6"/>
    <mergeCell ref="J5:J6"/>
    <mergeCell ref="A5:A6"/>
    <mergeCell ref="B5:B6"/>
    <mergeCell ref="C5:C6"/>
    <mergeCell ref="D5:D6"/>
    <mergeCell ref="E5:E6"/>
    <mergeCell ref="A13:G13"/>
    <mergeCell ref="B14:D14"/>
    <mergeCell ref="E14:G14"/>
    <mergeCell ref="B15:D15"/>
    <mergeCell ref="E15:G15"/>
    <mergeCell ref="B16:D16"/>
    <mergeCell ref="E16:G16"/>
    <mergeCell ref="B17:D17"/>
    <mergeCell ref="E17:G17"/>
    <mergeCell ref="B18:D18"/>
    <mergeCell ref="E18:G18"/>
    <mergeCell ref="A20:G20"/>
    <mergeCell ref="B21:F21"/>
    <mergeCell ref="B23:F23"/>
    <mergeCell ref="B24:F24"/>
    <mergeCell ref="B25:F25"/>
    <mergeCell ref="A27:G27"/>
    <mergeCell ref="B28:F28"/>
    <mergeCell ref="A30:G30"/>
    <mergeCell ref="B31:F31"/>
    <mergeCell ref="B32:F32"/>
    <mergeCell ref="A33:A36"/>
    <mergeCell ref="B33:C36"/>
    <mergeCell ref="D33:F33"/>
    <mergeCell ref="D34:F34"/>
    <mergeCell ref="D35:F35"/>
    <mergeCell ref="D36:F36"/>
    <mergeCell ref="A37:A39"/>
    <mergeCell ref="B37:C39"/>
    <mergeCell ref="D37:F37"/>
    <mergeCell ref="D38:F38"/>
    <mergeCell ref="D39:F39"/>
    <mergeCell ref="B40:F40"/>
    <mergeCell ref="B41:F41"/>
    <mergeCell ref="A43:G43"/>
    <mergeCell ref="B44:F44"/>
    <mergeCell ref="B45:F45"/>
    <mergeCell ref="A47:G47"/>
    <mergeCell ref="A48:A50"/>
    <mergeCell ref="B48:G50"/>
    <mergeCell ref="B51:E51"/>
    <mergeCell ref="F51:G51"/>
    <mergeCell ref="B52:F52"/>
    <mergeCell ref="B53:F53"/>
    <mergeCell ref="B54:F54"/>
    <mergeCell ref="B55:F55"/>
    <mergeCell ref="B56:F56"/>
    <mergeCell ref="A60:H60"/>
    <mergeCell ref="N60:O60"/>
    <mergeCell ref="A61:B61"/>
    <mergeCell ref="E61:H61"/>
    <mergeCell ref="N61:O61"/>
    <mergeCell ref="A62:B62"/>
    <mergeCell ref="E62:H62"/>
    <mergeCell ref="N62:O62"/>
    <mergeCell ref="A63:B63"/>
    <mergeCell ref="E63:H63"/>
    <mergeCell ref="N63:O63"/>
    <mergeCell ref="A64:B64"/>
    <mergeCell ref="E64:H64"/>
    <mergeCell ref="N64:O64"/>
    <mergeCell ref="A65:B65"/>
    <mergeCell ref="E65:H65"/>
    <mergeCell ref="N65:O65"/>
    <mergeCell ref="A67:C68"/>
    <mergeCell ref="A69:C70"/>
    <mergeCell ref="A71:C72"/>
    <mergeCell ref="A73:C74"/>
    <mergeCell ref="A76:H76"/>
    <mergeCell ref="A77:E77"/>
    <mergeCell ref="F77:G77"/>
    <mergeCell ref="A78:H78"/>
    <mergeCell ref="A79:E79"/>
    <mergeCell ref="F79:G79"/>
    <mergeCell ref="A84:H84"/>
    <mergeCell ref="A80:H80"/>
    <mergeCell ref="A81:E81"/>
    <mergeCell ref="F81:G81"/>
    <mergeCell ref="A82:H82"/>
    <mergeCell ref="A83:E83"/>
    <mergeCell ref="F83:G83"/>
  </mergeCells>
  <dataValidations count="3">
    <dataValidation type="list" allowBlank="1" showInputMessage="1" showErrorMessage="1" sqref="F51" xr:uid="{00000000-0002-0000-0200-000000000000}">
      <formula1>"LUCRO REAL,LUCRO PRESUMIDO,SIMPLES NACIONAL,OUTRO"</formula1>
      <formula2>0</formula2>
    </dataValidation>
    <dataValidation type="list" allowBlank="1" showInputMessage="1" showErrorMessage="1" sqref="I61:M65" xr:uid="{00000000-0002-0000-0200-000001000000}">
      <formula1>"NÃO,SIM"</formula1>
      <formula2>0</formula2>
    </dataValidation>
    <dataValidation type="list" allowBlank="1" showInputMessage="1" showErrorMessage="1" sqref="D68 D70 D72 D74" xr:uid="{00000000-0002-0000-0200-000002000000}">
      <formula1>"INICIAL,1º IPCA,2º IPCA,3º IPCA,4º IPCA,5º IPCA"</formula1>
      <formula2>0</formula2>
    </dataValidation>
  </dataValidations>
  <printOptions horizontalCentered="1" verticalCentered="1"/>
  <pageMargins left="0.51180555555555496" right="0.51180555555555496" top="0.78749999999999998" bottom="0.78749999999999998" header="0.51180555555555496" footer="0.51180555555555496"/>
  <pageSetup paperSize="9" scale="33" firstPageNumber="0" fitToHeight="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1"/>
  <sheetViews>
    <sheetView showGridLines="0" topLeftCell="A46" zoomScaleNormal="100" workbookViewId="0">
      <selection activeCell="O9" sqref="O9"/>
    </sheetView>
  </sheetViews>
  <sheetFormatPr defaultRowHeight="15" x14ac:dyDescent="0.25"/>
  <cols>
    <col min="1" max="1" width="9" customWidth="1"/>
    <col min="2" max="2" width="55.5703125" customWidth="1"/>
    <col min="3" max="3" width="13.140625" customWidth="1"/>
    <col min="4" max="4" width="4.85546875" customWidth="1"/>
    <col min="5" max="5" width="41.7109375" customWidth="1"/>
    <col min="6" max="8" width="11" customWidth="1"/>
    <col min="9" max="257" width="9" customWidth="1"/>
    <col min="258" max="258" width="55.5703125" customWidth="1"/>
    <col min="259" max="259" width="13.140625" customWidth="1"/>
    <col min="260" max="260" width="9" customWidth="1"/>
    <col min="261" max="261" width="35.140625" customWidth="1"/>
    <col min="262" max="264" width="11" customWidth="1"/>
    <col min="265" max="513" width="9" customWidth="1"/>
    <col min="514" max="514" width="55.5703125" customWidth="1"/>
    <col min="515" max="515" width="13.140625" customWidth="1"/>
    <col min="516" max="516" width="9" customWidth="1"/>
    <col min="517" max="517" width="35.140625" customWidth="1"/>
    <col min="518" max="520" width="11" customWidth="1"/>
    <col min="521" max="769" width="9" customWidth="1"/>
    <col min="770" max="770" width="55.5703125" customWidth="1"/>
    <col min="771" max="771" width="13.140625" customWidth="1"/>
    <col min="772" max="772" width="9" customWidth="1"/>
    <col min="773" max="773" width="35.140625" customWidth="1"/>
    <col min="774" max="776" width="11" customWidth="1"/>
    <col min="777" max="1025" width="9" customWidth="1"/>
  </cols>
  <sheetData>
    <row r="1" spans="1:4" x14ac:dyDescent="0.25">
      <c r="A1" s="169"/>
      <c r="B1" s="100" t="str">
        <f>INSTRUÇÕES!B1</f>
        <v>Tribunal Regional Federal da 6ª Região</v>
      </c>
      <c r="C1" s="170"/>
    </row>
    <row r="2" spans="1:4" x14ac:dyDescent="0.25">
      <c r="A2" s="171"/>
      <c r="B2" s="102" t="str">
        <f>INSTRUÇÕES!B2</f>
        <v>Seção Judiciária de Minas Gerais</v>
      </c>
      <c r="C2" s="172"/>
    </row>
    <row r="3" spans="1:4" x14ac:dyDescent="0.25">
      <c r="A3" s="173"/>
      <c r="B3" s="102" t="str">
        <f>INSTRUÇÕES!B3</f>
        <v>Subseção Judiciária de Montes Claros</v>
      </c>
      <c r="C3" s="172"/>
    </row>
    <row r="4" spans="1:4" ht="21.75" customHeight="1" x14ac:dyDescent="0.25">
      <c r="A4" s="656" t="s">
        <v>295</v>
      </c>
      <c r="B4" s="656"/>
      <c r="C4" s="656"/>
    </row>
    <row r="5" spans="1:4" ht="21.75" customHeight="1" x14ac:dyDescent="0.25">
      <c r="A5" s="656" t="s">
        <v>296</v>
      </c>
      <c r="B5" s="656"/>
      <c r="C5" s="656"/>
    </row>
    <row r="6" spans="1:4" ht="26.25" customHeight="1" x14ac:dyDescent="0.25">
      <c r="A6" s="657" t="s">
        <v>297</v>
      </c>
      <c r="B6" s="657"/>
      <c r="C6" s="657"/>
    </row>
    <row r="7" spans="1:4" x14ac:dyDescent="0.25">
      <c r="A7" s="658" t="s">
        <v>298</v>
      </c>
      <c r="B7" s="658"/>
      <c r="C7" s="658"/>
    </row>
    <row r="8" spans="1:4" ht="15.75" customHeight="1" x14ac:dyDescent="0.25">
      <c r="A8" s="174" t="s">
        <v>59</v>
      </c>
      <c r="B8" s="175" t="s">
        <v>299</v>
      </c>
      <c r="C8" s="176" t="s">
        <v>300</v>
      </c>
    </row>
    <row r="9" spans="1:4" ht="15.75" customHeight="1" x14ac:dyDescent="0.25">
      <c r="A9" s="177" t="s">
        <v>301</v>
      </c>
      <c r="B9" s="651" t="s">
        <v>302</v>
      </c>
      <c r="C9" s="651"/>
    </row>
    <row r="10" spans="1:4" ht="15.75" customHeight="1" x14ac:dyDescent="0.25">
      <c r="A10" s="178">
        <v>1</v>
      </c>
      <c r="B10" s="179" t="s">
        <v>303</v>
      </c>
      <c r="C10" s="180">
        <v>0.2</v>
      </c>
    </row>
    <row r="11" spans="1:4" ht="15.75" customHeight="1" x14ac:dyDescent="0.25">
      <c r="A11" s="178">
        <v>2</v>
      </c>
      <c r="B11" s="179" t="s">
        <v>304</v>
      </c>
      <c r="C11" s="180">
        <v>1.4999999999999999E-2</v>
      </c>
    </row>
    <row r="12" spans="1:4" ht="15.75" customHeight="1" x14ac:dyDescent="0.25">
      <c r="A12" s="178">
        <v>3</v>
      </c>
      <c r="B12" s="179" t="s">
        <v>305</v>
      </c>
      <c r="C12" s="180">
        <v>0.01</v>
      </c>
    </row>
    <row r="13" spans="1:4" ht="15.75" customHeight="1" x14ac:dyDescent="0.25">
      <c r="A13" s="178">
        <v>4</v>
      </c>
      <c r="B13" s="179" t="s">
        <v>306</v>
      </c>
      <c r="C13" s="180">
        <v>2E-3</v>
      </c>
    </row>
    <row r="14" spans="1:4" ht="15.75" customHeight="1" x14ac:dyDescent="0.25">
      <c r="A14" s="178">
        <v>5</v>
      </c>
      <c r="B14" s="179" t="s">
        <v>307</v>
      </c>
      <c r="C14" s="180">
        <v>2.5000000000000001E-2</v>
      </c>
    </row>
    <row r="15" spans="1:4" ht="15.75" customHeight="1" x14ac:dyDescent="0.25">
      <c r="A15" s="178">
        <v>6</v>
      </c>
      <c r="B15" s="179" t="s">
        <v>308</v>
      </c>
      <c r="C15" s="180">
        <v>0.08</v>
      </c>
    </row>
    <row r="16" spans="1:4" ht="15.75" customHeight="1" x14ac:dyDescent="0.25">
      <c r="A16" s="178">
        <v>7</v>
      </c>
      <c r="B16" s="179" t="s">
        <v>309</v>
      </c>
      <c r="C16" s="181">
        <f>Dados!G23</f>
        <v>1.3999999999999999E-2</v>
      </c>
      <c r="D16" s="182" t="s">
        <v>310</v>
      </c>
    </row>
    <row r="17" spans="1:3" ht="15.75" customHeight="1" x14ac:dyDescent="0.25">
      <c r="A17" s="178">
        <v>8</v>
      </c>
      <c r="B17" s="179" t="s">
        <v>311</v>
      </c>
      <c r="C17" s="180">
        <v>6.0000000000000001E-3</v>
      </c>
    </row>
    <row r="18" spans="1:3" ht="15.75" customHeight="1" x14ac:dyDescent="0.25">
      <c r="A18" s="654" t="s">
        <v>312</v>
      </c>
      <c r="B18" s="654"/>
      <c r="C18" s="183">
        <f>SUM(C10:C17)</f>
        <v>0.35200000000000009</v>
      </c>
    </row>
    <row r="19" spans="1:3" ht="15.75" customHeight="1" x14ac:dyDescent="0.25">
      <c r="A19" s="655" t="s">
        <v>313</v>
      </c>
      <c r="B19" s="655"/>
      <c r="C19" s="655"/>
    </row>
    <row r="20" spans="1:3" ht="15.75" customHeight="1" x14ac:dyDescent="0.25">
      <c r="A20" s="655" t="s">
        <v>314</v>
      </c>
      <c r="B20" s="655"/>
      <c r="C20" s="655"/>
    </row>
    <row r="21" spans="1:3" ht="15.75" customHeight="1" x14ac:dyDescent="0.25">
      <c r="A21" s="178">
        <v>9</v>
      </c>
      <c r="B21" s="184" t="s">
        <v>315</v>
      </c>
      <c r="C21" s="185">
        <f>ROUND((100%/11),4)</f>
        <v>9.0899999999999995E-2</v>
      </c>
    </row>
    <row r="22" spans="1:3" ht="15.75" customHeight="1" x14ac:dyDescent="0.25">
      <c r="A22" s="178">
        <v>10</v>
      </c>
      <c r="B22" s="184" t="s">
        <v>316</v>
      </c>
      <c r="C22" s="185">
        <f>ROUND((C21/3),4)</f>
        <v>3.0300000000000001E-2</v>
      </c>
    </row>
    <row r="23" spans="1:3" ht="15.75" customHeight="1" x14ac:dyDescent="0.25">
      <c r="A23" s="652" t="s">
        <v>317</v>
      </c>
      <c r="B23" s="652"/>
      <c r="C23" s="186">
        <f>SUM(C21:C22)</f>
        <v>0.1212</v>
      </c>
    </row>
    <row r="24" spans="1:3" ht="15.75" customHeight="1" x14ac:dyDescent="0.25">
      <c r="A24" s="653" t="s">
        <v>318</v>
      </c>
      <c r="B24" s="653"/>
      <c r="C24" s="181">
        <f>(C18*C23)</f>
        <v>4.266240000000001E-2</v>
      </c>
    </row>
    <row r="25" spans="1:3" ht="15.75" customHeight="1" x14ac:dyDescent="0.25">
      <c r="A25" s="652" t="s">
        <v>319</v>
      </c>
      <c r="B25" s="652"/>
      <c r="C25" s="186">
        <f>SUM(C23:C24)</f>
        <v>0.16386240000000002</v>
      </c>
    </row>
    <row r="26" spans="1:3" ht="15.75" customHeight="1" x14ac:dyDescent="0.25">
      <c r="A26" s="177" t="s">
        <v>320</v>
      </c>
      <c r="B26" s="651" t="s">
        <v>321</v>
      </c>
      <c r="C26" s="651"/>
    </row>
    <row r="27" spans="1:3" ht="15.75" customHeight="1" x14ac:dyDescent="0.25">
      <c r="A27" s="178">
        <v>11</v>
      </c>
      <c r="B27" s="179" t="s">
        <v>322</v>
      </c>
      <c r="C27" s="180">
        <f>ROUND((0.0144*0.1*0.4509*6/12),4)</f>
        <v>2.9999999999999997E-4</v>
      </c>
    </row>
    <row r="28" spans="1:3" ht="15.75" customHeight="1" x14ac:dyDescent="0.25">
      <c r="A28" s="653" t="s">
        <v>323</v>
      </c>
      <c r="B28" s="653"/>
      <c r="C28" s="187">
        <f>C18*C27</f>
        <v>1.0560000000000002E-4</v>
      </c>
    </row>
    <row r="29" spans="1:3" ht="15.75" customHeight="1" x14ac:dyDescent="0.25">
      <c r="A29" s="652" t="s">
        <v>324</v>
      </c>
      <c r="B29" s="652"/>
      <c r="C29" s="188">
        <f>SUM(C27:C28)</f>
        <v>4.0559999999999999E-4</v>
      </c>
    </row>
    <row r="30" spans="1:3" ht="15.75" customHeight="1" x14ac:dyDescent="0.25">
      <c r="A30" s="177" t="s">
        <v>325</v>
      </c>
      <c r="B30" s="651" t="s">
        <v>326</v>
      </c>
      <c r="C30" s="651"/>
    </row>
    <row r="31" spans="1:3" ht="15.75" customHeight="1" x14ac:dyDescent="0.25">
      <c r="A31" s="178">
        <v>12</v>
      </c>
      <c r="B31" s="179" t="s">
        <v>327</v>
      </c>
      <c r="C31" s="180">
        <f>ROUND((100%/12)*5%,4)</f>
        <v>4.1999999999999997E-3</v>
      </c>
    </row>
    <row r="32" spans="1:3" ht="15.75" customHeight="1" x14ac:dyDescent="0.25">
      <c r="A32" s="643" t="s">
        <v>328</v>
      </c>
      <c r="B32" s="643"/>
      <c r="C32" s="181">
        <f>C15*C31</f>
        <v>3.3599999999999998E-4</v>
      </c>
    </row>
    <row r="33" spans="1:8" ht="15.75" customHeight="1" x14ac:dyDescent="0.25">
      <c r="A33" s="178">
        <v>13</v>
      </c>
      <c r="B33" s="179" t="s">
        <v>329</v>
      </c>
      <c r="C33" s="185">
        <f>ROUND((C15*0.4*0.9*(1+1/11+1/11+(1/3*1/11))),5)</f>
        <v>3.4909999999999997E-2</v>
      </c>
    </row>
    <row r="34" spans="1:8" ht="15.75" customHeight="1" x14ac:dyDescent="0.25">
      <c r="A34" s="178">
        <v>14</v>
      </c>
      <c r="B34" s="179" t="s">
        <v>330</v>
      </c>
      <c r="C34" s="180">
        <f>ROUND((100%/30)*7/12,4)</f>
        <v>1.9400000000000001E-2</v>
      </c>
    </row>
    <row r="35" spans="1:8" ht="15.75" customHeight="1" x14ac:dyDescent="0.25">
      <c r="A35" s="643" t="s">
        <v>331</v>
      </c>
      <c r="B35" s="643"/>
      <c r="C35" s="181">
        <f>ROUND((C34*C18),4)</f>
        <v>6.7999999999999996E-3</v>
      </c>
    </row>
    <row r="36" spans="1:8" ht="15.75" customHeight="1" x14ac:dyDescent="0.25">
      <c r="A36" s="178">
        <v>15</v>
      </c>
      <c r="B36" s="179" t="s">
        <v>332</v>
      </c>
      <c r="C36" s="181">
        <f>(0.4*C15/100)</f>
        <v>3.2000000000000003E-4</v>
      </c>
    </row>
    <row r="37" spans="1:8" ht="15.75" customHeight="1" x14ac:dyDescent="0.25">
      <c r="A37" s="646" t="s">
        <v>333</v>
      </c>
      <c r="B37" s="646"/>
      <c r="C37" s="186">
        <f>SUM(C31:C36)</f>
        <v>6.5965999999999997E-2</v>
      </c>
    </row>
    <row r="38" spans="1:8" ht="15.75" customHeight="1" x14ac:dyDescent="0.25">
      <c r="A38" s="177" t="s">
        <v>334</v>
      </c>
      <c r="B38" s="651" t="s">
        <v>335</v>
      </c>
      <c r="C38" s="651"/>
    </row>
    <row r="39" spans="1:8" ht="15.75" customHeight="1" x14ac:dyDescent="0.25">
      <c r="A39" s="178">
        <v>16</v>
      </c>
      <c r="B39" s="179" t="s">
        <v>336</v>
      </c>
      <c r="C39" s="185">
        <f>ROUND((100%/11),4)</f>
        <v>9.0899999999999995E-2</v>
      </c>
    </row>
    <row r="40" spans="1:8" ht="15.75" customHeight="1" x14ac:dyDescent="0.25">
      <c r="A40" s="178">
        <v>17</v>
      </c>
      <c r="B40" s="179" t="s">
        <v>337</v>
      </c>
      <c r="C40" s="180">
        <v>1.66E-2</v>
      </c>
    </row>
    <row r="41" spans="1:8" ht="15.75" customHeight="1" x14ac:dyDescent="0.25">
      <c r="A41" s="178">
        <v>18</v>
      </c>
      <c r="B41" s="179" t="s">
        <v>338</v>
      </c>
      <c r="C41" s="180">
        <f>ROUND((5/30/12)*0.022,4)</f>
        <v>2.9999999999999997E-4</v>
      </c>
    </row>
    <row r="42" spans="1:8" ht="15.75" customHeight="1" x14ac:dyDescent="0.25">
      <c r="A42" s="178">
        <v>19</v>
      </c>
      <c r="B42" s="179" t="s">
        <v>339</v>
      </c>
      <c r="C42" s="180">
        <f>ROUND((1/30/12),4)</f>
        <v>2.8E-3</v>
      </c>
    </row>
    <row r="43" spans="1:8" ht="15.75" customHeight="1" x14ac:dyDescent="0.25">
      <c r="A43" s="178">
        <v>20</v>
      </c>
      <c r="B43" s="179" t="s">
        <v>340</v>
      </c>
      <c r="C43" s="180">
        <f>ROUND((15/30/12*0.0078),4)</f>
        <v>2.9999999999999997E-4</v>
      </c>
    </row>
    <row r="44" spans="1:8" ht="15.75" customHeight="1" x14ac:dyDescent="0.25">
      <c r="A44" s="646" t="s">
        <v>317</v>
      </c>
      <c r="B44" s="646"/>
      <c r="C44" s="186">
        <f>SUM(C39:C43)</f>
        <v>0.11089999999999998</v>
      </c>
      <c r="E44" s="648" t="s">
        <v>341</v>
      </c>
      <c r="F44" s="648"/>
      <c r="G44" s="648"/>
      <c r="H44" s="648"/>
    </row>
    <row r="45" spans="1:8" ht="15.75" customHeight="1" x14ac:dyDescent="0.25">
      <c r="A45" s="643" t="s">
        <v>342</v>
      </c>
      <c r="B45" s="643"/>
      <c r="C45" s="181">
        <f>C18*C44</f>
        <v>3.9036800000000003E-2</v>
      </c>
      <c r="E45" s="648"/>
      <c r="F45" s="648"/>
      <c r="G45" s="648"/>
      <c r="H45" s="648"/>
    </row>
    <row r="46" spans="1:8" ht="15" customHeight="1" x14ac:dyDescent="0.25">
      <c r="A46" s="646" t="s">
        <v>343</v>
      </c>
      <c r="B46" s="646"/>
      <c r="C46" s="186">
        <f>SUM(C44:C45)</f>
        <v>0.14993679999999998</v>
      </c>
      <c r="E46" s="649" t="s">
        <v>344</v>
      </c>
      <c r="F46" s="650" t="s">
        <v>345</v>
      </c>
      <c r="G46" s="650"/>
      <c r="H46" s="650"/>
    </row>
    <row r="47" spans="1:8" ht="15.75" customHeight="1" x14ac:dyDescent="0.25">
      <c r="A47" s="189" t="s">
        <v>346</v>
      </c>
      <c r="B47" s="190" t="s">
        <v>347</v>
      </c>
      <c r="C47" s="186" t="s">
        <v>213</v>
      </c>
      <c r="E47" s="649"/>
      <c r="F47" s="650" t="s">
        <v>348</v>
      </c>
      <c r="G47" s="650"/>
      <c r="H47" s="650"/>
    </row>
    <row r="48" spans="1:8" ht="15.75" customHeight="1" x14ac:dyDescent="0.25">
      <c r="A48" s="178">
        <v>21</v>
      </c>
      <c r="B48" s="179" t="s">
        <v>349</v>
      </c>
      <c r="C48" s="180">
        <f>1*1%/12</f>
        <v>8.3333333333333339E-4</v>
      </c>
      <c r="E48" s="191" t="s">
        <v>350</v>
      </c>
      <c r="F48" s="192" t="s">
        <v>351</v>
      </c>
      <c r="G48" s="192" t="s">
        <v>352</v>
      </c>
      <c r="H48" s="193" t="s">
        <v>353</v>
      </c>
    </row>
    <row r="49" spans="1:8" ht="15.75" customHeight="1" x14ac:dyDescent="0.25">
      <c r="A49" s="646" t="s">
        <v>354</v>
      </c>
      <c r="B49" s="646"/>
      <c r="C49" s="186">
        <f>SUM(C47:C48)</f>
        <v>8.3333333333333339E-4</v>
      </c>
      <c r="E49" s="191" t="s">
        <v>355</v>
      </c>
      <c r="F49" s="194">
        <v>0.34300000000000003</v>
      </c>
      <c r="G49" s="194">
        <v>0.39800000000000002</v>
      </c>
      <c r="H49" s="195">
        <f>$C$18</f>
        <v>0.35200000000000009</v>
      </c>
    </row>
    <row r="50" spans="1:8" ht="15.75" customHeight="1" x14ac:dyDescent="0.25">
      <c r="A50" s="647" t="s">
        <v>356</v>
      </c>
      <c r="B50" s="647"/>
      <c r="C50" s="647"/>
      <c r="E50" s="191" t="s">
        <v>357</v>
      </c>
      <c r="F50" s="194">
        <v>5.0000000000000001E-3</v>
      </c>
      <c r="G50" s="194">
        <v>0.06</v>
      </c>
      <c r="H50" s="195">
        <f>$C$16</f>
        <v>1.3999999999999999E-2</v>
      </c>
    </row>
    <row r="51" spans="1:8" ht="15.75" customHeight="1" x14ac:dyDescent="0.25">
      <c r="A51" s="643" t="s">
        <v>302</v>
      </c>
      <c r="B51" s="643"/>
      <c r="C51" s="181">
        <f>ROUND(C18,4)</f>
        <v>0.35199999999999998</v>
      </c>
      <c r="E51" s="196" t="s">
        <v>358</v>
      </c>
      <c r="F51" s="197">
        <f>$C$21</f>
        <v>9.0899999999999995E-2</v>
      </c>
      <c r="G51" s="197">
        <f>$F$51</f>
        <v>9.0899999999999995E-2</v>
      </c>
      <c r="H51" s="198">
        <f>$F$51</f>
        <v>9.0899999999999995E-2</v>
      </c>
    </row>
    <row r="52" spans="1:8" ht="15.75" customHeight="1" x14ac:dyDescent="0.25">
      <c r="A52" s="643" t="s">
        <v>359</v>
      </c>
      <c r="B52" s="643"/>
      <c r="C52" s="181">
        <f>ROUND(C25,4)</f>
        <v>0.16389999999999999</v>
      </c>
      <c r="E52" s="196" t="s">
        <v>360</v>
      </c>
      <c r="F52" s="197">
        <f>$C$39</f>
        <v>9.0899999999999995E-2</v>
      </c>
      <c r="G52" s="197">
        <f>$F$52</f>
        <v>9.0899999999999995E-2</v>
      </c>
      <c r="H52" s="198">
        <f>$F$52</f>
        <v>9.0899999999999995E-2</v>
      </c>
    </row>
    <row r="53" spans="1:8" ht="15.75" customHeight="1" x14ac:dyDescent="0.25">
      <c r="A53" s="643" t="s">
        <v>321</v>
      </c>
      <c r="B53" s="643"/>
      <c r="C53" s="181">
        <f>ROUND(C29,4)</f>
        <v>4.0000000000000002E-4</v>
      </c>
      <c r="E53" s="196" t="s">
        <v>361</v>
      </c>
      <c r="F53" s="197">
        <f>$C$22</f>
        <v>3.0300000000000001E-2</v>
      </c>
      <c r="G53" s="197">
        <f>$F$53</f>
        <v>3.0300000000000001E-2</v>
      </c>
      <c r="H53" s="198">
        <f>$F$53</f>
        <v>3.0300000000000001E-2</v>
      </c>
    </row>
    <row r="54" spans="1:8" ht="15.75" customHeight="1" x14ac:dyDescent="0.25">
      <c r="A54" s="643" t="s">
        <v>362</v>
      </c>
      <c r="B54" s="643"/>
      <c r="C54" s="181">
        <f>ROUND(C37,4)</f>
        <v>6.6000000000000003E-2</v>
      </c>
      <c r="E54" s="199" t="s">
        <v>317</v>
      </c>
      <c r="F54" s="200">
        <f>SUM(F51:F53)</f>
        <v>0.21209999999999998</v>
      </c>
      <c r="G54" s="200">
        <f>SUM(G51:G53)</f>
        <v>0.21209999999999998</v>
      </c>
      <c r="H54" s="201">
        <f>ROUND((SUM(H51:H53)),4)</f>
        <v>0.21210000000000001</v>
      </c>
    </row>
    <row r="55" spans="1:8" ht="15.75" customHeight="1" x14ac:dyDescent="0.25">
      <c r="A55" s="643" t="s">
        <v>363</v>
      </c>
      <c r="B55" s="643"/>
      <c r="C55" s="181">
        <f>ROUND(C46,4)</f>
        <v>0.14990000000000001</v>
      </c>
      <c r="E55" s="196" t="s">
        <v>364</v>
      </c>
      <c r="F55" s="197">
        <f>F54*F49</f>
        <v>7.2750300000000004E-2</v>
      </c>
      <c r="G55" s="197">
        <f>G54*G49</f>
        <v>8.4415799999999999E-2</v>
      </c>
      <c r="H55" s="198">
        <f>ROUND((H54*H49),4)</f>
        <v>7.4700000000000003E-2</v>
      </c>
    </row>
    <row r="56" spans="1:8" ht="15.75" customHeight="1" x14ac:dyDescent="0.25">
      <c r="A56" s="643" t="s">
        <v>349</v>
      </c>
      <c r="B56" s="643"/>
      <c r="C56" s="181">
        <f>ROUND(C49,4)</f>
        <v>8.0000000000000004E-4</v>
      </c>
      <c r="E56" s="196" t="s">
        <v>365</v>
      </c>
      <c r="F56" s="197">
        <v>3.4909999999999997E-2</v>
      </c>
      <c r="G56" s="197">
        <v>3.4909999999999997E-2</v>
      </c>
      <c r="H56" s="202">
        <f>C33</f>
        <v>3.4909999999999997E-2</v>
      </c>
    </row>
    <row r="57" spans="1:8" ht="15.75" customHeight="1" x14ac:dyDescent="0.25">
      <c r="A57" s="644" t="s">
        <v>366</v>
      </c>
      <c r="B57" s="644"/>
      <c r="C57" s="183">
        <f>SUM(C51:C56)</f>
        <v>0.7330000000000001</v>
      </c>
      <c r="E57" s="203" t="s">
        <v>367</v>
      </c>
      <c r="F57" s="204">
        <f>SUM(F54:F56)</f>
        <v>0.3197603</v>
      </c>
      <c r="G57" s="204">
        <f>SUM(G54:G56)</f>
        <v>0.33142579999999999</v>
      </c>
      <c r="H57" s="205">
        <f>ROUND((SUM(H54:H56)),4)</f>
        <v>0.32169999999999999</v>
      </c>
    </row>
    <row r="58" spans="1:8" ht="24" x14ac:dyDescent="0.25">
      <c r="A58" s="206" t="s">
        <v>50</v>
      </c>
      <c r="B58" s="207"/>
      <c r="C58" s="208"/>
      <c r="E58" s="196" t="s">
        <v>368</v>
      </c>
      <c r="F58" s="197" t="s">
        <v>213</v>
      </c>
      <c r="G58" s="197" t="s">
        <v>213</v>
      </c>
      <c r="H58" s="198" t="s">
        <v>213</v>
      </c>
    </row>
    <row r="59" spans="1:8" ht="54.75" customHeight="1" x14ac:dyDescent="0.25">
      <c r="A59" s="645" t="s">
        <v>369</v>
      </c>
      <c r="B59" s="645"/>
      <c r="C59" s="645"/>
      <c r="E59" s="209" t="s">
        <v>370</v>
      </c>
      <c r="F59" s="210">
        <f>F57</f>
        <v>0.3197603</v>
      </c>
      <c r="G59" s="210">
        <f>G57</f>
        <v>0.33142579999999999</v>
      </c>
      <c r="H59" s="211">
        <f>ROUND((H57),4)</f>
        <v>0.32169999999999999</v>
      </c>
    </row>
    <row r="61" spans="1:8" ht="12.75" customHeight="1" x14ac:dyDescent="0.25"/>
  </sheetData>
  <sheetProtection sheet="1" objects="1" scenarios="1"/>
  <mergeCells count="36">
    <mergeCell ref="A4:C4"/>
    <mergeCell ref="A5:C5"/>
    <mergeCell ref="A6:C6"/>
    <mergeCell ref="A7:C7"/>
    <mergeCell ref="B9:C9"/>
    <mergeCell ref="A18:B18"/>
    <mergeCell ref="A19:C19"/>
    <mergeCell ref="A20:C20"/>
    <mergeCell ref="A23:B23"/>
    <mergeCell ref="A24:B24"/>
    <mergeCell ref="A25:B25"/>
    <mergeCell ref="B26:C26"/>
    <mergeCell ref="A28:B28"/>
    <mergeCell ref="A29:B29"/>
    <mergeCell ref="B30:C30"/>
    <mergeCell ref="A32:B32"/>
    <mergeCell ref="A35:B35"/>
    <mergeCell ref="A37:B37"/>
    <mergeCell ref="B38:C38"/>
    <mergeCell ref="A44:B44"/>
    <mergeCell ref="E44:H45"/>
    <mergeCell ref="A45:B45"/>
    <mergeCell ref="A46:B46"/>
    <mergeCell ref="E46:E47"/>
    <mergeCell ref="F46:H46"/>
    <mergeCell ref="F47:H47"/>
    <mergeCell ref="A49:B49"/>
    <mergeCell ref="A50:C50"/>
    <mergeCell ref="A51:B51"/>
    <mergeCell ref="A52:B52"/>
    <mergeCell ref="A53:B53"/>
    <mergeCell ref="A54:B54"/>
    <mergeCell ref="A55:B55"/>
    <mergeCell ref="A56:B56"/>
    <mergeCell ref="A57:B57"/>
    <mergeCell ref="A59:C59"/>
  </mergeCells>
  <printOptions horizontalCentered="1" verticalCentered="1"/>
  <pageMargins left="0.51180555555555496" right="0.51180555555555496" top="0.78749999999999998" bottom="0.78749999999999998" header="0.51180555555555496" footer="0.51180555555555496"/>
  <pageSetup paperSize="9" scale="58" firstPageNumber="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54"/>
  <sheetViews>
    <sheetView showGridLines="0" zoomScale="80" zoomScaleNormal="80" workbookViewId="0">
      <selection activeCell="A4" sqref="A4:H4"/>
    </sheetView>
  </sheetViews>
  <sheetFormatPr defaultRowHeight="15" x14ac:dyDescent="0.25"/>
  <cols>
    <col min="1" max="1" width="5" style="66" customWidth="1"/>
    <col min="2" max="2" width="59.140625" style="71" customWidth="1"/>
    <col min="3" max="3" width="10.42578125" style="71" customWidth="1"/>
    <col min="4" max="7" width="18.42578125" style="71" customWidth="1"/>
    <col min="8" max="8" width="23.7109375" customWidth="1"/>
    <col min="9" max="9" width="4.28515625" customWidth="1"/>
    <col min="10" max="10" width="11.42578125"/>
    <col min="11" max="11" width="12.42578125" style="71" customWidth="1"/>
    <col min="12" max="12" width="8.5703125" hidden="1" customWidth="1"/>
    <col min="13" max="13" width="9" customWidth="1"/>
    <col min="14" max="14" width="26.140625" hidden="1" customWidth="1"/>
    <col min="15" max="19" width="11.5703125" hidden="1" customWidth="1"/>
    <col min="20" max="256" width="9" customWidth="1"/>
    <col min="257" max="257" width="8.28515625" customWidth="1"/>
    <col min="258" max="258" width="44.5703125" customWidth="1"/>
    <col min="259" max="259" width="7.42578125" customWidth="1"/>
    <col min="260" max="260" width="13" customWidth="1"/>
    <col min="261" max="261" width="11.7109375" customWidth="1"/>
    <col min="262" max="262" width="10.5703125" customWidth="1"/>
    <col min="263" max="263" width="14.42578125" customWidth="1"/>
    <col min="264" max="264" width="35.42578125" customWidth="1"/>
    <col min="265" max="265" width="14" customWidth="1"/>
    <col min="266" max="266" width="11.7109375" customWidth="1"/>
    <col min="267" max="267" width="13.5703125" customWidth="1"/>
    <col min="268" max="512" width="9" customWidth="1"/>
    <col min="513" max="513" width="8.28515625" customWidth="1"/>
    <col min="514" max="514" width="44.5703125" customWidth="1"/>
    <col min="515" max="515" width="7.42578125" customWidth="1"/>
    <col min="516" max="516" width="13" customWidth="1"/>
    <col min="517" max="517" width="11.7109375" customWidth="1"/>
    <col min="518" max="518" width="10.5703125" customWidth="1"/>
    <col min="519" max="519" width="14.42578125" customWidth="1"/>
    <col min="520" max="520" width="35.42578125" customWidth="1"/>
    <col min="521" max="521" width="14" customWidth="1"/>
    <col min="522" max="522" width="11.7109375" customWidth="1"/>
    <col min="523" max="523" width="13.5703125" customWidth="1"/>
    <col min="524" max="768" width="9" customWidth="1"/>
    <col min="769" max="769" width="8.28515625" customWidth="1"/>
    <col min="770" max="770" width="44.5703125" customWidth="1"/>
    <col min="771" max="771" width="7.42578125" customWidth="1"/>
    <col min="772" max="772" width="13" customWidth="1"/>
    <col min="773" max="773" width="11.7109375" customWidth="1"/>
    <col min="774" max="774" width="10.5703125" customWidth="1"/>
    <col min="775" max="775" width="14.42578125" customWidth="1"/>
    <col min="776" max="776" width="35.42578125" customWidth="1"/>
    <col min="777" max="777" width="14" customWidth="1"/>
    <col min="778" max="778" width="11.7109375" customWidth="1"/>
    <col min="779" max="779" width="13.5703125" customWidth="1"/>
    <col min="780" max="1025" width="9" customWidth="1"/>
  </cols>
  <sheetData>
    <row r="1" spans="1:22" s="71" customFormat="1" ht="15" customHeight="1" x14ac:dyDescent="0.2">
      <c r="A1" s="212"/>
      <c r="B1" s="100" t="str">
        <f>INSTRUÇÕES!B1</f>
        <v>Tribunal Regional Federal da 6ª Região</v>
      </c>
      <c r="C1" s="213"/>
      <c r="D1" s="213"/>
      <c r="E1" s="213"/>
      <c r="F1" s="213"/>
      <c r="G1" s="213"/>
      <c r="H1" s="214"/>
    </row>
    <row r="2" spans="1:22" s="71" customFormat="1" ht="17.25" customHeight="1" x14ac:dyDescent="0.2">
      <c r="A2" s="215"/>
      <c r="B2" s="102" t="str">
        <f>INSTRUÇÕES!B2</f>
        <v>Seção Judiciária de Minas Gerais</v>
      </c>
      <c r="H2" s="216"/>
    </row>
    <row r="3" spans="1:22" s="71" customFormat="1" ht="16.5" customHeight="1" x14ac:dyDescent="0.25">
      <c r="A3" s="215"/>
      <c r="B3" s="102" t="str">
        <f>INSTRUÇÕES!B3</f>
        <v>Subseção Judiciária de Montes Claros</v>
      </c>
      <c r="H3" s="216"/>
      <c r="N3" s="2"/>
      <c r="O3" s="2"/>
      <c r="P3" s="2"/>
      <c r="Q3" s="2"/>
      <c r="R3" s="2"/>
      <c r="S3" s="2"/>
      <c r="T3" s="2"/>
    </row>
    <row r="4" spans="1:22" s="71" customFormat="1" ht="27.75" customHeight="1" x14ac:dyDescent="0.25">
      <c r="A4" s="660" t="s">
        <v>371</v>
      </c>
      <c r="B4" s="660"/>
      <c r="C4" s="660"/>
      <c r="D4" s="660"/>
      <c r="E4" s="660"/>
      <c r="F4" s="660"/>
      <c r="G4" s="660"/>
      <c r="H4" s="660"/>
      <c r="I4" s="217"/>
      <c r="J4" s="217"/>
      <c r="U4" s="2"/>
      <c r="V4" s="2"/>
    </row>
    <row r="5" spans="1:22" s="2" customFormat="1" ht="24" customHeight="1" x14ac:dyDescent="0.25">
      <c r="A5" s="665" t="s">
        <v>372</v>
      </c>
      <c r="B5" s="665"/>
      <c r="C5" s="665"/>
      <c r="D5" s="665"/>
      <c r="E5" s="665"/>
      <c r="F5" s="665"/>
      <c r="G5" s="665"/>
      <c r="H5" s="665"/>
      <c r="K5" s="218"/>
      <c r="N5" s="594" t="s">
        <v>373</v>
      </c>
      <c r="O5" s="594"/>
      <c r="P5" s="594"/>
      <c r="Q5" s="594"/>
      <c r="R5" s="594"/>
      <c r="S5" s="594"/>
      <c r="T5" s="71"/>
      <c r="U5" s="71"/>
      <c r="V5" s="71"/>
    </row>
    <row r="6" spans="1:22" s="71" customFormat="1" ht="15" customHeight="1" x14ac:dyDescent="0.2">
      <c r="A6" s="661" t="s">
        <v>59</v>
      </c>
      <c r="B6" s="662" t="s">
        <v>374</v>
      </c>
      <c r="C6" s="662"/>
      <c r="D6" s="662"/>
      <c r="E6" s="219"/>
      <c r="F6" s="219"/>
      <c r="G6" s="219"/>
      <c r="H6" s="663" t="s">
        <v>375</v>
      </c>
      <c r="I6" s="70"/>
      <c r="J6" s="70"/>
      <c r="N6" s="594"/>
      <c r="O6" s="594"/>
      <c r="P6" s="594"/>
      <c r="Q6" s="594"/>
      <c r="R6" s="594"/>
      <c r="S6" s="594"/>
    </row>
    <row r="7" spans="1:22" s="71" customFormat="1" ht="13.5" customHeight="1" x14ac:dyDescent="0.2">
      <c r="A7" s="661"/>
      <c r="B7" s="662"/>
      <c r="C7" s="662"/>
      <c r="D7" s="662"/>
      <c r="E7" s="219"/>
      <c r="F7" s="219"/>
      <c r="G7" s="219"/>
      <c r="H7" s="663"/>
      <c r="I7" s="70"/>
      <c r="J7" s="664" t="s">
        <v>376</v>
      </c>
      <c r="K7" s="664"/>
      <c r="L7" s="664"/>
      <c r="N7" s="594"/>
      <c r="O7" s="594"/>
      <c r="P7" s="594"/>
      <c r="Q7" s="594"/>
      <c r="R7" s="594"/>
      <c r="S7" s="594"/>
    </row>
    <row r="8" spans="1:22" s="71" customFormat="1" ht="38.25" x14ac:dyDescent="0.2">
      <c r="A8" s="661"/>
      <c r="B8" s="219" t="s">
        <v>64</v>
      </c>
      <c r="C8" s="221" t="s">
        <v>65</v>
      </c>
      <c r="D8" s="221" t="s">
        <v>66</v>
      </c>
      <c r="E8" s="222" t="s">
        <v>377</v>
      </c>
      <c r="F8" s="223" t="s">
        <v>71</v>
      </c>
      <c r="G8" s="221" t="s">
        <v>378</v>
      </c>
      <c r="H8" s="663"/>
      <c r="I8" s="70"/>
      <c r="J8" s="222" t="s">
        <v>69</v>
      </c>
      <c r="K8" s="223" t="s">
        <v>68</v>
      </c>
      <c r="L8" s="222" t="s">
        <v>379</v>
      </c>
      <c r="N8" s="224" t="s">
        <v>380</v>
      </c>
      <c r="O8" s="21" t="s">
        <v>280</v>
      </c>
      <c r="P8" s="21" t="s">
        <v>281</v>
      </c>
      <c r="Q8" s="21" t="s">
        <v>282</v>
      </c>
      <c r="R8" s="21" t="s">
        <v>283</v>
      </c>
      <c r="S8" s="23" t="s">
        <v>284</v>
      </c>
    </row>
    <row r="9" spans="1:22" s="71" customFormat="1" ht="12.75" x14ac:dyDescent="0.2">
      <c r="A9" s="225">
        <v>1</v>
      </c>
      <c r="B9" s="226" t="s">
        <v>381</v>
      </c>
      <c r="C9" s="227" t="s">
        <v>65</v>
      </c>
      <c r="D9" s="227"/>
      <c r="E9" s="228">
        <v>3</v>
      </c>
      <c r="F9" s="229" t="s">
        <v>382</v>
      </c>
      <c r="G9" s="230">
        <v>7.7</v>
      </c>
      <c r="H9" s="231"/>
      <c r="I9" s="70"/>
      <c r="J9" s="78">
        <f>'Ocorrências Mensais - FAT'!G27</f>
        <v>3</v>
      </c>
      <c r="K9" s="232">
        <f t="shared" ref="K9:K39" si="0">G9*J9</f>
        <v>23.1</v>
      </c>
      <c r="L9" s="222"/>
      <c r="N9" s="224"/>
      <c r="O9" s="21"/>
      <c r="P9" s="21"/>
      <c r="Q9" s="21"/>
      <c r="R9" s="21"/>
      <c r="S9" s="23"/>
    </row>
    <row r="10" spans="1:22" s="71" customFormat="1" ht="76.5" x14ac:dyDescent="0.2">
      <c r="A10" s="85">
        <v>2</v>
      </c>
      <c r="B10" s="77" t="s">
        <v>383</v>
      </c>
      <c r="C10" s="78" t="s">
        <v>384</v>
      </c>
      <c r="D10" s="78" t="s">
        <v>385</v>
      </c>
      <c r="E10" s="92">
        <v>1</v>
      </c>
      <c r="F10" s="83" t="s">
        <v>382</v>
      </c>
      <c r="G10" s="230">
        <f>7.36*5</f>
        <v>36.800000000000004</v>
      </c>
      <c r="H10" s="231"/>
      <c r="I10" s="70"/>
      <c r="J10" s="78">
        <f>'Ocorrências Mensais - FAT'!G28</f>
        <v>1</v>
      </c>
      <c r="K10" s="232">
        <f t="shared" si="0"/>
        <v>36.800000000000004</v>
      </c>
      <c r="L10" s="39">
        <f>IF(F10="MENSAL",1,IF(F10="BIMESTRAL",2,IF(F10="TRIMESTRAL",3,IF(F10="QUADRIMESTRAL",4,IF(F10="SEMESTRAL",6,IF(F10="ANUAL",12,IF(F10="BIENAL",24,"")))))))</f>
        <v>1</v>
      </c>
      <c r="N10" s="233">
        <v>6</v>
      </c>
      <c r="O10" s="39">
        <f>ROUND(IF(Dados!$J$57="SIM",N10*Dados!$N$57,N10),2)</f>
        <v>6</v>
      </c>
      <c r="P10" s="39">
        <f>ROUND(IF(Dados!$J$58="SIM",O10*Dados!$N$58,O10),2)</f>
        <v>6</v>
      </c>
      <c r="Q10" s="39">
        <f>ROUND(IF(Dados!$J$59="SIM",P10*Dados!$N$59,P10),2)</f>
        <v>6</v>
      </c>
      <c r="R10" s="39">
        <f>ROUND(IF(Dados!$J$60="SIM",Q10*Dados!$N$60,Q10),2)</f>
        <v>6</v>
      </c>
      <c r="S10" s="84">
        <f>ROUND(IF(Dados!$J$61="SIM",R10*Dados!$N$61,R10),2)</f>
        <v>6</v>
      </c>
    </row>
    <row r="11" spans="1:22" s="71" customFormat="1" ht="38.25" x14ac:dyDescent="0.2">
      <c r="A11" s="85">
        <v>3</v>
      </c>
      <c r="B11" s="234" t="s">
        <v>386</v>
      </c>
      <c r="C11" s="78" t="s">
        <v>65</v>
      </c>
      <c r="D11" s="78" t="s">
        <v>387</v>
      </c>
      <c r="E11" s="92">
        <v>3</v>
      </c>
      <c r="F11" s="83" t="s">
        <v>388</v>
      </c>
      <c r="G11" s="230">
        <v>12.9</v>
      </c>
      <c r="H11" s="231"/>
      <c r="I11" s="70"/>
      <c r="J11" s="78">
        <f>'Ocorrências Mensais - FAT'!G29</f>
        <v>0.25</v>
      </c>
      <c r="K11" s="232">
        <f t="shared" si="0"/>
        <v>3.2250000000000001</v>
      </c>
      <c r="L11" s="39">
        <f>IF(F11="MENSAL",1,IF(F11="BIMESTRAL",2,IF(F11="TRIMESTRAL",3,IF(F11="QUADRIMESTRAL",4,IF(F11="SEMESTRAL",6,IF(F11="ANUAL",12,IF(F11="BIENAL",24,"")))))))</f>
        <v>12</v>
      </c>
      <c r="N11" s="233">
        <v>3.8</v>
      </c>
      <c r="O11" s="39">
        <f>ROUND(IF(Dados!$J$57="SIM",N11*Dados!$N$57,N11),2)</f>
        <v>3.8</v>
      </c>
      <c r="P11" s="39">
        <f>ROUND(IF(Dados!$J$58="SIM",O11*Dados!$N$58,O11),2)</f>
        <v>3.8</v>
      </c>
      <c r="Q11" s="39">
        <f>ROUND(IF(Dados!$J$59="SIM",P11*Dados!$N$59,P11),2)</f>
        <v>3.8</v>
      </c>
      <c r="R11" s="39">
        <f>ROUND(IF(Dados!$J$60="SIM",Q11*Dados!$N$60,Q11),2)</f>
        <v>3.8</v>
      </c>
      <c r="S11" s="84">
        <f>ROUND(IF(Dados!$J$61="SIM",R11*Dados!$N$61,R11),2)</f>
        <v>3.8</v>
      </c>
    </row>
    <row r="12" spans="1:22" s="71" customFormat="1" ht="38.25" x14ac:dyDescent="0.2">
      <c r="A12" s="85">
        <v>4</v>
      </c>
      <c r="B12" s="234" t="s">
        <v>389</v>
      </c>
      <c r="C12" s="78" t="s">
        <v>65</v>
      </c>
      <c r="D12" s="78" t="s">
        <v>390</v>
      </c>
      <c r="E12" s="92">
        <v>1</v>
      </c>
      <c r="F12" s="83" t="s">
        <v>382</v>
      </c>
      <c r="G12" s="230">
        <v>24.93</v>
      </c>
      <c r="H12" s="231"/>
      <c r="I12" s="70"/>
      <c r="J12" s="78">
        <f>'Ocorrências Mensais - FAT'!G30</f>
        <v>1</v>
      </c>
      <c r="K12" s="232">
        <f t="shared" si="0"/>
        <v>24.93</v>
      </c>
      <c r="L12" s="39"/>
      <c r="N12" s="233"/>
      <c r="O12" s="39"/>
      <c r="P12" s="39"/>
      <c r="Q12" s="39"/>
      <c r="R12" s="39"/>
      <c r="S12" s="84"/>
    </row>
    <row r="13" spans="1:22" s="71" customFormat="1" ht="12.75" x14ac:dyDescent="0.2">
      <c r="A13" s="85">
        <v>5</v>
      </c>
      <c r="B13" s="234" t="s">
        <v>391</v>
      </c>
      <c r="C13" s="78" t="s">
        <v>384</v>
      </c>
      <c r="D13" s="78" t="s">
        <v>392</v>
      </c>
      <c r="E13" s="92">
        <v>1</v>
      </c>
      <c r="F13" s="83" t="s">
        <v>382</v>
      </c>
      <c r="G13" s="230">
        <v>60.9</v>
      </c>
      <c r="H13" s="231"/>
      <c r="I13" s="70"/>
      <c r="J13" s="78">
        <f>'Ocorrências Mensais - FAT'!G31</f>
        <v>1</v>
      </c>
      <c r="K13" s="232">
        <f t="shared" si="0"/>
        <v>60.9</v>
      </c>
      <c r="L13" s="39">
        <f t="shared" ref="L13:L37" si="1">IF(F13="MENSAL",1,IF(F13="BIMESTRAL",2,IF(F13="TRIMESTRAL",3,IF(F13="QUADRIMESTRAL",4,IF(F13="SEMESTRAL",6,IF(F13="ANUAL",12,IF(F13="BIENAL",24,"")))))))</f>
        <v>1</v>
      </c>
      <c r="N13" s="233">
        <v>4.1399999999999997</v>
      </c>
      <c r="O13" s="39">
        <f>ROUND(IF(Dados!$J$57="SIM",N13*Dados!$N$57,N13),2)</f>
        <v>4.1399999999999997</v>
      </c>
      <c r="P13" s="39">
        <f>ROUND(IF(Dados!$J$58="SIM",O13*Dados!$N$58,O13),2)</f>
        <v>4.1399999999999997</v>
      </c>
      <c r="Q13" s="39">
        <f>ROUND(IF(Dados!$J$59="SIM",P13*Dados!$N$59,P13),2)</f>
        <v>4.1399999999999997</v>
      </c>
      <c r="R13" s="39">
        <f>ROUND(IF(Dados!$J$60="SIM",Q13*Dados!$N$60,Q13),2)</f>
        <v>4.1399999999999997</v>
      </c>
      <c r="S13" s="84">
        <f>ROUND(IF(Dados!$J$61="SIM",R13*Dados!$N$61,R13),2)</f>
        <v>4.1399999999999997</v>
      </c>
    </row>
    <row r="14" spans="1:22" s="71" customFormat="1" ht="12.75" x14ac:dyDescent="0.2">
      <c r="A14" s="85">
        <v>6</v>
      </c>
      <c r="B14" s="235" t="s">
        <v>393</v>
      </c>
      <c r="C14" s="78" t="s">
        <v>65</v>
      </c>
      <c r="D14" s="78" t="s">
        <v>394</v>
      </c>
      <c r="E14" s="92">
        <v>1</v>
      </c>
      <c r="F14" s="83" t="s">
        <v>382</v>
      </c>
      <c r="G14" s="230">
        <v>15.35</v>
      </c>
      <c r="H14" s="231"/>
      <c r="I14" s="70"/>
      <c r="J14" s="78">
        <f>'Ocorrências Mensais - FAT'!G32</f>
        <v>1</v>
      </c>
      <c r="K14" s="232">
        <f t="shared" si="0"/>
        <v>15.35</v>
      </c>
      <c r="L14" s="39">
        <f t="shared" si="1"/>
        <v>1</v>
      </c>
      <c r="N14" s="233"/>
      <c r="O14" s="39"/>
      <c r="P14" s="39"/>
      <c r="Q14" s="39"/>
      <c r="R14" s="39"/>
      <c r="S14" s="84"/>
    </row>
    <row r="15" spans="1:22" s="71" customFormat="1" ht="51" x14ac:dyDescent="0.2">
      <c r="A15" s="85">
        <v>7</v>
      </c>
      <c r="B15" s="234" t="s">
        <v>395</v>
      </c>
      <c r="C15" s="78" t="s">
        <v>65</v>
      </c>
      <c r="D15" s="78" t="s">
        <v>396</v>
      </c>
      <c r="E15" s="92">
        <v>6</v>
      </c>
      <c r="F15" s="83" t="s">
        <v>382</v>
      </c>
      <c r="G15" s="230">
        <v>3</v>
      </c>
      <c r="H15" s="231"/>
      <c r="I15" s="70"/>
      <c r="J15" s="78">
        <f>'Ocorrências Mensais - FAT'!G33</f>
        <v>6</v>
      </c>
      <c r="K15" s="232">
        <f t="shared" si="0"/>
        <v>18</v>
      </c>
      <c r="L15" s="39">
        <f t="shared" si="1"/>
        <v>1</v>
      </c>
      <c r="N15" s="233">
        <v>1.4</v>
      </c>
      <c r="O15" s="39">
        <f>ROUND(IF(Dados!$J$57="SIM",N15*Dados!$N$57,N15),2)</f>
        <v>1.4</v>
      </c>
      <c r="P15" s="39">
        <f>ROUND(IF(Dados!$J$58="SIM",O15*Dados!$N$58,O15),2)</f>
        <v>1.4</v>
      </c>
      <c r="Q15" s="39">
        <f>ROUND(IF(Dados!$J$59="SIM",P15*Dados!$N$59,P15),2)</f>
        <v>1.4</v>
      </c>
      <c r="R15" s="39">
        <f>ROUND(IF(Dados!$J$60="SIM",Q15*Dados!$N$60,Q15),2)</f>
        <v>1.4</v>
      </c>
      <c r="S15" s="84">
        <f>ROUND(IF(Dados!$J$61="SIM",R15*Dados!$N$61,R15),2)</f>
        <v>1.4</v>
      </c>
    </row>
    <row r="16" spans="1:22" s="71" customFormat="1" ht="63.75" x14ac:dyDescent="0.2">
      <c r="A16" s="85">
        <v>8</v>
      </c>
      <c r="B16" s="234" t="s">
        <v>397</v>
      </c>
      <c r="C16" s="78" t="s">
        <v>65</v>
      </c>
      <c r="D16" s="78" t="s">
        <v>398</v>
      </c>
      <c r="E16" s="92">
        <v>5</v>
      </c>
      <c r="F16" s="83" t="s">
        <v>382</v>
      </c>
      <c r="G16" s="230">
        <v>3.3</v>
      </c>
      <c r="H16" s="236"/>
      <c r="I16" s="70"/>
      <c r="J16" s="78">
        <f>'Ocorrências Mensais - FAT'!G34</f>
        <v>5</v>
      </c>
      <c r="K16" s="232">
        <f t="shared" si="0"/>
        <v>16.5</v>
      </c>
      <c r="L16" s="39">
        <f t="shared" si="1"/>
        <v>1</v>
      </c>
      <c r="N16" s="233">
        <v>3.2</v>
      </c>
      <c r="O16" s="39">
        <f>ROUND(IF(Dados!$J$57="SIM",N16*Dados!$N$57,N16),2)</f>
        <v>3.2</v>
      </c>
      <c r="P16" s="39">
        <f>ROUND(IF(Dados!$J$58="SIM",O16*Dados!$N$58,O16),2)</f>
        <v>3.2</v>
      </c>
      <c r="Q16" s="39">
        <f>ROUND(IF(Dados!$J$59="SIM",P16*Dados!$N$59,P16),2)</f>
        <v>3.2</v>
      </c>
      <c r="R16" s="39">
        <f>ROUND(IF(Dados!$J$60="SIM",Q16*Dados!$N$60,Q16),2)</f>
        <v>3.2</v>
      </c>
      <c r="S16" s="84">
        <f>ROUND(IF(Dados!$J$61="SIM",R16*Dados!$N$61,R16),2)</f>
        <v>3.2</v>
      </c>
    </row>
    <row r="17" spans="1:19" s="71" customFormat="1" ht="12.75" x14ac:dyDescent="0.2">
      <c r="A17" s="86">
        <v>9</v>
      </c>
      <c r="B17" s="234" t="s">
        <v>399</v>
      </c>
      <c r="C17" s="78" t="s">
        <v>65</v>
      </c>
      <c r="D17" s="78"/>
      <c r="E17" s="92">
        <v>3</v>
      </c>
      <c r="F17" s="83" t="s">
        <v>382</v>
      </c>
      <c r="G17" s="230">
        <v>2.23</v>
      </c>
      <c r="H17" s="236"/>
      <c r="I17" s="70"/>
      <c r="J17" s="78">
        <f>'Ocorrências Mensais - FAT'!G35</f>
        <v>3</v>
      </c>
      <c r="K17" s="232">
        <f t="shared" si="0"/>
        <v>6.6899999999999995</v>
      </c>
      <c r="L17" s="39">
        <f t="shared" si="1"/>
        <v>1</v>
      </c>
      <c r="N17" s="233">
        <v>4</v>
      </c>
      <c r="O17" s="39">
        <f>ROUND(IF(Dados!$J$57="SIM",N17*Dados!$N$57,N17),2)</f>
        <v>4</v>
      </c>
      <c r="P17" s="39">
        <f>ROUND(IF(Dados!$J$58="SIM",O17*Dados!$N$58,O17),2)</f>
        <v>4</v>
      </c>
      <c r="Q17" s="39">
        <f>ROUND(IF(Dados!$J$59="SIM",P17*Dados!$N$59,P17),2)</f>
        <v>4</v>
      </c>
      <c r="R17" s="39">
        <f>ROUND(IF(Dados!$J$60="SIM",Q17*Dados!$N$60,Q17),2)</f>
        <v>4</v>
      </c>
      <c r="S17" s="84">
        <f>ROUND(IF(Dados!$J$61="SIM",R17*Dados!$N$61,R17),2)</f>
        <v>4</v>
      </c>
    </row>
    <row r="18" spans="1:19" s="71" customFormat="1" ht="25.5" x14ac:dyDescent="0.2">
      <c r="A18" s="86">
        <v>10</v>
      </c>
      <c r="B18" s="234" t="s">
        <v>400</v>
      </c>
      <c r="C18" s="78" t="s">
        <v>401</v>
      </c>
      <c r="D18" s="78" t="s">
        <v>402</v>
      </c>
      <c r="E18" s="92">
        <v>3</v>
      </c>
      <c r="F18" s="83" t="s">
        <v>382</v>
      </c>
      <c r="G18" s="230">
        <v>2.0699999999999998</v>
      </c>
      <c r="H18" s="236"/>
      <c r="I18" s="70"/>
      <c r="J18" s="78">
        <f>'Ocorrências Mensais - FAT'!G36</f>
        <v>3</v>
      </c>
      <c r="K18" s="232">
        <f t="shared" si="0"/>
        <v>6.2099999999999991</v>
      </c>
      <c r="L18" s="39">
        <f t="shared" si="1"/>
        <v>1</v>
      </c>
      <c r="N18" s="233"/>
      <c r="O18" s="39"/>
      <c r="P18" s="39"/>
      <c r="Q18" s="39"/>
      <c r="R18" s="39"/>
      <c r="S18" s="84"/>
    </row>
    <row r="19" spans="1:19" s="71" customFormat="1" ht="12.75" x14ac:dyDescent="0.2">
      <c r="A19" s="85">
        <v>11</v>
      </c>
      <c r="B19" s="77" t="s">
        <v>403</v>
      </c>
      <c r="C19" s="78" t="s">
        <v>65</v>
      </c>
      <c r="D19" s="78" t="s">
        <v>404</v>
      </c>
      <c r="E19" s="92">
        <v>2</v>
      </c>
      <c r="F19" s="83" t="s">
        <v>405</v>
      </c>
      <c r="G19" s="230">
        <v>3.65</v>
      </c>
      <c r="H19" s="231"/>
      <c r="I19" s="70"/>
      <c r="J19" s="78">
        <f>'Ocorrências Mensais - FAT'!G37</f>
        <v>0.66666666666666663</v>
      </c>
      <c r="K19" s="232">
        <f t="shared" si="0"/>
        <v>2.4333333333333331</v>
      </c>
      <c r="L19" s="39">
        <f t="shared" si="1"/>
        <v>3</v>
      </c>
      <c r="N19" s="233">
        <v>1.2</v>
      </c>
      <c r="O19" s="39">
        <f>ROUND(IF(Dados!$J$57="SIM",N19*Dados!$N$57,N19),2)</f>
        <v>1.2</v>
      </c>
      <c r="P19" s="39">
        <f>ROUND(IF(Dados!$J$58="SIM",O19*Dados!$N$58,O19),2)</f>
        <v>1.2</v>
      </c>
      <c r="Q19" s="39">
        <f>ROUND(IF(Dados!$J$59="SIM",P19*Dados!$N$59,P19),2)</f>
        <v>1.2</v>
      </c>
      <c r="R19" s="39">
        <f>ROUND(IF(Dados!$J$60="SIM",Q19*Dados!$N$60,Q19),2)</f>
        <v>1.2</v>
      </c>
      <c r="S19" s="84">
        <f>ROUND(IF(Dados!$J$61="SIM",R19*Dados!$N$61,R19),2)</f>
        <v>1.2</v>
      </c>
    </row>
    <row r="20" spans="1:19" s="71" customFormat="1" ht="12.75" x14ac:dyDescent="0.2">
      <c r="A20" s="85">
        <v>12</v>
      </c>
      <c r="B20" s="77" t="s">
        <v>406</v>
      </c>
      <c r="C20" s="78" t="s">
        <v>65</v>
      </c>
      <c r="D20" s="78" t="s">
        <v>404</v>
      </c>
      <c r="E20" s="92">
        <v>6</v>
      </c>
      <c r="F20" s="83" t="s">
        <v>382</v>
      </c>
      <c r="G20" s="230">
        <v>6.1749999999999998</v>
      </c>
      <c r="H20" s="231"/>
      <c r="I20" s="70"/>
      <c r="J20" s="78">
        <f>'Ocorrências Mensais - FAT'!G38</f>
        <v>6</v>
      </c>
      <c r="K20" s="232">
        <f t="shared" si="0"/>
        <v>37.049999999999997</v>
      </c>
      <c r="L20" s="39">
        <f t="shared" si="1"/>
        <v>1</v>
      </c>
      <c r="N20" s="233">
        <v>1.4</v>
      </c>
      <c r="O20" s="39">
        <f>ROUND(IF(Dados!$J$57="SIM",N20*Dados!$N$57,N20),2)</f>
        <v>1.4</v>
      </c>
      <c r="P20" s="39">
        <f>ROUND(IF(Dados!$J$58="SIM",O20*Dados!$N$58,O20),2)</f>
        <v>1.4</v>
      </c>
      <c r="Q20" s="39">
        <f>ROUND(IF(Dados!$J$59="SIM",P20*Dados!$N$59,P20),2)</f>
        <v>1.4</v>
      </c>
      <c r="R20" s="39">
        <f>ROUND(IF(Dados!$J$60="SIM",Q20*Dados!$N$60,Q20),2)</f>
        <v>1.4</v>
      </c>
      <c r="S20" s="84">
        <f>ROUND(IF(Dados!$J$61="SIM",R20*Dados!$N$61,R20),2)</f>
        <v>1.4</v>
      </c>
    </row>
    <row r="21" spans="1:19" s="238" customFormat="1" ht="12.75" x14ac:dyDescent="0.2">
      <c r="A21" s="91">
        <v>13</v>
      </c>
      <c r="B21" s="77" t="s">
        <v>407</v>
      </c>
      <c r="C21" s="78" t="s">
        <v>65</v>
      </c>
      <c r="D21" s="78" t="s">
        <v>408</v>
      </c>
      <c r="E21" s="92">
        <v>1</v>
      </c>
      <c r="F21" s="83" t="s">
        <v>409</v>
      </c>
      <c r="G21" s="230">
        <v>11.4</v>
      </c>
      <c r="H21" s="231"/>
      <c r="I21" s="70"/>
      <c r="J21" s="78">
        <f>'Ocorrências Mensais - FAT'!G39</f>
        <v>0.16666666666666666</v>
      </c>
      <c r="K21" s="232">
        <f t="shared" si="0"/>
        <v>1.9</v>
      </c>
      <c r="L21" s="237">
        <f t="shared" si="1"/>
        <v>6</v>
      </c>
      <c r="N21" s="233">
        <v>9.1</v>
      </c>
      <c r="O21" s="237">
        <f>ROUND(IF(Dados!$J$57="SIM",N21*Dados!$N$57,N21),2)</f>
        <v>9.1</v>
      </c>
      <c r="P21" s="237">
        <f>ROUND(IF(Dados!$J$58="SIM",O21*Dados!$N$58,O21),2)</f>
        <v>9.1</v>
      </c>
      <c r="Q21" s="237">
        <f>ROUND(IF(Dados!$J$59="SIM",P21*Dados!$N$59,P21),2)</f>
        <v>9.1</v>
      </c>
      <c r="R21" s="237">
        <f>ROUND(IF(Dados!$J$60="SIM",Q21*Dados!$N$60,Q21),2)</f>
        <v>9.1</v>
      </c>
      <c r="S21" s="239">
        <f>ROUND(IF(Dados!$J$61="SIM",R21*Dados!$N$61,R21),2)</f>
        <v>9.1</v>
      </c>
    </row>
    <row r="22" spans="1:19" s="238" customFormat="1" ht="12.75" x14ac:dyDescent="0.2">
      <c r="A22" s="91">
        <v>14</v>
      </c>
      <c r="B22" s="234" t="s">
        <v>410</v>
      </c>
      <c r="C22" s="78" t="s">
        <v>65</v>
      </c>
      <c r="D22" s="78"/>
      <c r="E22" s="92">
        <v>3</v>
      </c>
      <c r="F22" s="83" t="s">
        <v>382</v>
      </c>
      <c r="G22" s="230">
        <v>5.69</v>
      </c>
      <c r="H22" s="231"/>
      <c r="I22" s="70"/>
      <c r="J22" s="78">
        <f>'Ocorrências Mensais - FAT'!G40</f>
        <v>3</v>
      </c>
      <c r="K22" s="232">
        <f t="shared" si="0"/>
        <v>17.07</v>
      </c>
      <c r="L22" s="237">
        <f t="shared" si="1"/>
        <v>1</v>
      </c>
      <c r="N22" s="233">
        <v>1</v>
      </c>
      <c r="O22" s="237">
        <f>ROUND(IF(Dados!$J$57="SIM",N22*Dados!$N$57,N22),2)</f>
        <v>1</v>
      </c>
      <c r="P22" s="237">
        <f>ROUND(IF(Dados!$J$58="SIM",O22*Dados!$N$58,O22),2)</f>
        <v>1</v>
      </c>
      <c r="Q22" s="237">
        <f>ROUND(IF(Dados!$J$59="SIM",P22*Dados!$N$59,P22),2)</f>
        <v>1</v>
      </c>
      <c r="R22" s="237">
        <f>ROUND(IF(Dados!$J$60="SIM",Q22*Dados!$N$60,Q22),2)</f>
        <v>1</v>
      </c>
      <c r="S22" s="239">
        <f>ROUND(IF(Dados!$J$61="SIM",R22*Dados!$N$61,R22),2)</f>
        <v>1</v>
      </c>
    </row>
    <row r="23" spans="1:19" s="238" customFormat="1" ht="63.75" x14ac:dyDescent="0.2">
      <c r="A23" s="91">
        <v>15</v>
      </c>
      <c r="B23" s="234" t="s">
        <v>411</v>
      </c>
      <c r="C23" s="78" t="s">
        <v>65</v>
      </c>
      <c r="D23" s="78" t="s">
        <v>412</v>
      </c>
      <c r="E23" s="92">
        <v>2</v>
      </c>
      <c r="F23" s="83" t="s">
        <v>382</v>
      </c>
      <c r="G23" s="230">
        <v>7.43</v>
      </c>
      <c r="H23" s="231"/>
      <c r="I23" s="70"/>
      <c r="J23" s="78">
        <f>'Ocorrências Mensais - FAT'!G41</f>
        <v>2</v>
      </c>
      <c r="K23" s="232">
        <f t="shared" si="0"/>
        <v>14.86</v>
      </c>
      <c r="L23" s="237">
        <f t="shared" si="1"/>
        <v>1</v>
      </c>
      <c r="N23" s="233">
        <v>1.59</v>
      </c>
      <c r="O23" s="237">
        <f>ROUND(IF(Dados!$J$57="SIM",N23*Dados!$N$57,N23),2)</f>
        <v>1.59</v>
      </c>
      <c r="P23" s="237">
        <f>ROUND(IF(Dados!$J$58="SIM",O23*Dados!$N$58,O23),2)</f>
        <v>1.59</v>
      </c>
      <c r="Q23" s="237">
        <f>ROUND(IF(Dados!$J$59="SIM",P23*Dados!$N$59,P23),2)</f>
        <v>1.59</v>
      </c>
      <c r="R23" s="237">
        <f>ROUND(IF(Dados!$J$60="SIM",Q23*Dados!$N$60,Q23),2)</f>
        <v>1.59</v>
      </c>
      <c r="S23" s="239">
        <f>ROUND(IF(Dados!$J$61="SIM",R23*Dados!$N$61,R23),2)</f>
        <v>1.59</v>
      </c>
    </row>
    <row r="24" spans="1:19" s="238" customFormat="1" ht="25.5" x14ac:dyDescent="0.2">
      <c r="A24" s="91">
        <v>16</v>
      </c>
      <c r="B24" s="77" t="s">
        <v>413</v>
      </c>
      <c r="C24" s="78" t="s">
        <v>65</v>
      </c>
      <c r="D24" s="78" t="s">
        <v>414</v>
      </c>
      <c r="E24" s="92">
        <v>1</v>
      </c>
      <c r="F24" s="83" t="s">
        <v>409</v>
      </c>
      <c r="G24" s="230">
        <v>7.8</v>
      </c>
      <c r="H24" s="236"/>
      <c r="I24" s="70"/>
      <c r="J24" s="78">
        <f>'Ocorrências Mensais - FAT'!G42</f>
        <v>0.16666666666666666</v>
      </c>
      <c r="K24" s="232">
        <f t="shared" si="0"/>
        <v>1.2999999999999998</v>
      </c>
      <c r="L24" s="237">
        <f t="shared" si="1"/>
        <v>6</v>
      </c>
      <c r="N24" s="233">
        <v>10.9</v>
      </c>
      <c r="O24" s="237">
        <f>ROUND(IF(Dados!$J$57="SIM",N24*Dados!$N$57,N24),2)</f>
        <v>10.9</v>
      </c>
      <c r="P24" s="237">
        <f>ROUND(IF(Dados!$J$58="SIM",O24*Dados!$N$58,O24),2)</f>
        <v>10.9</v>
      </c>
      <c r="Q24" s="237">
        <f>ROUND(IF(Dados!$J$59="SIM",P24*Dados!$N$59,P24),2)</f>
        <v>10.9</v>
      </c>
      <c r="R24" s="237">
        <f>ROUND(IF(Dados!$J$60="SIM",Q24*Dados!$N$60,Q24),2)</f>
        <v>10.9</v>
      </c>
      <c r="S24" s="239">
        <f>ROUND(IF(Dados!$J$61="SIM",R24*Dados!$N$61,R24),2)</f>
        <v>10.9</v>
      </c>
    </row>
    <row r="25" spans="1:19" s="71" customFormat="1" ht="51" x14ac:dyDescent="0.2">
      <c r="A25" s="85">
        <v>17</v>
      </c>
      <c r="B25" s="77" t="s">
        <v>415</v>
      </c>
      <c r="C25" s="78" t="s">
        <v>416</v>
      </c>
      <c r="D25" s="78" t="s">
        <v>417</v>
      </c>
      <c r="E25" s="92">
        <v>6</v>
      </c>
      <c r="F25" s="83" t="s">
        <v>382</v>
      </c>
      <c r="G25" s="230">
        <v>125.72</v>
      </c>
      <c r="H25" s="236"/>
      <c r="I25" s="70"/>
      <c r="J25" s="78">
        <f>'Ocorrências Mensais - FAT'!G43</f>
        <v>6</v>
      </c>
      <c r="K25" s="232">
        <f t="shared" si="0"/>
        <v>754.31999999999994</v>
      </c>
      <c r="L25" s="39">
        <f t="shared" si="1"/>
        <v>1</v>
      </c>
      <c r="N25" s="233">
        <v>3</v>
      </c>
      <c r="O25" s="39">
        <f>ROUND(IF(Dados!$J$57="SIM",N25*Dados!$N$57,N25),2)</f>
        <v>3</v>
      </c>
      <c r="P25" s="39">
        <f>ROUND(IF(Dados!$J$58="SIM",O25*Dados!$N$58,O25),2)</f>
        <v>3</v>
      </c>
      <c r="Q25" s="39">
        <f>ROUND(IF(Dados!$J$59="SIM",P25*Dados!$N$59,P25),2)</f>
        <v>3</v>
      </c>
      <c r="R25" s="39">
        <f>ROUND(IF(Dados!$J$60="SIM",Q25*Dados!$N$60,Q25),2)</f>
        <v>3</v>
      </c>
      <c r="S25" s="84">
        <f>ROUND(IF(Dados!$J$61="SIM",R25*Dados!$N$61,R25),2)</f>
        <v>3</v>
      </c>
    </row>
    <row r="26" spans="1:19" s="71" customFormat="1" ht="38.25" x14ac:dyDescent="0.2">
      <c r="A26" s="85">
        <v>18</v>
      </c>
      <c r="B26" s="77" t="s">
        <v>418</v>
      </c>
      <c r="C26" s="78" t="s">
        <v>384</v>
      </c>
      <c r="D26" s="78" t="s">
        <v>419</v>
      </c>
      <c r="E26" s="92">
        <v>1</v>
      </c>
      <c r="F26" s="83" t="s">
        <v>382</v>
      </c>
      <c r="G26" s="230">
        <v>15.2</v>
      </c>
      <c r="H26" s="236"/>
      <c r="I26" s="70"/>
      <c r="J26" s="78">
        <f>'Ocorrências Mensais - FAT'!G44</f>
        <v>1</v>
      </c>
      <c r="K26" s="232">
        <f t="shared" si="0"/>
        <v>15.2</v>
      </c>
      <c r="L26" s="39">
        <f t="shared" si="1"/>
        <v>1</v>
      </c>
      <c r="N26" s="233">
        <v>1</v>
      </c>
      <c r="O26" s="39">
        <f>ROUND(IF(Dados!$J$57="SIM",N26*Dados!$N$57,N26),2)</f>
        <v>1</v>
      </c>
      <c r="P26" s="39">
        <f>ROUND(IF(Dados!$J$58="SIM",O26*Dados!$N$58,O26),2)</f>
        <v>1</v>
      </c>
      <c r="Q26" s="39">
        <f>ROUND(IF(Dados!$J$59="SIM",P26*Dados!$N$59,P26),2)</f>
        <v>1</v>
      </c>
      <c r="R26" s="39">
        <f>ROUND(IF(Dados!$J$60="SIM",Q26*Dados!$N$60,Q26),2)</f>
        <v>1</v>
      </c>
      <c r="S26" s="84">
        <f>ROUND(IF(Dados!$J$61="SIM",R26*Dados!$N$61,R26),2)</f>
        <v>1</v>
      </c>
    </row>
    <row r="27" spans="1:19" s="71" customFormat="1" ht="63.75" x14ac:dyDescent="0.2">
      <c r="A27" s="85">
        <v>19</v>
      </c>
      <c r="B27" s="77" t="s">
        <v>420</v>
      </c>
      <c r="C27" s="78" t="s">
        <v>65</v>
      </c>
      <c r="D27" s="78" t="s">
        <v>421</v>
      </c>
      <c r="E27" s="92">
        <v>24</v>
      </c>
      <c r="F27" s="83" t="s">
        <v>382</v>
      </c>
      <c r="G27" s="230">
        <v>19.399999999999999</v>
      </c>
      <c r="H27" s="231"/>
      <c r="I27" s="70"/>
      <c r="J27" s="78">
        <f>'Ocorrências Mensais - FAT'!G45</f>
        <v>24</v>
      </c>
      <c r="K27" s="232">
        <f t="shared" si="0"/>
        <v>465.59999999999997</v>
      </c>
      <c r="L27" s="39">
        <f t="shared" si="1"/>
        <v>1</v>
      </c>
      <c r="N27" s="233">
        <v>2</v>
      </c>
      <c r="O27" s="39">
        <f>ROUND(IF(Dados!$J$57="SIM",N27*Dados!$N$57,N27),2)</f>
        <v>2</v>
      </c>
      <c r="P27" s="39">
        <f>ROUND(IF(Dados!$J$58="SIM",O27*Dados!$N$58,O27),2)</f>
        <v>2</v>
      </c>
      <c r="Q27" s="39">
        <f>ROUND(IF(Dados!$J$59="SIM",P27*Dados!$N$59,P27),2)</f>
        <v>2</v>
      </c>
      <c r="R27" s="39">
        <f>ROUND(IF(Dados!$J$60="SIM",Q27*Dados!$N$60,Q27),2)</f>
        <v>2</v>
      </c>
      <c r="S27" s="84">
        <f>ROUND(IF(Dados!$J$61="SIM",R27*Dados!$N$61,R27),2)</f>
        <v>2</v>
      </c>
    </row>
    <row r="28" spans="1:19" s="71" customFormat="1" ht="38.25" x14ac:dyDescent="0.2">
      <c r="A28" s="85">
        <v>20</v>
      </c>
      <c r="B28" s="234" t="s">
        <v>422</v>
      </c>
      <c r="C28" s="78" t="s">
        <v>65</v>
      </c>
      <c r="D28" s="240" t="s">
        <v>423</v>
      </c>
      <c r="E28" s="92">
        <v>3</v>
      </c>
      <c r="F28" s="83" t="s">
        <v>388</v>
      </c>
      <c r="G28" s="230">
        <v>9.6</v>
      </c>
      <c r="H28" s="231"/>
      <c r="I28" s="70"/>
      <c r="J28" s="78">
        <f>'Ocorrências Mensais - FAT'!G46</f>
        <v>0.25</v>
      </c>
      <c r="K28" s="232">
        <f t="shared" si="0"/>
        <v>2.4</v>
      </c>
      <c r="L28" s="39">
        <f t="shared" si="1"/>
        <v>12</v>
      </c>
      <c r="N28" s="233">
        <v>20</v>
      </c>
      <c r="O28" s="39">
        <f>ROUND(IF(Dados!$J$57="SIM",N28*Dados!$N$57,N28),2)</f>
        <v>20</v>
      </c>
      <c r="P28" s="39">
        <f>ROUND(IF(Dados!$J$58="SIM",O28*Dados!$N$58,O28),2)</f>
        <v>20</v>
      </c>
      <c r="Q28" s="39">
        <f>ROUND(IF(Dados!$J$59="SIM",P28*Dados!$N$59,P28),2)</f>
        <v>20</v>
      </c>
      <c r="R28" s="39">
        <f>ROUND(IF(Dados!$J$60="SIM",Q28*Dados!$N$60,Q28),2)</f>
        <v>20</v>
      </c>
      <c r="S28" s="84">
        <f>ROUND(IF(Dados!$J$61="SIM",R28*Dados!$N$61,R28),2)</f>
        <v>20</v>
      </c>
    </row>
    <row r="29" spans="1:19" s="71" customFormat="1" ht="38.25" x14ac:dyDescent="0.2">
      <c r="A29" s="85">
        <v>21</v>
      </c>
      <c r="B29" s="77" t="s">
        <v>424</v>
      </c>
      <c r="C29" s="78" t="s">
        <v>65</v>
      </c>
      <c r="D29" s="241" t="s">
        <v>423</v>
      </c>
      <c r="E29" s="92">
        <v>1</v>
      </c>
      <c r="F29" s="83" t="s">
        <v>388</v>
      </c>
      <c r="G29" s="230">
        <v>12.17</v>
      </c>
      <c r="H29" s="236"/>
      <c r="I29" s="70"/>
      <c r="J29" s="78">
        <f>'Ocorrências Mensais - FAT'!G47</f>
        <v>8.3333333333333329E-2</v>
      </c>
      <c r="K29" s="232">
        <f t="shared" si="0"/>
        <v>1.0141666666666667</v>
      </c>
      <c r="L29" s="39">
        <f t="shared" si="1"/>
        <v>12</v>
      </c>
      <c r="N29" s="233">
        <v>6.3</v>
      </c>
      <c r="O29" s="39">
        <f>ROUND(IF(Dados!$J$57="SIM",N29*Dados!$N$57,N29),2)</f>
        <v>6.3</v>
      </c>
      <c r="P29" s="39">
        <f>ROUND(IF(Dados!$J$58="SIM",O29*Dados!$N$58,O29),2)</f>
        <v>6.3</v>
      </c>
      <c r="Q29" s="39">
        <f>ROUND(IF(Dados!$J$59="SIM",P29*Dados!$N$59,P29),2)</f>
        <v>6.3</v>
      </c>
      <c r="R29" s="39">
        <f>ROUND(IF(Dados!$J$60="SIM",Q29*Dados!$N$60,Q29),2)</f>
        <v>6.3</v>
      </c>
      <c r="S29" s="84">
        <f>ROUND(IF(Dados!$J$61="SIM",R29*Dados!$N$61,R29),2)</f>
        <v>6.3</v>
      </c>
    </row>
    <row r="30" spans="1:19" s="71" customFormat="1" ht="25.5" x14ac:dyDescent="0.2">
      <c r="A30" s="85">
        <v>22</v>
      </c>
      <c r="B30" s="77" t="s">
        <v>425</v>
      </c>
      <c r="C30" s="78" t="s">
        <v>65</v>
      </c>
      <c r="D30" s="78" t="s">
        <v>426</v>
      </c>
      <c r="E30" s="92">
        <v>1</v>
      </c>
      <c r="F30" s="83" t="s">
        <v>382</v>
      </c>
      <c r="G30" s="230">
        <v>9</v>
      </c>
      <c r="H30" s="236"/>
      <c r="I30" s="70"/>
      <c r="J30" s="78">
        <f>'Ocorrências Mensais - FAT'!G48</f>
        <v>1</v>
      </c>
      <c r="K30" s="232">
        <f t="shared" si="0"/>
        <v>9</v>
      </c>
      <c r="L30" s="39">
        <f t="shared" si="1"/>
        <v>1</v>
      </c>
      <c r="N30" s="233">
        <v>8.99</v>
      </c>
      <c r="O30" s="39">
        <f>ROUND(IF(Dados!$J$57="SIM",N30*Dados!$N$57,N30),2)</f>
        <v>8.99</v>
      </c>
      <c r="P30" s="39">
        <f>ROUND(IF(Dados!$J$58="SIM",O30*Dados!$N$58,O30),2)</f>
        <v>8.99</v>
      </c>
      <c r="Q30" s="39">
        <f>ROUND(IF(Dados!$J$59="SIM",P30*Dados!$N$59,P30),2)</f>
        <v>8.99</v>
      </c>
      <c r="R30" s="39">
        <f>ROUND(IF(Dados!$J$60="SIM",Q30*Dados!$N$60,Q30),2)</f>
        <v>8.99</v>
      </c>
      <c r="S30" s="84">
        <f>ROUND(IF(Dados!$J$61="SIM",R30*Dados!$N$61,R30),2)</f>
        <v>8.99</v>
      </c>
    </row>
    <row r="31" spans="1:19" s="71" customFormat="1" ht="12.75" x14ac:dyDescent="0.2">
      <c r="A31" s="85">
        <v>23</v>
      </c>
      <c r="B31" s="234" t="s">
        <v>427</v>
      </c>
      <c r="C31" s="78" t="s">
        <v>384</v>
      </c>
      <c r="D31" s="78" t="s">
        <v>428</v>
      </c>
      <c r="E31" s="92">
        <v>2</v>
      </c>
      <c r="F31" s="83" t="s">
        <v>382</v>
      </c>
      <c r="G31" s="230">
        <v>34</v>
      </c>
      <c r="H31" s="231"/>
      <c r="I31" s="70"/>
      <c r="J31" s="78">
        <f>'Ocorrências Mensais - FAT'!G49</f>
        <v>2</v>
      </c>
      <c r="K31" s="232">
        <f t="shared" si="0"/>
        <v>68</v>
      </c>
      <c r="L31" s="39">
        <f t="shared" si="1"/>
        <v>1</v>
      </c>
      <c r="N31" s="233">
        <v>5</v>
      </c>
      <c r="O31" s="39">
        <f>ROUND(IF(Dados!$J$57="SIM",N31*Dados!$N$57,N31),2)</f>
        <v>5</v>
      </c>
      <c r="P31" s="39">
        <f>ROUND(IF(Dados!$J$58="SIM",O31*Dados!$N$58,O31),2)</f>
        <v>5</v>
      </c>
      <c r="Q31" s="39">
        <f>ROUND(IF(Dados!$J$59="SIM",P31*Dados!$N$59,P31),2)</f>
        <v>5</v>
      </c>
      <c r="R31" s="39">
        <f>ROUND(IF(Dados!$J$60="SIM",Q31*Dados!$N$60,Q31),2)</f>
        <v>5</v>
      </c>
      <c r="S31" s="84">
        <f>ROUND(IF(Dados!$J$61="SIM",R31*Dados!$N$61,R31),2)</f>
        <v>5</v>
      </c>
    </row>
    <row r="32" spans="1:19" s="71" customFormat="1" ht="25.5" x14ac:dyDescent="0.2">
      <c r="A32" s="85">
        <v>24</v>
      </c>
      <c r="B32" s="77" t="s">
        <v>429</v>
      </c>
      <c r="C32" s="78" t="s">
        <v>65</v>
      </c>
      <c r="D32" s="78" t="s">
        <v>430</v>
      </c>
      <c r="E32" s="92">
        <v>6</v>
      </c>
      <c r="F32" s="83" t="s">
        <v>382</v>
      </c>
      <c r="G32" s="230">
        <v>5.5</v>
      </c>
      <c r="H32" s="231"/>
      <c r="I32" s="70"/>
      <c r="J32" s="78">
        <f>'Ocorrências Mensais - FAT'!G50</f>
        <v>6</v>
      </c>
      <c r="K32" s="232">
        <f t="shared" si="0"/>
        <v>33</v>
      </c>
      <c r="L32" s="39">
        <f t="shared" si="1"/>
        <v>1</v>
      </c>
      <c r="N32" s="233">
        <v>1.5</v>
      </c>
      <c r="O32" s="39">
        <f>ROUND(IF(Dados!$J$57="SIM",N32*Dados!$N$57,N32),2)</f>
        <v>1.5</v>
      </c>
      <c r="P32" s="39">
        <f>ROUND(IF(Dados!$J$58="SIM",O32*Dados!$N$58,O32),2)</f>
        <v>1.5</v>
      </c>
      <c r="Q32" s="39">
        <f>ROUND(IF(Dados!$J$59="SIM",P32*Dados!$N$59,P32),2)</f>
        <v>1.5</v>
      </c>
      <c r="R32" s="39">
        <f>ROUND(IF(Dados!$J$60="SIM",Q32*Dados!$N$60,Q32),2)</f>
        <v>1.5</v>
      </c>
      <c r="S32" s="84">
        <f>ROUND(IF(Dados!$J$61="SIM",R32*Dados!$N$61,R32),2)</f>
        <v>1.5</v>
      </c>
    </row>
    <row r="33" spans="1:19" s="71" customFormat="1" ht="51" x14ac:dyDescent="0.2">
      <c r="A33" s="85">
        <v>25</v>
      </c>
      <c r="B33" s="77" t="s">
        <v>431</v>
      </c>
      <c r="C33" s="78" t="s">
        <v>432</v>
      </c>
      <c r="D33" s="78" t="s">
        <v>433</v>
      </c>
      <c r="E33" s="92">
        <v>4</v>
      </c>
      <c r="F33" s="83" t="s">
        <v>382</v>
      </c>
      <c r="G33" s="230">
        <v>54.9</v>
      </c>
      <c r="H33" s="231"/>
      <c r="I33" s="70"/>
      <c r="J33" s="78">
        <f>'Ocorrências Mensais - FAT'!G51</f>
        <v>4</v>
      </c>
      <c r="K33" s="232">
        <f t="shared" si="0"/>
        <v>219.6</v>
      </c>
      <c r="L33" s="39">
        <f t="shared" si="1"/>
        <v>1</v>
      </c>
      <c r="N33" s="233">
        <v>3.2</v>
      </c>
      <c r="O33" s="39">
        <f>ROUND(IF(Dados!$J$57="SIM",N33*Dados!$N$57,N33),2)</f>
        <v>3.2</v>
      </c>
      <c r="P33" s="39">
        <f>ROUND(IF(Dados!$J$58="SIM",O33*Dados!$N$58,O33),2)</f>
        <v>3.2</v>
      </c>
      <c r="Q33" s="39">
        <f>ROUND(IF(Dados!$J$59="SIM",P33*Dados!$N$59,P33),2)</f>
        <v>3.2</v>
      </c>
      <c r="R33" s="39">
        <f>ROUND(IF(Dados!$J$60="SIM",Q33*Dados!$N$60,Q33),2)</f>
        <v>3.2</v>
      </c>
      <c r="S33" s="84">
        <f>ROUND(IF(Dados!$J$61="SIM",R33*Dados!$N$61,R33),2)</f>
        <v>3.2</v>
      </c>
    </row>
    <row r="34" spans="1:19" s="71" customFormat="1" ht="25.5" x14ac:dyDescent="0.2">
      <c r="A34" s="85">
        <v>26</v>
      </c>
      <c r="B34" s="234" t="s">
        <v>434</v>
      </c>
      <c r="C34" s="78" t="s">
        <v>432</v>
      </c>
      <c r="D34" s="78" t="s">
        <v>433</v>
      </c>
      <c r="E34" s="92">
        <v>1</v>
      </c>
      <c r="F34" s="83" t="s">
        <v>382</v>
      </c>
      <c r="G34" s="230">
        <v>16</v>
      </c>
      <c r="H34" s="236"/>
      <c r="I34" s="70"/>
      <c r="J34" s="78">
        <f>'Ocorrências Mensais - FAT'!G52</f>
        <v>1</v>
      </c>
      <c r="K34" s="232">
        <f t="shared" si="0"/>
        <v>16</v>
      </c>
      <c r="L34" s="39">
        <f t="shared" si="1"/>
        <v>1</v>
      </c>
      <c r="N34" s="233">
        <v>3.99</v>
      </c>
      <c r="O34" s="39">
        <f>ROUND(IF(Dados!$J$57="SIM",N34*Dados!$N$57,N34),2)</f>
        <v>3.99</v>
      </c>
      <c r="P34" s="39">
        <f>ROUND(IF(Dados!$J$58="SIM",O34*Dados!$N$58,O34),2)</f>
        <v>3.99</v>
      </c>
      <c r="Q34" s="39">
        <f>ROUND(IF(Dados!$J$59="SIM",P34*Dados!$N$59,P34),2)</f>
        <v>3.99</v>
      </c>
      <c r="R34" s="39">
        <f>ROUND(IF(Dados!$J$60="SIM",Q34*Dados!$N$60,Q34),2)</f>
        <v>3.99</v>
      </c>
      <c r="S34" s="84">
        <f>ROUND(IF(Dados!$J$61="SIM",R34*Dados!$N$61,R34),2)</f>
        <v>3.99</v>
      </c>
    </row>
    <row r="35" spans="1:19" s="71" customFormat="1" ht="12.75" x14ac:dyDescent="0.2">
      <c r="A35" s="85">
        <v>27</v>
      </c>
      <c r="B35" s="234" t="s">
        <v>435</v>
      </c>
      <c r="C35" s="78" t="s">
        <v>432</v>
      </c>
      <c r="D35" s="78" t="s">
        <v>433</v>
      </c>
      <c r="E35" s="92">
        <v>4</v>
      </c>
      <c r="F35" s="83" t="s">
        <v>382</v>
      </c>
      <c r="G35" s="230">
        <v>32</v>
      </c>
      <c r="H35" s="236"/>
      <c r="I35" s="70"/>
      <c r="J35" s="78">
        <f>'Ocorrências Mensais - FAT'!G53</f>
        <v>4</v>
      </c>
      <c r="K35" s="232">
        <f t="shared" si="0"/>
        <v>128</v>
      </c>
      <c r="L35" s="39">
        <f t="shared" si="1"/>
        <v>1</v>
      </c>
      <c r="N35" s="233">
        <v>1.4</v>
      </c>
      <c r="O35" s="39">
        <f>ROUND(IF(Dados!$J$57="SIM",N35*Dados!$N$57,N35),2)</f>
        <v>1.4</v>
      </c>
      <c r="P35" s="39">
        <f>ROUND(IF(Dados!$J$58="SIM",O35*Dados!$N$58,O35),2)</f>
        <v>1.4</v>
      </c>
      <c r="Q35" s="39">
        <f>ROUND(IF(Dados!$J$59="SIM",P35*Dados!$N$59,P35),2)</f>
        <v>1.4</v>
      </c>
      <c r="R35" s="39">
        <f>ROUND(IF(Dados!$J$60="SIM",Q35*Dados!$N$60,Q35),2)</f>
        <v>1.4</v>
      </c>
      <c r="S35" s="84">
        <f>ROUND(IF(Dados!$J$61="SIM",R35*Dados!$N$61,R35),2)</f>
        <v>1.4</v>
      </c>
    </row>
    <row r="36" spans="1:19" s="71" customFormat="1" ht="38.25" x14ac:dyDescent="0.2">
      <c r="A36" s="85">
        <v>28</v>
      </c>
      <c r="B36" s="77" t="s">
        <v>436</v>
      </c>
      <c r="C36" s="78" t="s">
        <v>65</v>
      </c>
      <c r="D36" s="78" t="s">
        <v>437</v>
      </c>
      <c r="E36" s="92">
        <v>3</v>
      </c>
      <c r="F36" s="83" t="s">
        <v>388</v>
      </c>
      <c r="G36" s="230">
        <v>19.8</v>
      </c>
      <c r="H36" s="236"/>
      <c r="I36" s="70"/>
      <c r="J36" s="78">
        <f>'Ocorrências Mensais - FAT'!G54</f>
        <v>0.25</v>
      </c>
      <c r="K36" s="232">
        <f t="shared" si="0"/>
        <v>4.95</v>
      </c>
      <c r="L36" s="39">
        <f t="shared" si="1"/>
        <v>12</v>
      </c>
      <c r="N36" s="233">
        <v>2.04</v>
      </c>
      <c r="O36" s="39">
        <f>ROUND(IF(Dados!$J$57="SIM",N36*Dados!$N$57,N36),2)</f>
        <v>2.04</v>
      </c>
      <c r="P36" s="39">
        <f>ROUND(IF(Dados!$J$58="SIM",O36*Dados!$N$58,O36),2)</f>
        <v>2.04</v>
      </c>
      <c r="Q36" s="39">
        <f>ROUND(IF(Dados!$J$59="SIM",P36*Dados!$N$59,P36),2)</f>
        <v>2.04</v>
      </c>
      <c r="R36" s="39">
        <f>ROUND(IF(Dados!$J$60="SIM",Q36*Dados!$N$60,Q36),2)</f>
        <v>2.04</v>
      </c>
      <c r="S36" s="84">
        <f>ROUND(IF(Dados!$J$61="SIM",R36*Dados!$N$61,R36),2)</f>
        <v>2.04</v>
      </c>
    </row>
    <row r="37" spans="1:19" s="71" customFormat="1" ht="38.25" x14ac:dyDescent="0.2">
      <c r="A37" s="85">
        <v>29</v>
      </c>
      <c r="B37" s="77" t="s">
        <v>438</v>
      </c>
      <c r="C37" s="78" t="s">
        <v>65</v>
      </c>
      <c r="D37" s="78" t="s">
        <v>437</v>
      </c>
      <c r="E37" s="92">
        <v>3</v>
      </c>
      <c r="F37" s="83" t="s">
        <v>388</v>
      </c>
      <c r="G37" s="230">
        <v>24.5</v>
      </c>
      <c r="H37" s="236"/>
      <c r="I37" s="70"/>
      <c r="J37" s="78">
        <f>'Ocorrências Mensais - FAT'!G55</f>
        <v>0.25</v>
      </c>
      <c r="K37" s="232">
        <f t="shared" si="0"/>
        <v>6.125</v>
      </c>
      <c r="L37" s="39">
        <f t="shared" si="1"/>
        <v>12</v>
      </c>
      <c r="N37" s="233">
        <v>6.55</v>
      </c>
      <c r="O37" s="39">
        <f>ROUND(IF(Dados!$J$57="SIM",N37*Dados!$N$57,N37),2)</f>
        <v>6.55</v>
      </c>
      <c r="P37" s="39">
        <f>ROUND(IF(Dados!$J$58="SIM",O37*Dados!$N$58,O37),2)</f>
        <v>6.55</v>
      </c>
      <c r="Q37" s="39">
        <f>ROUND(IF(Dados!$J$59="SIM",P37*Dados!$N$59,P37),2)</f>
        <v>6.55</v>
      </c>
      <c r="R37" s="39">
        <f>ROUND(IF(Dados!$J$60="SIM",Q37*Dados!$N$60,Q37),2)</f>
        <v>6.55</v>
      </c>
      <c r="S37" s="84">
        <f>ROUND(IF(Dados!$J$61="SIM",R37*Dados!$N$61,R37),2)</f>
        <v>6.55</v>
      </c>
    </row>
    <row r="38" spans="1:19" s="71" customFormat="1" ht="12.75" x14ac:dyDescent="0.2">
      <c r="A38" s="85">
        <v>30</v>
      </c>
      <c r="B38" s="77" t="s">
        <v>439</v>
      </c>
      <c r="C38" s="78" t="s">
        <v>65</v>
      </c>
      <c r="D38" s="78" t="s">
        <v>440</v>
      </c>
      <c r="E38" s="92">
        <v>2</v>
      </c>
      <c r="F38" s="83" t="s">
        <v>382</v>
      </c>
      <c r="G38" s="230">
        <v>10.199999999999999</v>
      </c>
      <c r="H38" s="236"/>
      <c r="I38" s="70"/>
      <c r="J38" s="78">
        <f>'Ocorrências Mensais - FAT'!G55</f>
        <v>0.25</v>
      </c>
      <c r="K38" s="232">
        <f t="shared" si="0"/>
        <v>2.5499999999999998</v>
      </c>
      <c r="L38" s="39"/>
      <c r="N38" s="233"/>
      <c r="O38" s="39"/>
      <c r="P38" s="39"/>
      <c r="Q38" s="39"/>
      <c r="R38" s="39"/>
      <c r="S38" s="84"/>
    </row>
    <row r="39" spans="1:19" s="71" customFormat="1" ht="12.75" x14ac:dyDescent="0.2">
      <c r="A39" s="85">
        <v>31</v>
      </c>
      <c r="B39" s="77" t="s">
        <v>441</v>
      </c>
      <c r="C39" s="78" t="s">
        <v>65</v>
      </c>
      <c r="D39" s="78" t="s">
        <v>437</v>
      </c>
      <c r="E39" s="92">
        <v>4</v>
      </c>
      <c r="F39" s="83" t="s">
        <v>388</v>
      </c>
      <c r="G39" s="230">
        <v>12.2</v>
      </c>
      <c r="H39" s="236"/>
      <c r="I39" s="70"/>
      <c r="J39" s="78">
        <f>'Ocorrências Mensais - FAT'!G56</f>
        <v>0.33333333333333331</v>
      </c>
      <c r="K39" s="232">
        <f t="shared" si="0"/>
        <v>4.0666666666666664</v>
      </c>
      <c r="L39" s="39">
        <f>IF(F39="MENSAL",1,IF(F39="BIMESTRAL",2,IF(F39="TRIMESTRAL",3,IF(F39="QUADRIMESTRAL",4,IF(F39="SEMESTRAL",6,IF(F39="ANUAL",12,IF(F39="BIENAL",24,"")))))))</f>
        <v>12</v>
      </c>
      <c r="N39" s="233">
        <v>2.8</v>
      </c>
      <c r="O39" s="39">
        <f>ROUND(IF(Dados!$J$57="SIM",N39*Dados!$N$57,N39),2)</f>
        <v>2.8</v>
      </c>
      <c r="P39" s="39">
        <f>ROUND(IF(Dados!$J$58="SIM",O39*Dados!$N$58,O39),2)</f>
        <v>2.8</v>
      </c>
      <c r="Q39" s="39">
        <f>ROUND(IF(Dados!$J$59="SIM",P39*Dados!$N$59,P39),2)</f>
        <v>2.8</v>
      </c>
      <c r="R39" s="39">
        <f>ROUND(IF(Dados!$J$60="SIM",Q39*Dados!$N$60,Q39),2)</f>
        <v>2.8</v>
      </c>
      <c r="S39" s="84">
        <f>ROUND(IF(Dados!$J$61="SIM",R39*Dados!$N$61,R39),2)</f>
        <v>2.8</v>
      </c>
    </row>
    <row r="40" spans="1:19" ht="15.75" x14ac:dyDescent="0.25">
      <c r="A40" s="659"/>
      <c r="B40" s="659"/>
      <c r="C40" s="659"/>
      <c r="D40" s="659"/>
      <c r="E40" s="659"/>
      <c r="F40" s="659"/>
      <c r="G40" s="659"/>
      <c r="H40" s="242"/>
      <c r="I40" s="60"/>
      <c r="J40" s="243" t="s">
        <v>200</v>
      </c>
      <c r="K40" s="244">
        <f>SUM(K9:K39)</f>
        <v>2016.1441666666665</v>
      </c>
      <c r="N40" s="245"/>
      <c r="O40" s="66"/>
      <c r="P40" s="66"/>
      <c r="Q40" s="66"/>
      <c r="R40" s="66"/>
      <c r="S40" s="66"/>
    </row>
    <row r="41" spans="1:19" x14ac:dyDescent="0.25">
      <c r="A41" s="246"/>
      <c r="H41" s="247"/>
      <c r="N41" s="245"/>
      <c r="O41" s="66"/>
      <c r="P41" s="66"/>
      <c r="Q41" s="66"/>
      <c r="R41" s="66"/>
      <c r="S41" s="66"/>
    </row>
    <row r="42" spans="1:19" ht="18.75" customHeight="1" x14ac:dyDescent="0.25">
      <c r="A42" s="660" t="s">
        <v>442</v>
      </c>
      <c r="B42" s="660"/>
      <c r="C42" s="660"/>
      <c r="D42" s="660"/>
      <c r="E42" s="660"/>
      <c r="F42" s="660"/>
      <c r="G42" s="660"/>
      <c r="H42" s="660"/>
      <c r="I42" s="71"/>
      <c r="J42" s="71"/>
      <c r="L42" s="71"/>
      <c r="N42" s="594" t="s">
        <v>373</v>
      </c>
      <c r="O42" s="594"/>
      <c r="P42" s="594"/>
      <c r="Q42" s="594"/>
      <c r="R42" s="594"/>
      <c r="S42" s="594"/>
    </row>
    <row r="43" spans="1:19" ht="15" customHeight="1" x14ac:dyDescent="0.25">
      <c r="A43" s="248"/>
      <c r="B43" s="104"/>
      <c r="C43" s="104"/>
      <c r="D43" s="104"/>
      <c r="E43" s="104"/>
      <c r="F43" s="104"/>
      <c r="G43" s="104"/>
      <c r="H43" s="249"/>
      <c r="I43" s="71"/>
      <c r="J43" s="71"/>
      <c r="L43" s="71"/>
      <c r="N43" s="594"/>
      <c r="O43" s="594"/>
      <c r="P43" s="594"/>
      <c r="Q43" s="594"/>
      <c r="R43" s="594"/>
      <c r="S43" s="594"/>
    </row>
    <row r="44" spans="1:19" ht="15" customHeight="1" x14ac:dyDescent="0.25">
      <c r="A44" s="661" t="s">
        <v>59</v>
      </c>
      <c r="B44" s="662" t="s">
        <v>374</v>
      </c>
      <c r="C44" s="662"/>
      <c r="D44" s="662"/>
      <c r="E44" s="219"/>
      <c r="F44" s="219"/>
      <c r="G44" s="219"/>
      <c r="H44" s="663" t="s">
        <v>375</v>
      </c>
      <c r="I44" s="71"/>
      <c r="J44" s="664" t="s">
        <v>376</v>
      </c>
      <c r="K44" s="664"/>
      <c r="L44" s="664"/>
      <c r="N44" s="594"/>
      <c r="O44" s="594"/>
      <c r="P44" s="594"/>
      <c r="Q44" s="594"/>
      <c r="R44" s="594"/>
      <c r="S44" s="594"/>
    </row>
    <row r="45" spans="1:19" ht="38.25" x14ac:dyDescent="0.25">
      <c r="A45" s="661"/>
      <c r="B45" s="219" t="s">
        <v>64</v>
      </c>
      <c r="C45" s="221" t="s">
        <v>65</v>
      </c>
      <c r="D45" s="221" t="s">
        <v>443</v>
      </c>
      <c r="E45" s="222" t="s">
        <v>377</v>
      </c>
      <c r="F45" s="223" t="s">
        <v>71</v>
      </c>
      <c r="G45" s="221" t="s">
        <v>378</v>
      </c>
      <c r="H45" s="663"/>
      <c r="I45" s="71"/>
      <c r="J45" s="250" t="s">
        <v>69</v>
      </c>
      <c r="K45" s="250" t="s">
        <v>68</v>
      </c>
      <c r="L45" s="222" t="s">
        <v>379</v>
      </c>
      <c r="N45" s="224" t="s">
        <v>380</v>
      </c>
      <c r="O45" s="21" t="s">
        <v>280</v>
      </c>
      <c r="P45" s="21" t="s">
        <v>281</v>
      </c>
      <c r="Q45" s="21" t="s">
        <v>282</v>
      </c>
      <c r="R45" s="21" t="s">
        <v>283</v>
      </c>
      <c r="S45" s="23" t="s">
        <v>284</v>
      </c>
    </row>
    <row r="46" spans="1:19" ht="51.75" x14ac:dyDescent="0.25">
      <c r="A46" s="92">
        <v>1</v>
      </c>
      <c r="B46" s="77" t="s">
        <v>444</v>
      </c>
      <c r="C46" s="78" t="s">
        <v>445</v>
      </c>
      <c r="D46" s="78" t="s">
        <v>446</v>
      </c>
      <c r="E46" s="92">
        <v>2</v>
      </c>
      <c r="F46" s="78" t="s">
        <v>382</v>
      </c>
      <c r="G46" s="230">
        <v>7.8</v>
      </c>
      <c r="H46" s="251"/>
      <c r="I46" s="71"/>
      <c r="J46" s="78">
        <f>'Ocorrências Mensais - FAT'!G65</f>
        <v>2</v>
      </c>
      <c r="K46" s="232">
        <f t="shared" ref="K46:K52" si="2">G46*J46</f>
        <v>15.6</v>
      </c>
      <c r="L46" s="39">
        <f t="shared" ref="L46:L52" si="3">IF(F46="MENSAL",1,IF(F46="BIMESTRAL",2,IF(F46="TRIMESTRAL",3,IF(F46="QUADRIMESTRAL",4,IF(F46="SEMESTRAL",6,IF(F46="ANUAL",12,IF(F46="BIENAL",24,"")))))))</f>
        <v>1</v>
      </c>
      <c r="N46" s="252">
        <v>3.1</v>
      </c>
      <c r="O46" s="39">
        <f>ROUND(IF(Dados!$J$57="SIM",N46*Dados!$N$57,N46),2)</f>
        <v>3.1</v>
      </c>
      <c r="P46" s="39">
        <f>ROUND(IF(Dados!$J$58="SIM",O46*Dados!$N$58,O46),2)</f>
        <v>3.1</v>
      </c>
      <c r="Q46" s="39">
        <f>ROUND(IF(Dados!$J$59="SIM",P46*Dados!$N$59,P46),2)</f>
        <v>3.1</v>
      </c>
      <c r="R46" s="39">
        <f>ROUND(IF(Dados!$J$60="SIM",Q46*Dados!$N$60,Q46),2)</f>
        <v>3.1</v>
      </c>
      <c r="S46" s="84">
        <f>ROUND(IF(Dados!$J$61="SIM",R46*Dados!$N$61,R46),2)</f>
        <v>3.1</v>
      </c>
    </row>
    <row r="47" spans="1:19" ht="51.75" x14ac:dyDescent="0.25">
      <c r="A47" s="92">
        <v>2</v>
      </c>
      <c r="B47" s="77" t="s">
        <v>447</v>
      </c>
      <c r="C47" s="78" t="s">
        <v>448</v>
      </c>
      <c r="D47" s="78" t="s">
        <v>449</v>
      </c>
      <c r="E47" s="92">
        <v>3</v>
      </c>
      <c r="F47" s="78" t="s">
        <v>382</v>
      </c>
      <c r="G47" s="230">
        <v>4.5</v>
      </c>
      <c r="H47" s="251"/>
      <c r="I47" s="71"/>
      <c r="J47" s="78">
        <f>'Ocorrências Mensais - FAT'!G66</f>
        <v>3</v>
      </c>
      <c r="K47" s="232">
        <f t="shared" si="2"/>
        <v>13.5</v>
      </c>
      <c r="L47" s="39">
        <f t="shared" si="3"/>
        <v>1</v>
      </c>
      <c r="N47" s="252">
        <v>4.04</v>
      </c>
      <c r="O47" s="39">
        <f>ROUND(IF(Dados!$J$57="SIM",N47*Dados!$N$57,N47),2)</f>
        <v>4.04</v>
      </c>
      <c r="P47" s="39">
        <f>ROUND(IF(Dados!$J$58="SIM",O47*Dados!$N$58,O47),2)</f>
        <v>4.04</v>
      </c>
      <c r="Q47" s="39">
        <f>ROUND(IF(Dados!$J$59="SIM",P47*Dados!$N$59,P47),2)</f>
        <v>4.04</v>
      </c>
      <c r="R47" s="39">
        <f>ROUND(IF(Dados!$J$60="SIM",Q47*Dados!$N$60,Q47),2)</f>
        <v>4.04</v>
      </c>
      <c r="S47" s="84">
        <f>ROUND(IF(Dados!$J$61="SIM",R47*Dados!$N$61,R47),2)</f>
        <v>4.04</v>
      </c>
    </row>
    <row r="48" spans="1:19" ht="38.25" x14ac:dyDescent="0.25">
      <c r="A48" s="92">
        <v>3</v>
      </c>
      <c r="B48" s="234" t="s">
        <v>450</v>
      </c>
      <c r="C48" s="78" t="s">
        <v>451</v>
      </c>
      <c r="D48" s="78" t="s">
        <v>452</v>
      </c>
      <c r="E48" s="92">
        <v>2</v>
      </c>
      <c r="F48" s="78" t="s">
        <v>382</v>
      </c>
      <c r="G48" s="230">
        <v>3.3</v>
      </c>
      <c r="H48" s="251"/>
      <c r="I48" s="71"/>
      <c r="J48" s="78">
        <f>'Ocorrências Mensais - FAT'!G67</f>
        <v>2</v>
      </c>
      <c r="K48" s="232">
        <f t="shared" si="2"/>
        <v>6.6</v>
      </c>
      <c r="L48" s="39">
        <f t="shared" si="3"/>
        <v>1</v>
      </c>
      <c r="N48" s="252">
        <v>1.5</v>
      </c>
      <c r="O48" s="39">
        <f>ROUND(IF(Dados!$J$57="SIM",N48*Dados!$N$57,N48),2)</f>
        <v>1.5</v>
      </c>
      <c r="P48" s="39">
        <f>ROUND(IF(Dados!$J$58="SIM",O48*Dados!$N$58,O48),2)</f>
        <v>1.5</v>
      </c>
      <c r="Q48" s="39">
        <f>ROUND(IF(Dados!$J$59="SIM",P48*Dados!$N$59,P48),2)</f>
        <v>1.5</v>
      </c>
      <c r="R48" s="39">
        <f>ROUND(IF(Dados!$J$60="SIM",Q48*Dados!$N$60,Q48),2)</f>
        <v>1.5</v>
      </c>
      <c r="S48" s="84">
        <f>ROUND(IF(Dados!$J$61="SIM",R48*Dados!$N$61,R48),2)</f>
        <v>1.5</v>
      </c>
    </row>
    <row r="49" spans="1:19" ht="102" x14ac:dyDescent="0.25">
      <c r="A49" s="92">
        <v>4</v>
      </c>
      <c r="B49" s="234" t="s">
        <v>453</v>
      </c>
      <c r="C49" s="78" t="s">
        <v>448</v>
      </c>
      <c r="D49" s="78" t="s">
        <v>454</v>
      </c>
      <c r="E49" s="92">
        <v>1</v>
      </c>
      <c r="F49" s="78" t="s">
        <v>382</v>
      </c>
      <c r="G49" s="230">
        <v>8</v>
      </c>
      <c r="H49" s="251"/>
      <c r="I49" s="71"/>
      <c r="J49" s="78">
        <f>'Ocorrências Mensais - FAT'!G68</f>
        <v>1</v>
      </c>
      <c r="K49" s="232">
        <f t="shared" si="2"/>
        <v>8</v>
      </c>
      <c r="L49" s="39">
        <f t="shared" si="3"/>
        <v>1</v>
      </c>
      <c r="N49" s="252">
        <v>1.2</v>
      </c>
      <c r="O49" s="39">
        <f>ROUND(IF(Dados!$J$57="SIM",N49*Dados!$N$57,N49),2)</f>
        <v>1.2</v>
      </c>
      <c r="P49" s="39">
        <f>ROUND(IF(Dados!$J$58="SIM",O49*Dados!$N$58,O49),2)</f>
        <v>1.2</v>
      </c>
      <c r="Q49" s="39">
        <f>ROUND(IF(Dados!$J$59="SIM",P49*Dados!$N$59,P49),2)</f>
        <v>1.2</v>
      </c>
      <c r="R49" s="39">
        <f>ROUND(IF(Dados!$J$60="SIM",Q49*Dados!$N$60,Q49),2)</f>
        <v>1.2</v>
      </c>
      <c r="S49" s="84">
        <f>ROUND(IF(Dados!$J$61="SIM",R49*Dados!$N$61,R49),2)</f>
        <v>1.2</v>
      </c>
    </row>
    <row r="50" spans="1:19" ht="77.25" x14ac:dyDescent="0.25">
      <c r="A50" s="39">
        <v>5</v>
      </c>
      <c r="B50" s="77" t="s">
        <v>455</v>
      </c>
      <c r="C50" s="78" t="s">
        <v>456</v>
      </c>
      <c r="D50" s="78" t="s">
        <v>457</v>
      </c>
      <c r="E50" s="92">
        <v>1</v>
      </c>
      <c r="F50" s="78" t="s">
        <v>382</v>
      </c>
      <c r="G50" s="230">
        <v>3.31</v>
      </c>
      <c r="H50" s="251"/>
      <c r="I50" s="71"/>
      <c r="J50" s="78">
        <f>'Ocorrências Mensais - FAT'!G69</f>
        <v>1</v>
      </c>
      <c r="K50" s="232">
        <f t="shared" si="2"/>
        <v>3.31</v>
      </c>
      <c r="L50" s="39">
        <f t="shared" si="3"/>
        <v>1</v>
      </c>
      <c r="N50" s="252"/>
      <c r="O50" s="39"/>
      <c r="P50" s="39"/>
      <c r="Q50" s="39"/>
      <c r="R50" s="39"/>
      <c r="S50" s="84"/>
    </row>
    <row r="51" spans="1:19" ht="63.75" x14ac:dyDescent="0.25">
      <c r="A51" s="39">
        <v>6</v>
      </c>
      <c r="B51" s="234" t="s">
        <v>458</v>
      </c>
      <c r="C51" s="78" t="s">
        <v>451</v>
      </c>
      <c r="D51" s="78" t="s">
        <v>459</v>
      </c>
      <c r="E51" s="92">
        <v>2</v>
      </c>
      <c r="F51" s="78" t="s">
        <v>382</v>
      </c>
      <c r="G51" s="230">
        <v>4.5</v>
      </c>
      <c r="H51" s="251"/>
      <c r="I51" s="71"/>
      <c r="J51" s="78">
        <f>'Ocorrências Mensais - FAT'!G70</f>
        <v>2</v>
      </c>
      <c r="K51" s="232">
        <f t="shared" si="2"/>
        <v>9</v>
      </c>
      <c r="L51" s="39">
        <f t="shared" si="3"/>
        <v>1</v>
      </c>
      <c r="N51" s="252"/>
      <c r="O51" s="39"/>
      <c r="P51" s="39"/>
      <c r="Q51" s="39"/>
      <c r="R51" s="39"/>
      <c r="S51" s="84"/>
    </row>
    <row r="52" spans="1:19" x14ac:dyDescent="0.25">
      <c r="A52" s="39">
        <v>7</v>
      </c>
      <c r="B52" s="77" t="s">
        <v>460</v>
      </c>
      <c r="C52" s="78" t="s">
        <v>451</v>
      </c>
      <c r="D52" s="78"/>
      <c r="E52" s="92">
        <v>3</v>
      </c>
      <c r="F52" s="78" t="s">
        <v>382</v>
      </c>
      <c r="G52" s="230">
        <v>5.3</v>
      </c>
      <c r="H52" s="251"/>
      <c r="I52" s="71"/>
      <c r="J52" s="78">
        <f>'Ocorrências Mensais - FAT'!G71</f>
        <v>3</v>
      </c>
      <c r="K52" s="232">
        <f t="shared" si="2"/>
        <v>15.899999999999999</v>
      </c>
      <c r="L52" s="39">
        <f t="shared" si="3"/>
        <v>1</v>
      </c>
      <c r="N52" s="252"/>
      <c r="O52" s="39"/>
      <c r="P52" s="39"/>
      <c r="Q52" s="39"/>
      <c r="R52" s="39"/>
      <c r="S52" s="84"/>
    </row>
    <row r="53" spans="1:19" ht="15.75" x14ac:dyDescent="0.25">
      <c r="A53" s="659"/>
      <c r="B53" s="659"/>
      <c r="C53" s="659"/>
      <c r="D53" s="659"/>
      <c r="E53" s="659"/>
      <c r="F53" s="659"/>
      <c r="G53" s="659"/>
      <c r="H53" s="253"/>
      <c r="I53" s="71"/>
      <c r="J53" s="254" t="s">
        <v>200</v>
      </c>
      <c r="K53" s="255">
        <f>SUM(K46:K52)</f>
        <v>71.91</v>
      </c>
      <c r="L53" s="71"/>
      <c r="N53" s="4"/>
      <c r="O53" s="4"/>
      <c r="P53" s="4"/>
      <c r="Q53" s="4"/>
      <c r="R53" s="4"/>
      <c r="S53" s="4"/>
    </row>
    <row r="54" spans="1:19" x14ac:dyDescent="0.25">
      <c r="A54" s="246"/>
      <c r="N54" s="4"/>
      <c r="O54" s="4"/>
      <c r="P54" s="4"/>
      <c r="Q54" s="4"/>
      <c r="R54" s="4"/>
      <c r="S54" s="4"/>
    </row>
  </sheetData>
  <sheetProtection sheet="1" objects="1" scenarios="1"/>
  <mergeCells count="15">
    <mergeCell ref="A4:H4"/>
    <mergeCell ref="A5:H5"/>
    <mergeCell ref="N5:S7"/>
    <mergeCell ref="A6:A8"/>
    <mergeCell ref="B6:D7"/>
    <mergeCell ref="H6:H8"/>
    <mergeCell ref="J7:L7"/>
    <mergeCell ref="A53:G53"/>
    <mergeCell ref="A40:G40"/>
    <mergeCell ref="A42:H42"/>
    <mergeCell ref="N42:S44"/>
    <mergeCell ref="A44:A45"/>
    <mergeCell ref="B44:D44"/>
    <mergeCell ref="H44:H45"/>
    <mergeCell ref="J44:L44"/>
  </mergeCells>
  <dataValidations count="1">
    <dataValidation type="list" allowBlank="1" showInputMessage="1" showErrorMessage="1" sqref="F10:F39 F46:F52" xr:uid="{00000000-0002-0000-0400-000000000000}">
      <formula1>"Mensal,Bimestral,Trimestral,Quadrimestral,Semestral,Anual,Bienal"</formula1>
      <formula2>0</formula2>
    </dataValidation>
  </dataValidations>
  <printOptions horizontalCentered="1" verticalCentered="1"/>
  <pageMargins left="0.51181102362204722" right="0.51181102362204722" top="0.78740157480314965" bottom="0.78740157480314965" header="0.51181102362204722" footer="0.51181102362204722"/>
  <pageSetup paperSize="9" scale="45" firstPageNumber="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9"/>
  <sheetViews>
    <sheetView showGridLines="0" zoomScaleNormal="100" workbookViewId="0">
      <selection activeCell="O9" sqref="O9"/>
    </sheetView>
  </sheetViews>
  <sheetFormatPr defaultRowHeight="15" x14ac:dyDescent="0.25"/>
  <cols>
    <col min="1" max="1" width="5.5703125" style="71" customWidth="1"/>
    <col min="2" max="2" width="64.7109375" style="71" customWidth="1"/>
    <col min="3" max="3" width="7.85546875" style="71" customWidth="1"/>
    <col min="4" max="6" width="13.7109375" style="71" customWidth="1"/>
    <col min="7" max="255" width="9" customWidth="1"/>
    <col min="256" max="256" width="5.5703125" customWidth="1"/>
    <col min="257" max="257" width="45.140625" customWidth="1"/>
    <col min="258" max="258" width="6.28515625" customWidth="1"/>
    <col min="259" max="262" width="13.7109375" customWidth="1"/>
    <col min="263" max="511" width="9" customWidth="1"/>
    <col min="512" max="512" width="5.5703125" customWidth="1"/>
    <col min="513" max="513" width="45.140625" customWidth="1"/>
    <col min="514" max="514" width="6.28515625" customWidth="1"/>
    <col min="515" max="518" width="13.7109375" customWidth="1"/>
    <col min="519" max="767" width="9" customWidth="1"/>
    <col min="768" max="768" width="5.5703125" customWidth="1"/>
    <col min="769" max="769" width="45.140625" customWidth="1"/>
    <col min="770" max="770" width="6.28515625" customWidth="1"/>
    <col min="771" max="774" width="13.7109375" customWidth="1"/>
    <col min="775" max="1025" width="9" customWidth="1"/>
  </cols>
  <sheetData>
    <row r="1" spans="1:6" s="71" customFormat="1" ht="11.25" customHeight="1" x14ac:dyDescent="0.25">
      <c r="A1" s="169"/>
      <c r="B1" s="100" t="str">
        <f>INSTRUÇÕES!B1</f>
        <v>Tribunal Regional Federal da 6ª Região</v>
      </c>
      <c r="C1" s="256"/>
      <c r="D1" s="257"/>
      <c r="E1" s="257"/>
      <c r="F1" s="258"/>
    </row>
    <row r="2" spans="1:6" s="71" customFormat="1" ht="11.25" customHeight="1" x14ac:dyDescent="0.25">
      <c r="A2" s="171"/>
      <c r="B2" s="102" t="str">
        <f>INSTRUÇÕES!B2</f>
        <v>Seção Judiciária de Minas Gerais</v>
      </c>
      <c r="C2" s="259"/>
      <c r="D2" s="260"/>
      <c r="E2" s="260"/>
      <c r="F2" s="261"/>
    </row>
    <row r="3" spans="1:6" s="71" customFormat="1" ht="10.5" customHeight="1" x14ac:dyDescent="0.25">
      <c r="A3" s="173"/>
      <c r="B3" s="102" t="str">
        <f>INSTRUÇÕES!B3</f>
        <v>Subseção Judiciária de Montes Claros</v>
      </c>
      <c r="C3" s="259"/>
      <c r="D3" s="260"/>
      <c r="E3" s="260"/>
      <c r="F3" s="261"/>
    </row>
    <row r="4" spans="1:6" s="71" customFormat="1" ht="21.75" customHeight="1" x14ac:dyDescent="0.2">
      <c r="A4" s="666" t="s">
        <v>461</v>
      </c>
      <c r="B4" s="666"/>
      <c r="C4" s="666"/>
      <c r="D4" s="666"/>
      <c r="E4" s="666"/>
      <c r="F4" s="666"/>
    </row>
    <row r="5" spans="1:6" s="71" customFormat="1" ht="26.25" customHeight="1" x14ac:dyDescent="0.2">
      <c r="A5" s="667" t="s">
        <v>372</v>
      </c>
      <c r="B5" s="667"/>
      <c r="C5" s="667"/>
      <c r="D5" s="667"/>
      <c r="E5" s="667"/>
      <c r="F5" s="667"/>
    </row>
    <row r="6" spans="1:6" s="71" customFormat="1" ht="15.75" x14ac:dyDescent="0.2">
      <c r="A6" s="262"/>
      <c r="B6" s="103"/>
      <c r="C6" s="103"/>
      <c r="D6" s="103" t="s">
        <v>462</v>
      </c>
      <c r="E6" s="103"/>
      <c r="F6" s="263"/>
    </row>
    <row r="7" spans="1:6" s="71" customFormat="1" ht="12.75" x14ac:dyDescent="0.2">
      <c r="A7" s="264" t="s">
        <v>463</v>
      </c>
      <c r="B7" s="219" t="s">
        <v>464</v>
      </c>
      <c r="C7" s="219" t="s">
        <v>465</v>
      </c>
      <c r="D7" s="265" t="s">
        <v>466</v>
      </c>
      <c r="E7" s="265" t="s">
        <v>467</v>
      </c>
      <c r="F7" s="266" t="s">
        <v>468</v>
      </c>
    </row>
    <row r="8" spans="1:6" s="71" customFormat="1" ht="38.25" x14ac:dyDescent="0.2">
      <c r="A8" s="267">
        <v>1</v>
      </c>
      <c r="B8" s="268" t="s">
        <v>469</v>
      </c>
      <c r="C8" s="269">
        <v>3</v>
      </c>
      <c r="D8" s="270">
        <v>50</v>
      </c>
      <c r="E8" s="271">
        <f>ROUND((D8*C8),2)</f>
        <v>150</v>
      </c>
      <c r="F8" s="272">
        <f>ROUND(E8/12,2)</f>
        <v>12.5</v>
      </c>
    </row>
    <row r="9" spans="1:6" s="71" customFormat="1" ht="15.75" customHeight="1" x14ac:dyDescent="0.2">
      <c r="A9" s="668" t="s">
        <v>470</v>
      </c>
      <c r="B9" s="668"/>
      <c r="C9" s="668"/>
      <c r="D9" s="668"/>
      <c r="E9" s="668"/>
      <c r="F9" s="273">
        <f>F8</f>
        <v>12.5</v>
      </c>
    </row>
  </sheetData>
  <mergeCells count="3">
    <mergeCell ref="A4:F4"/>
    <mergeCell ref="A5:F5"/>
    <mergeCell ref="A9:E9"/>
  </mergeCells>
  <printOptions horizontalCentered="1" verticalCentered="1"/>
  <pageMargins left="0.51180555555555496" right="0.51180555555555496" top="0.78749999999999998" bottom="0.78749999999999998" header="0.51180555555555496" footer="0.51180555555555496"/>
  <pageSetup paperSize="9" scale="77" firstPageNumber="0" fitToHeight="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1"/>
  <sheetViews>
    <sheetView showGridLines="0" topLeftCell="A4" zoomScaleNormal="100" workbookViewId="0">
      <selection activeCell="O9" sqref="O9"/>
    </sheetView>
  </sheetViews>
  <sheetFormatPr defaultRowHeight="15" x14ac:dyDescent="0.25"/>
  <cols>
    <col min="1" max="1" width="5.5703125" style="71" customWidth="1"/>
    <col min="2" max="2" width="64.7109375" style="71" customWidth="1"/>
    <col min="3" max="3" width="7.85546875" style="71" customWidth="1"/>
    <col min="4" max="7" width="13.7109375" style="71" customWidth="1"/>
    <col min="8" max="256" width="9" customWidth="1"/>
    <col min="257" max="257" width="5.5703125" customWidth="1"/>
    <col min="258" max="258" width="45.140625" customWidth="1"/>
    <col min="259" max="259" width="6.28515625" customWidth="1"/>
    <col min="260" max="263" width="13.7109375" customWidth="1"/>
    <col min="264" max="512" width="9" customWidth="1"/>
    <col min="513" max="513" width="5.5703125" customWidth="1"/>
    <col min="514" max="514" width="45.140625" customWidth="1"/>
    <col min="515" max="515" width="6.28515625" customWidth="1"/>
    <col min="516" max="519" width="13.7109375" customWidth="1"/>
    <col min="520" max="768" width="9" customWidth="1"/>
    <col min="769" max="769" width="5.5703125" customWidth="1"/>
    <col min="770" max="770" width="45.140625" customWidth="1"/>
    <col min="771" max="771" width="6.28515625" customWidth="1"/>
    <col min="772" max="775" width="13.7109375" customWidth="1"/>
    <col min="776" max="1025" width="9" customWidth="1"/>
  </cols>
  <sheetData>
    <row r="1" spans="1:7" s="71" customFormat="1" ht="11.25" customHeight="1" x14ac:dyDescent="0.25">
      <c r="A1" s="169"/>
      <c r="B1" s="100" t="str">
        <f>INSTRUÇÕES!B1</f>
        <v>Tribunal Regional Federal da 6ª Região</v>
      </c>
      <c r="C1" s="256"/>
      <c r="D1" s="257"/>
      <c r="E1" s="257"/>
      <c r="F1" s="257"/>
      <c r="G1" s="258"/>
    </row>
    <row r="2" spans="1:7" s="71" customFormat="1" ht="11.25" customHeight="1" x14ac:dyDescent="0.25">
      <c r="A2" s="171"/>
      <c r="B2" s="102" t="str">
        <f>INSTRUÇÕES!B2</f>
        <v>Seção Judiciária de Minas Gerais</v>
      </c>
      <c r="C2" s="259"/>
      <c r="D2" s="260"/>
      <c r="E2" s="260"/>
      <c r="F2" s="260"/>
      <c r="G2" s="261"/>
    </row>
    <row r="3" spans="1:7" s="71" customFormat="1" ht="10.5" customHeight="1" x14ac:dyDescent="0.25">
      <c r="A3" s="173"/>
      <c r="B3" s="102" t="str">
        <f>INSTRUÇÕES!B3</f>
        <v>Subseção Judiciária de Montes Claros</v>
      </c>
      <c r="C3" s="259"/>
      <c r="D3" s="260"/>
      <c r="E3" s="260"/>
      <c r="F3" s="260"/>
      <c r="G3" s="261"/>
    </row>
    <row r="4" spans="1:7" s="71" customFormat="1" ht="21.75" customHeight="1" x14ac:dyDescent="0.2">
      <c r="A4" s="666" t="s">
        <v>471</v>
      </c>
      <c r="B4" s="666"/>
      <c r="C4" s="666"/>
      <c r="D4" s="666"/>
      <c r="E4" s="666"/>
      <c r="F4" s="666"/>
      <c r="G4" s="666"/>
    </row>
    <row r="5" spans="1:7" s="71" customFormat="1" ht="26.25" customHeight="1" x14ac:dyDescent="0.2">
      <c r="A5" s="667" t="s">
        <v>372</v>
      </c>
      <c r="B5" s="667"/>
      <c r="C5" s="667"/>
      <c r="D5" s="667"/>
      <c r="E5" s="667"/>
      <c r="F5" s="667"/>
      <c r="G5" s="667"/>
    </row>
    <row r="6" spans="1:7" s="71" customFormat="1" ht="15.75" x14ac:dyDescent="0.2">
      <c r="A6" s="262"/>
      <c r="B6" s="103"/>
      <c r="C6" s="103"/>
      <c r="D6" s="103" t="s">
        <v>462</v>
      </c>
      <c r="E6" s="103"/>
      <c r="G6" s="263">
        <v>0.1</v>
      </c>
    </row>
    <row r="7" spans="1:7" s="71" customFormat="1" ht="25.5" x14ac:dyDescent="0.2">
      <c r="A7" s="264" t="s">
        <v>463</v>
      </c>
      <c r="B7" s="219" t="s">
        <v>464</v>
      </c>
      <c r="C7" s="219" t="s">
        <v>465</v>
      </c>
      <c r="D7" s="265" t="s">
        <v>466</v>
      </c>
      <c r="E7" s="265" t="s">
        <v>467</v>
      </c>
      <c r="F7" s="265" t="s">
        <v>472</v>
      </c>
      <c r="G7" s="266" t="s">
        <v>468</v>
      </c>
    </row>
    <row r="8" spans="1:7" s="71" customFormat="1" ht="12.75" x14ac:dyDescent="0.2">
      <c r="A8" s="669" t="s">
        <v>473</v>
      </c>
      <c r="B8" s="669"/>
      <c r="C8" s="669"/>
      <c r="D8" s="669"/>
      <c r="E8" s="669"/>
      <c r="F8" s="669"/>
      <c r="G8" s="669"/>
    </row>
    <row r="9" spans="1:7" s="71" customFormat="1" ht="38.25" x14ac:dyDescent="0.2">
      <c r="A9" s="267">
        <v>1</v>
      </c>
      <c r="B9" s="77" t="s">
        <v>474</v>
      </c>
      <c r="C9" s="269">
        <v>1</v>
      </c>
      <c r="D9" s="274">
        <v>660</v>
      </c>
      <c r="E9" s="271">
        <f>ROUND((D9*C9),2)</f>
        <v>660</v>
      </c>
      <c r="F9" s="271">
        <f>ROUND(E9*$G$6,2)</f>
        <v>66</v>
      </c>
      <c r="G9" s="272">
        <f>ROUND(F9/12,2)</f>
        <v>5.5</v>
      </c>
    </row>
    <row r="10" spans="1:7" s="71" customFormat="1" ht="12.75" x14ac:dyDescent="0.2">
      <c r="A10" s="267"/>
      <c r="B10" s="77"/>
      <c r="C10" s="269"/>
      <c r="D10" s="275"/>
      <c r="E10" s="271"/>
      <c r="F10" s="271"/>
      <c r="G10" s="272"/>
    </row>
    <row r="11" spans="1:7" s="71" customFormat="1" ht="15.75" customHeight="1" x14ac:dyDescent="0.2">
      <c r="A11" s="670" t="s">
        <v>475</v>
      </c>
      <c r="B11" s="670"/>
      <c r="C11" s="670"/>
      <c r="D11" s="670"/>
      <c r="E11" s="670"/>
      <c r="F11" s="670"/>
      <c r="G11" s="273">
        <f>SUM(G9:G10)</f>
        <v>5.5</v>
      </c>
    </row>
  </sheetData>
  <mergeCells count="4">
    <mergeCell ref="A4:G4"/>
    <mergeCell ref="A5:G5"/>
    <mergeCell ref="A8:G8"/>
    <mergeCell ref="A11:F11"/>
  </mergeCells>
  <printOptions horizontalCentered="1" verticalCentered="1"/>
  <pageMargins left="0.51180555555555496" right="0.51180555555555496" top="0.78749999999999998" bottom="0.78749999999999998" header="0.51180555555555496" footer="0.51180555555555496"/>
  <pageSetup paperSize="9" scale="69" firstPageNumber="0" fitToHeight="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34"/>
  <sheetViews>
    <sheetView showGridLines="0" topLeftCell="A24" zoomScale="70" zoomScaleNormal="70" workbookViewId="0">
      <selection activeCell="O9" sqref="O9"/>
    </sheetView>
  </sheetViews>
  <sheetFormatPr defaultRowHeight="15" x14ac:dyDescent="0.25"/>
  <cols>
    <col min="1" max="1" width="13.28515625" style="4" customWidth="1"/>
    <col min="2" max="2" width="7.7109375" style="3" customWidth="1"/>
    <col min="3" max="3" width="6.140625" style="276" customWidth="1"/>
    <col min="4" max="4" width="56.140625" style="277" customWidth="1"/>
    <col min="5" max="5" width="9.28515625" style="2" customWidth="1"/>
    <col min="6" max="6" width="14.85546875" style="276" customWidth="1"/>
    <col min="7" max="7" width="12.42578125" style="278" customWidth="1"/>
    <col min="8" max="8" width="10.85546875" style="279" customWidth="1"/>
    <col min="9" max="9" width="9" customWidth="1"/>
    <col min="10" max="10" width="16.42578125" style="280" hidden="1" customWidth="1"/>
    <col min="11" max="15" width="11.28515625" style="280" hidden="1" customWidth="1"/>
    <col min="16" max="254" width="9" customWidth="1"/>
    <col min="255" max="255" width="13.28515625" customWidth="1"/>
    <col min="256" max="256" width="7.7109375" customWidth="1"/>
    <col min="257" max="257" width="6.140625" customWidth="1"/>
    <col min="258" max="258" width="56.140625" customWidth="1"/>
    <col min="259" max="259" width="9.28515625" customWidth="1"/>
    <col min="260" max="261" width="12.42578125" customWidth="1"/>
    <col min="262" max="262" width="10.85546875" customWidth="1"/>
    <col min="263" max="265" width="9" customWidth="1"/>
    <col min="266" max="266" width="11.42578125"/>
    <col min="267" max="271" width="11.28515625" customWidth="1"/>
    <col min="272" max="510" width="9" customWidth="1"/>
    <col min="511" max="511" width="13.28515625" customWidth="1"/>
    <col min="512" max="512" width="7.7109375" customWidth="1"/>
    <col min="513" max="513" width="6.140625" customWidth="1"/>
    <col min="514" max="514" width="56.140625" customWidth="1"/>
    <col min="515" max="515" width="9.28515625" customWidth="1"/>
    <col min="516" max="517" width="12.42578125" customWidth="1"/>
    <col min="518" max="518" width="10.85546875" customWidth="1"/>
    <col min="519" max="521" width="9" customWidth="1"/>
    <col min="522" max="522" width="11.42578125"/>
    <col min="523" max="527" width="11.28515625" customWidth="1"/>
    <col min="528" max="766" width="9" customWidth="1"/>
    <col min="767" max="767" width="13.28515625" customWidth="1"/>
    <col min="768" max="768" width="7.7109375" customWidth="1"/>
    <col min="769" max="769" width="6.140625" customWidth="1"/>
    <col min="770" max="770" width="56.140625" customWidth="1"/>
    <col min="771" max="771" width="9.28515625" customWidth="1"/>
    <col min="772" max="773" width="12.42578125" customWidth="1"/>
    <col min="774" max="774" width="10.85546875" customWidth="1"/>
    <col min="775" max="777" width="9" customWidth="1"/>
    <col min="778" max="778" width="11.42578125"/>
    <col min="779" max="783" width="11.28515625" customWidth="1"/>
    <col min="784" max="1022" width="9" customWidth="1"/>
    <col min="1023" max="1023" width="13.28515625" customWidth="1"/>
    <col min="1024" max="1025" width="7.7109375" customWidth="1"/>
  </cols>
  <sheetData>
    <row r="1" spans="1:16" s="2" customFormat="1" ht="12.75" customHeight="1" x14ac:dyDescent="0.25">
      <c r="A1" s="281"/>
      <c r="B1" s="282" t="str">
        <f>INSTRUÇÕES!B1</f>
        <v>Tribunal Regional Federal da 6ª Região</v>
      </c>
      <c r="C1" s="283"/>
      <c r="D1" s="284"/>
      <c r="E1" s="285"/>
      <c r="F1" s="286"/>
      <c r="G1" s="287"/>
      <c r="H1" s="288"/>
      <c r="J1" s="677" t="s">
        <v>373</v>
      </c>
      <c r="K1" s="677"/>
      <c r="L1" s="677"/>
      <c r="M1" s="677"/>
      <c r="N1" s="677"/>
      <c r="O1" s="677"/>
    </row>
    <row r="2" spans="1:16" s="2" customFormat="1" ht="12.75" customHeight="1" x14ac:dyDescent="0.25">
      <c r="A2" s="289"/>
      <c r="B2" s="290" t="str">
        <f>INSTRUÇÕES!B2</f>
        <v>Seção Judiciária de Minas Gerais</v>
      </c>
      <c r="C2" s="291"/>
      <c r="D2" s="292"/>
      <c r="F2" s="276"/>
      <c r="G2" s="278"/>
      <c r="H2" s="293"/>
      <c r="J2" s="677"/>
      <c r="K2" s="677"/>
      <c r="L2" s="677"/>
      <c r="M2" s="677"/>
      <c r="N2" s="677"/>
      <c r="O2" s="677"/>
    </row>
    <row r="3" spans="1:16" s="120" customFormat="1" x14ac:dyDescent="0.2">
      <c r="A3" s="289"/>
      <c r="B3" s="294" t="str">
        <f>INSTRUÇÕES!B3</f>
        <v>Subseção Judiciária de Montes Claros</v>
      </c>
      <c r="C3" s="295"/>
      <c r="D3" s="292"/>
      <c r="F3" s="296"/>
      <c r="G3" s="297"/>
      <c r="H3" s="298"/>
      <c r="J3" s="677"/>
      <c r="K3" s="677"/>
      <c r="L3" s="677"/>
      <c r="M3" s="677"/>
      <c r="N3" s="677"/>
      <c r="O3" s="677"/>
    </row>
    <row r="4" spans="1:16" s="260" customFormat="1" ht="15.75" x14ac:dyDescent="0.25">
      <c r="A4" s="678" t="s">
        <v>476</v>
      </c>
      <c r="B4" s="678"/>
      <c r="C4" s="678"/>
      <c r="D4" s="678"/>
      <c r="E4" s="678"/>
      <c r="F4" s="678"/>
      <c r="G4" s="678"/>
      <c r="H4" s="678"/>
      <c r="J4" s="677"/>
      <c r="K4" s="677"/>
      <c r="L4" s="677"/>
      <c r="M4" s="677"/>
      <c r="N4" s="677"/>
      <c r="O4" s="677"/>
    </row>
    <row r="5" spans="1:16" s="2" customFormat="1" ht="27" customHeight="1" x14ac:dyDescent="0.25">
      <c r="A5" s="679" t="s">
        <v>372</v>
      </c>
      <c r="B5" s="679"/>
      <c r="C5" s="679"/>
      <c r="D5" s="679"/>
      <c r="E5" s="679"/>
      <c r="F5" s="679"/>
      <c r="G5" s="679"/>
      <c r="H5" s="679"/>
      <c r="J5" s="680" t="s">
        <v>380</v>
      </c>
      <c r="K5" s="594" t="s">
        <v>280</v>
      </c>
      <c r="L5" s="594" t="s">
        <v>281</v>
      </c>
      <c r="M5" s="594" t="s">
        <v>282</v>
      </c>
      <c r="N5" s="594" t="s">
        <v>283</v>
      </c>
      <c r="O5" s="594" t="s">
        <v>284</v>
      </c>
    </row>
    <row r="6" spans="1:16" s="2" customFormat="1" ht="15.75" customHeight="1" x14ac:dyDescent="0.25">
      <c r="A6" s="681" t="s">
        <v>477</v>
      </c>
      <c r="B6" s="681"/>
      <c r="C6" s="681"/>
      <c r="D6" s="681"/>
      <c r="E6" s="681"/>
      <c r="F6" s="681"/>
      <c r="G6" s="681"/>
      <c r="H6" s="681"/>
      <c r="J6" s="680"/>
      <c r="K6" s="594"/>
      <c r="L6" s="594"/>
      <c r="M6" s="594"/>
      <c r="N6" s="594"/>
      <c r="O6" s="594"/>
    </row>
    <row r="7" spans="1:16" s="2" customFormat="1" ht="15.75" customHeight="1" x14ac:dyDescent="0.25">
      <c r="A7" s="299"/>
      <c r="B7" s="300"/>
      <c r="C7" s="301"/>
      <c r="D7" s="302"/>
      <c r="E7" s="300"/>
      <c r="F7" s="301"/>
      <c r="G7" s="303"/>
      <c r="H7" s="304"/>
      <c r="J7" s="680"/>
      <c r="K7" s="594"/>
      <c r="L7" s="594"/>
      <c r="M7" s="594"/>
      <c r="N7" s="594"/>
      <c r="O7" s="594"/>
    </row>
    <row r="8" spans="1:16" s="2" customFormat="1" ht="25.5" x14ac:dyDescent="0.25">
      <c r="A8" s="305" t="s">
        <v>478</v>
      </c>
      <c r="B8" s="306" t="s">
        <v>258</v>
      </c>
      <c r="C8" s="307" t="s">
        <v>479</v>
      </c>
      <c r="D8" s="308" t="s">
        <v>480</v>
      </c>
      <c r="E8" s="309" t="s">
        <v>481</v>
      </c>
      <c r="F8" s="310" t="s">
        <v>482</v>
      </c>
      <c r="G8" s="311" t="s">
        <v>483</v>
      </c>
      <c r="H8" s="312" t="s">
        <v>200</v>
      </c>
      <c r="J8" s="680"/>
      <c r="K8" s="594"/>
      <c r="L8" s="594"/>
      <c r="M8" s="594"/>
      <c r="N8" s="594"/>
      <c r="O8" s="594"/>
      <c r="P8" s="165"/>
    </row>
    <row r="9" spans="1:16" s="120" customFormat="1" ht="61.9" customHeight="1" x14ac:dyDescent="0.2">
      <c r="A9" s="313" t="s">
        <v>484</v>
      </c>
      <c r="B9" s="39" t="s">
        <v>485</v>
      </c>
      <c r="C9" s="314">
        <v>2</v>
      </c>
      <c r="D9" s="315" t="s">
        <v>486</v>
      </c>
      <c r="E9" s="78" t="s">
        <v>487</v>
      </c>
      <c r="F9" s="316">
        <f>C9*$A$11</f>
        <v>6</v>
      </c>
      <c r="G9" s="317">
        <v>70</v>
      </c>
      <c r="H9" s="318">
        <f>ROUND(F9*G9,2)</f>
        <v>420</v>
      </c>
      <c r="J9" s="319">
        <v>25.8</v>
      </c>
      <c r="K9" s="39">
        <f>ROUND(IF(Dados!$I$61="SIM",J9*Dados!$N$61,J9),2)</f>
        <v>25.8</v>
      </c>
      <c r="L9" s="39">
        <f>ROUND(IF(Dados!$I$62="SIM",K9*Dados!$N$62,K9),2)</f>
        <v>25.8</v>
      </c>
      <c r="M9" s="39">
        <f>ROUND(IF(Dados!$I$63="SIM",L9*Dados!$N$63,L9),2)</f>
        <v>25.8</v>
      </c>
      <c r="N9" s="39">
        <f>ROUND(IF(Dados!$I$64="SIM",M9*Dados!$N$64,M9),2)</f>
        <v>25.8</v>
      </c>
      <c r="O9" s="39">
        <f>ROUND(IF(Dados!$I$65="SIM",N9*Dados!$N$65,N9),2)</f>
        <v>25.8</v>
      </c>
    </row>
    <row r="10" spans="1:16" s="120" customFormat="1" ht="51" x14ac:dyDescent="0.2">
      <c r="A10" s="225" t="s">
        <v>488</v>
      </c>
      <c r="B10" s="39" t="s">
        <v>489</v>
      </c>
      <c r="C10" s="314">
        <v>3</v>
      </c>
      <c r="D10" s="315" t="s">
        <v>490</v>
      </c>
      <c r="E10" s="78" t="s">
        <v>491</v>
      </c>
      <c r="F10" s="316">
        <f>C10*$A$11</f>
        <v>9</v>
      </c>
      <c r="G10" s="317">
        <v>39</v>
      </c>
      <c r="H10" s="318">
        <f>ROUND(F10*G10,2)</f>
        <v>351</v>
      </c>
      <c r="J10" s="319">
        <v>19.989999999999998</v>
      </c>
      <c r="K10" s="39">
        <f>ROUND(IF(Dados!$I$61="SIM",J10*Dados!$N$61,J10),2)</f>
        <v>19.989999999999998</v>
      </c>
      <c r="L10" s="39">
        <f>ROUND(IF(Dados!$I$62="SIM",K10*Dados!$N$62,K10),2)</f>
        <v>19.989999999999998</v>
      </c>
      <c r="M10" s="39">
        <f>ROUND(IF(Dados!$I$63="SIM",L10*Dados!$N$63,L10),2)</f>
        <v>19.989999999999998</v>
      </c>
      <c r="N10" s="39">
        <f>ROUND(IF(Dados!$I$64="SIM",M10*Dados!$N$64,M10),2)</f>
        <v>19.989999999999998</v>
      </c>
      <c r="O10" s="39">
        <f>ROUND(IF(Dados!$I$65="SIM",N10*Dados!$N$65,N10),2)</f>
        <v>19.989999999999998</v>
      </c>
    </row>
    <row r="11" spans="1:16" s="120" customFormat="1" ht="38.25" x14ac:dyDescent="0.2">
      <c r="A11" s="320">
        <f>Dados!B7+Dados!B8+Dados!B9</f>
        <v>3</v>
      </c>
      <c r="B11" s="42" t="s">
        <v>492</v>
      </c>
      <c r="C11" s="314">
        <v>1</v>
      </c>
      <c r="D11" s="315" t="s">
        <v>493</v>
      </c>
      <c r="E11" s="78" t="s">
        <v>487</v>
      </c>
      <c r="F11" s="316">
        <f>C11*$A$11</f>
        <v>3</v>
      </c>
      <c r="G11" s="317">
        <v>69</v>
      </c>
      <c r="H11" s="318">
        <f>ROUND(F11*G11,2)</f>
        <v>207</v>
      </c>
      <c r="J11" s="319">
        <v>39.9</v>
      </c>
      <c r="K11" s="39">
        <f>ROUND(IF(Dados!$I$61="SIM",J11*Dados!$N$61,J11),2)</f>
        <v>39.9</v>
      </c>
      <c r="L11" s="39">
        <f>ROUND(IF(Dados!$I$62="SIM",K11*Dados!$N$62,K11),2)</f>
        <v>39.9</v>
      </c>
      <c r="M11" s="39">
        <f>ROUND(IF(Dados!$I$63="SIM",L11*Dados!$N$63,L11),2)</f>
        <v>39.9</v>
      </c>
      <c r="N11" s="39">
        <f>ROUND(IF(Dados!$I$64="SIM",M11*Dados!$N$64,M11),2)</f>
        <v>39.9</v>
      </c>
      <c r="O11" s="39">
        <f>ROUND(IF(Dados!$I$65="SIM",N11*Dados!$N$65,N11),2)</f>
        <v>39.9</v>
      </c>
    </row>
    <row r="12" spans="1:16" s="120" customFormat="1" x14ac:dyDescent="0.25">
      <c r="A12" s="675" t="s">
        <v>494</v>
      </c>
      <c r="B12" s="675"/>
      <c r="C12" s="675"/>
      <c r="D12" s="675"/>
      <c r="E12" s="675"/>
      <c r="F12" s="675"/>
      <c r="G12" s="675"/>
      <c r="H12" s="321">
        <f>SUM(H9:H11)</f>
        <v>978</v>
      </c>
      <c r="J12" s="4"/>
      <c r="K12" s="4"/>
      <c r="L12" s="4"/>
      <c r="M12" s="4"/>
      <c r="N12" s="4"/>
      <c r="O12" s="4"/>
    </row>
    <row r="13" spans="1:16" s="120" customFormat="1" ht="15.75" x14ac:dyDescent="0.25">
      <c r="A13" s="672" t="s">
        <v>495</v>
      </c>
      <c r="B13" s="672"/>
      <c r="C13" s="672"/>
      <c r="D13" s="672"/>
      <c r="E13" s="672"/>
      <c r="F13" s="672"/>
      <c r="G13" s="322"/>
      <c r="H13" s="323">
        <f>ROUND(H12/$A$11/12,2)</f>
        <v>27.17</v>
      </c>
      <c r="J13" s="4"/>
      <c r="K13" s="4"/>
      <c r="L13" s="4"/>
      <c r="M13" s="4"/>
      <c r="N13" s="4"/>
      <c r="O13" s="4"/>
    </row>
    <row r="14" spans="1:16" s="120" customFormat="1" x14ac:dyDescent="0.2">
      <c r="A14" s="324"/>
      <c r="B14" s="63"/>
      <c r="C14" s="325"/>
      <c r="D14" s="326"/>
      <c r="E14" s="327"/>
      <c r="F14" s="325"/>
      <c r="G14" s="328"/>
      <c r="H14" s="329"/>
      <c r="J14" s="4"/>
      <c r="K14" s="4"/>
      <c r="L14" s="4"/>
      <c r="M14" s="4"/>
      <c r="N14" s="4"/>
      <c r="O14" s="4"/>
    </row>
    <row r="15" spans="1:16" s="120" customFormat="1" ht="33.6" customHeight="1" x14ac:dyDescent="0.2">
      <c r="A15" s="305" t="s">
        <v>478</v>
      </c>
      <c r="B15" s="306" t="s">
        <v>258</v>
      </c>
      <c r="C15" s="307" t="s">
        <v>479</v>
      </c>
      <c r="D15" s="308" t="s">
        <v>480</v>
      </c>
      <c r="E15" s="309" t="s">
        <v>481</v>
      </c>
      <c r="F15" s="310" t="s">
        <v>482</v>
      </c>
      <c r="G15" s="311" t="s">
        <v>483</v>
      </c>
      <c r="H15" s="312" t="s">
        <v>200</v>
      </c>
      <c r="J15" s="330" t="s">
        <v>380</v>
      </c>
      <c r="K15" s="331" t="s">
        <v>280</v>
      </c>
      <c r="L15" s="331" t="s">
        <v>281</v>
      </c>
      <c r="M15" s="331" t="s">
        <v>282</v>
      </c>
      <c r="N15" s="331" t="s">
        <v>283</v>
      </c>
      <c r="O15" s="331" t="s">
        <v>284</v>
      </c>
    </row>
    <row r="16" spans="1:16" s="120" customFormat="1" ht="82.9" customHeight="1" x14ac:dyDescent="0.2">
      <c r="A16" s="676" t="s">
        <v>496</v>
      </c>
      <c r="B16" s="39" t="s">
        <v>497</v>
      </c>
      <c r="C16" s="314">
        <v>1</v>
      </c>
      <c r="D16" s="315" t="s">
        <v>498</v>
      </c>
      <c r="E16" s="78" t="s">
        <v>499</v>
      </c>
      <c r="F16" s="316">
        <f>C16*A19</f>
        <v>1</v>
      </c>
      <c r="G16" s="317">
        <v>23</v>
      </c>
      <c r="H16" s="318">
        <f>ROUND(F16*G16,2)</f>
        <v>23</v>
      </c>
      <c r="J16" s="319">
        <v>29.9</v>
      </c>
      <c r="K16" s="39">
        <f>ROUND(IF(Dados!$I$61="SIM",J16*Dados!$N$61,J16),2)</f>
        <v>29.9</v>
      </c>
      <c r="L16" s="39">
        <f>ROUND(IF(Dados!$I$62="SIM",K16*Dados!$N$62,K16),2)</f>
        <v>29.9</v>
      </c>
      <c r="M16" s="39">
        <f>ROUND(IF(Dados!$I$63="SIM",L16*Dados!$N$63,L16),2)</f>
        <v>29.9</v>
      </c>
      <c r="N16" s="39">
        <f>ROUND(IF(Dados!$I$64="SIM",M16*Dados!$N$64,M16),2)</f>
        <v>29.9</v>
      </c>
      <c r="O16" s="39">
        <f>ROUND(IF(Dados!$I$65="SIM",N16*Dados!$N$65,N16),2)</f>
        <v>29.9</v>
      </c>
    </row>
    <row r="17" spans="1:15" s="120" customFormat="1" ht="28.5" customHeight="1" x14ac:dyDescent="0.2">
      <c r="A17" s="676"/>
      <c r="B17" s="332" t="s">
        <v>500</v>
      </c>
      <c r="C17" s="333">
        <v>1</v>
      </c>
      <c r="D17" s="315" t="s">
        <v>501</v>
      </c>
      <c r="E17" s="228" t="s">
        <v>491</v>
      </c>
      <c r="F17" s="316">
        <f>C17*A19</f>
        <v>1</v>
      </c>
      <c r="G17" s="317">
        <v>55</v>
      </c>
      <c r="H17" s="318">
        <f>ROUND(F17*G17,2)</f>
        <v>55</v>
      </c>
      <c r="J17" s="319"/>
      <c r="K17" s="39"/>
      <c r="L17" s="39"/>
      <c r="M17" s="39"/>
      <c r="N17" s="39"/>
      <c r="O17" s="39"/>
    </row>
    <row r="18" spans="1:15" s="120" customFormat="1" ht="29.45" customHeight="1" x14ac:dyDescent="0.25">
      <c r="A18" s="334" t="s">
        <v>488</v>
      </c>
      <c r="B18" s="332" t="s">
        <v>502</v>
      </c>
      <c r="C18" s="333">
        <v>2</v>
      </c>
      <c r="D18" s="335" t="s">
        <v>503</v>
      </c>
      <c r="E18" s="332" t="s">
        <v>499</v>
      </c>
      <c r="F18" s="316">
        <f>C18*A19</f>
        <v>2</v>
      </c>
      <c r="G18" s="317">
        <v>12</v>
      </c>
      <c r="H18" s="318">
        <f>ROUND(F18*G18,2)</f>
        <v>24</v>
      </c>
      <c r="J18" s="319">
        <v>5.5</v>
      </c>
      <c r="K18" s="39">
        <f>ROUND(IF(Dados!$I$61="SIM",J18*Dados!$N$61,J18),2)</f>
        <v>5.5</v>
      </c>
      <c r="L18" s="39">
        <f>ROUND(IF(Dados!$I$62="SIM",K18*Dados!$N$62,K18),2)</f>
        <v>5.5</v>
      </c>
      <c r="M18" s="39">
        <f>ROUND(IF(Dados!$I$63="SIM",L18*Dados!$N$63,L18),2)</f>
        <v>5.5</v>
      </c>
      <c r="N18" s="39">
        <f>ROUND(IF(Dados!$I$64="SIM",M18*Dados!$N$64,M18),2)</f>
        <v>5.5</v>
      </c>
      <c r="O18" s="39">
        <f>ROUND(IF(Dados!$I$65="SIM",N18*Dados!$N$65,N18),2)</f>
        <v>5.5</v>
      </c>
    </row>
    <row r="19" spans="1:15" s="120" customFormat="1" ht="36" customHeight="1" x14ac:dyDescent="0.25">
      <c r="A19" s="336">
        <f>Dados!B8</f>
        <v>1</v>
      </c>
      <c r="B19" s="671" t="s">
        <v>494</v>
      </c>
      <c r="C19" s="671"/>
      <c r="D19" s="671"/>
      <c r="E19" s="671"/>
      <c r="F19" s="671"/>
      <c r="G19" s="671"/>
      <c r="H19" s="337">
        <f>SUM(H16:H18)</f>
        <v>102</v>
      </c>
      <c r="J19" s="4"/>
      <c r="K19" s="4"/>
      <c r="L19" s="4"/>
      <c r="M19" s="4"/>
      <c r="N19" s="4"/>
      <c r="O19" s="4"/>
    </row>
    <row r="20" spans="1:15" s="120" customFormat="1" ht="15.75" x14ac:dyDescent="0.25">
      <c r="A20" s="672" t="s">
        <v>504</v>
      </c>
      <c r="B20" s="672"/>
      <c r="C20" s="672"/>
      <c r="D20" s="672"/>
      <c r="E20" s="672"/>
      <c r="F20" s="672"/>
      <c r="G20" s="322"/>
      <c r="H20" s="323">
        <f>ROUND(H19/A19/12,2)</f>
        <v>8.5</v>
      </c>
      <c r="J20" s="4"/>
      <c r="K20" s="4"/>
      <c r="L20" s="4"/>
      <c r="M20" s="4"/>
      <c r="N20" s="4"/>
      <c r="O20" s="4"/>
    </row>
    <row r="21" spans="1:15" s="120" customFormat="1" ht="15.75" x14ac:dyDescent="0.25">
      <c r="A21" s="262"/>
      <c r="B21" s="338"/>
      <c r="C21" s="339"/>
      <c r="D21" s="340"/>
      <c r="E21" s="338"/>
      <c r="F21" s="339"/>
      <c r="G21" s="341"/>
      <c r="H21" s="342"/>
      <c r="J21" s="4"/>
      <c r="K21" s="4"/>
      <c r="L21" s="4"/>
      <c r="M21" s="4"/>
      <c r="N21" s="4"/>
      <c r="O21" s="4"/>
    </row>
    <row r="22" spans="1:15" s="120" customFormat="1" ht="63.75" x14ac:dyDescent="0.2">
      <c r="A22" s="305" t="s">
        <v>478</v>
      </c>
      <c r="B22" s="306" t="s">
        <v>258</v>
      </c>
      <c r="C22" s="307" t="s">
        <v>479</v>
      </c>
      <c r="D22" s="308" t="s">
        <v>480</v>
      </c>
      <c r="E22" s="309" t="s">
        <v>481</v>
      </c>
      <c r="F22" s="310" t="s">
        <v>482</v>
      </c>
      <c r="G22" s="343" t="s">
        <v>483</v>
      </c>
      <c r="H22" s="312" t="s">
        <v>200</v>
      </c>
      <c r="J22" s="330" t="s">
        <v>380</v>
      </c>
      <c r="K22" s="331" t="s">
        <v>280</v>
      </c>
      <c r="L22" s="331" t="s">
        <v>281</v>
      </c>
      <c r="M22" s="331" t="s">
        <v>282</v>
      </c>
      <c r="N22" s="331" t="s">
        <v>283</v>
      </c>
      <c r="O22" s="331" t="s">
        <v>284</v>
      </c>
    </row>
    <row r="23" spans="1:15" s="120" customFormat="1" ht="280.5" x14ac:dyDescent="0.2">
      <c r="A23" s="313" t="s">
        <v>196</v>
      </c>
      <c r="B23" s="39" t="s">
        <v>485</v>
      </c>
      <c r="C23" s="314">
        <v>2</v>
      </c>
      <c r="D23" s="344" t="s">
        <v>505</v>
      </c>
      <c r="E23" s="78" t="s">
        <v>487</v>
      </c>
      <c r="F23" s="316">
        <f>C23*$A$25</f>
        <v>2</v>
      </c>
      <c r="G23" s="317">
        <v>85</v>
      </c>
      <c r="H23" s="318">
        <f>ROUND(F23*G23,2)</f>
        <v>170</v>
      </c>
      <c r="J23" s="319">
        <v>39.9</v>
      </c>
      <c r="K23" s="39">
        <f>ROUND(IF(Dados!$I$61="SIM",J23*Dados!$N$61,J23),2)</f>
        <v>39.9</v>
      </c>
      <c r="L23" s="39">
        <f>ROUND(IF(Dados!$I$62="SIM",K23*Dados!$N$62,K23),2)</f>
        <v>39.9</v>
      </c>
      <c r="M23" s="39">
        <f>ROUND(IF(Dados!$I$63="SIM",L23*Dados!$N$63,L23),2)</f>
        <v>39.9</v>
      </c>
      <c r="N23" s="39">
        <f>ROUND(IF(Dados!$I$64="SIM",M23*Dados!$N$64,M23),2)</f>
        <v>39.9</v>
      </c>
      <c r="O23" s="39">
        <f>ROUND(IF(Dados!$I$65="SIM",N23*Dados!$N$65,N23),2)</f>
        <v>39.9</v>
      </c>
    </row>
    <row r="24" spans="1:15" s="120" customFormat="1" ht="306" x14ac:dyDescent="0.2">
      <c r="A24" s="225" t="s">
        <v>488</v>
      </c>
      <c r="B24" s="39" t="s">
        <v>489</v>
      </c>
      <c r="C24" s="314">
        <v>3</v>
      </c>
      <c r="D24" s="308" t="s">
        <v>506</v>
      </c>
      <c r="E24" s="78" t="s">
        <v>507</v>
      </c>
      <c r="F24" s="316">
        <f>C24*$A$25</f>
        <v>3</v>
      </c>
      <c r="G24" s="317">
        <v>75</v>
      </c>
      <c r="H24" s="318">
        <f>ROUND(F24*G24,2)</f>
        <v>225</v>
      </c>
      <c r="J24" s="319"/>
      <c r="K24" s="39"/>
      <c r="L24" s="39"/>
      <c r="M24" s="39"/>
      <c r="N24" s="39"/>
      <c r="O24" s="39"/>
    </row>
    <row r="25" spans="1:15" s="120" customFormat="1" ht="87.6" customHeight="1" x14ac:dyDescent="0.2">
      <c r="A25" s="345">
        <f>Dados!B10</f>
        <v>1</v>
      </c>
      <c r="B25" s="39" t="s">
        <v>492</v>
      </c>
      <c r="C25" s="314">
        <v>1</v>
      </c>
      <c r="D25" s="308" t="s">
        <v>508</v>
      </c>
      <c r="E25" s="78" t="s">
        <v>487</v>
      </c>
      <c r="F25" s="316">
        <f>C25*$A$25</f>
        <v>1</v>
      </c>
      <c r="G25" s="317">
        <v>100</v>
      </c>
      <c r="H25" s="318">
        <f>ROUND(F25*G25,2)</f>
        <v>100</v>
      </c>
      <c r="J25" s="319"/>
      <c r="K25" s="39"/>
      <c r="L25" s="39"/>
      <c r="M25" s="39"/>
      <c r="N25" s="39"/>
      <c r="O25" s="39"/>
    </row>
    <row r="26" spans="1:15" s="120" customFormat="1" ht="36" customHeight="1" x14ac:dyDescent="0.25">
      <c r="A26" s="671" t="s">
        <v>494</v>
      </c>
      <c r="B26" s="671"/>
      <c r="C26" s="671"/>
      <c r="D26" s="671"/>
      <c r="E26" s="671"/>
      <c r="F26" s="671"/>
      <c r="G26" s="671"/>
      <c r="H26" s="346">
        <f>SUM(H23:H25)</f>
        <v>495</v>
      </c>
      <c r="J26" s="4"/>
      <c r="K26" s="4"/>
      <c r="L26" s="4"/>
      <c r="M26" s="4"/>
      <c r="N26" s="4"/>
      <c r="O26" s="4"/>
    </row>
    <row r="27" spans="1:15" s="120" customFormat="1" ht="15.75" x14ac:dyDescent="0.25">
      <c r="A27" s="672" t="s">
        <v>650</v>
      </c>
      <c r="B27" s="672"/>
      <c r="C27" s="672"/>
      <c r="D27" s="672"/>
      <c r="E27" s="672"/>
      <c r="F27" s="672"/>
      <c r="G27" s="322"/>
      <c r="H27" s="323">
        <f>ROUND(H26/A25/12,2)</f>
        <v>41.25</v>
      </c>
      <c r="J27" s="4"/>
      <c r="K27" s="4"/>
      <c r="L27" s="4"/>
      <c r="M27" s="4"/>
      <c r="N27" s="4"/>
      <c r="O27" s="4"/>
    </row>
    <row r="28" spans="1:15" s="120" customFormat="1" ht="15.75" x14ac:dyDescent="0.25">
      <c r="A28" s="673"/>
      <c r="B28" s="673"/>
      <c r="C28" s="673"/>
      <c r="D28" s="673"/>
      <c r="E28" s="673"/>
      <c r="F28" s="673"/>
      <c r="G28" s="673"/>
      <c r="H28" s="673"/>
      <c r="J28" s="4"/>
      <c r="K28" s="4"/>
      <c r="L28" s="4"/>
      <c r="M28" s="4"/>
      <c r="N28" s="4"/>
      <c r="O28" s="4"/>
    </row>
    <row r="29" spans="1:15" ht="63.75" x14ac:dyDescent="0.25">
      <c r="A29" s="305" t="s">
        <v>478</v>
      </c>
      <c r="B29" s="306" t="s">
        <v>258</v>
      </c>
      <c r="C29" s="307" t="s">
        <v>479</v>
      </c>
      <c r="D29" s="308" t="s">
        <v>480</v>
      </c>
      <c r="E29" s="309" t="s">
        <v>481</v>
      </c>
      <c r="F29" s="310" t="s">
        <v>482</v>
      </c>
      <c r="G29" s="343" t="s">
        <v>483</v>
      </c>
      <c r="H29" s="312" t="s">
        <v>200</v>
      </c>
      <c r="J29" s="330" t="s">
        <v>380</v>
      </c>
      <c r="K29" s="331" t="s">
        <v>280</v>
      </c>
      <c r="L29" s="331" t="s">
        <v>281</v>
      </c>
      <c r="M29" s="331" t="s">
        <v>282</v>
      </c>
      <c r="N29" s="331" t="s">
        <v>283</v>
      </c>
      <c r="O29" s="331" t="s">
        <v>284</v>
      </c>
    </row>
    <row r="30" spans="1:15" ht="281.25" x14ac:dyDescent="0.25">
      <c r="A30" s="313" t="s">
        <v>197</v>
      </c>
      <c r="B30" s="39" t="s">
        <v>485</v>
      </c>
      <c r="C30" s="314">
        <v>2</v>
      </c>
      <c r="D30" s="344" t="s">
        <v>505</v>
      </c>
      <c r="E30" s="78" t="s">
        <v>487</v>
      </c>
      <c r="F30" s="316">
        <f>C30*$A$32</f>
        <v>8</v>
      </c>
      <c r="G30" s="317">
        <v>85</v>
      </c>
      <c r="H30" s="318">
        <f>ROUND(F30*G30,2)</f>
        <v>680</v>
      </c>
      <c r="J30" s="319">
        <v>39.9</v>
      </c>
      <c r="K30" s="39">
        <f>ROUND(IF(Dados!$I$61="SIM",J30*Dados!$N$61,J30),2)</f>
        <v>39.9</v>
      </c>
      <c r="L30" s="39">
        <f>ROUND(IF(Dados!$I$62="SIM",K30*Dados!$N$62,K30),2)</f>
        <v>39.9</v>
      </c>
      <c r="M30" s="39">
        <f>ROUND(IF(Dados!$I$63="SIM",L30*Dados!$N$63,L30),2)</f>
        <v>39.9</v>
      </c>
      <c r="N30" s="39">
        <f>ROUND(IF(Dados!$I$64="SIM",M30*Dados!$N$64,M30),2)</f>
        <v>39.9</v>
      </c>
      <c r="O30" s="39">
        <f>ROUND(IF(Dados!$I$65="SIM",N30*Dados!$N$65,N30),2)</f>
        <v>39.9</v>
      </c>
    </row>
    <row r="31" spans="1:15" ht="306.75" x14ac:dyDescent="0.25">
      <c r="A31" s="225" t="s">
        <v>488</v>
      </c>
      <c r="B31" s="39" t="s">
        <v>489</v>
      </c>
      <c r="C31" s="314">
        <v>3</v>
      </c>
      <c r="D31" s="308" t="s">
        <v>506</v>
      </c>
      <c r="E31" s="78" t="s">
        <v>507</v>
      </c>
      <c r="F31" s="316">
        <f>C31*$A$32</f>
        <v>12</v>
      </c>
      <c r="G31" s="317">
        <v>75</v>
      </c>
      <c r="H31" s="318">
        <f>ROUND(F31*G31,2)</f>
        <v>900</v>
      </c>
      <c r="J31" s="319">
        <v>19.989999999999998</v>
      </c>
      <c r="K31" s="39">
        <f>ROUND(IF(Dados!$I$61="SIM",J31*Dados!$N$61,J31),2)</f>
        <v>19.989999999999998</v>
      </c>
      <c r="L31" s="39">
        <f>ROUND(IF(Dados!$I$62="SIM",K31*Dados!$N$62,K31),2)</f>
        <v>19.989999999999998</v>
      </c>
      <c r="M31" s="39">
        <f>ROUND(IF(Dados!$I$63="SIM",L31*Dados!$N$63,L31),2)</f>
        <v>19.989999999999998</v>
      </c>
      <c r="N31" s="39">
        <f>ROUND(IF(Dados!$I$64="SIM",M31*Dados!$N$64,M31),2)</f>
        <v>19.989999999999998</v>
      </c>
      <c r="O31" s="39">
        <f>ROUND(IF(Dados!$I$65="SIM",N31*Dados!$N$65,N31),2)</f>
        <v>19.989999999999998</v>
      </c>
    </row>
    <row r="32" spans="1:15" ht="90" x14ac:dyDescent="0.25">
      <c r="A32" s="347">
        <f>Dados!B11</f>
        <v>4</v>
      </c>
      <c r="B32" s="39" t="s">
        <v>492</v>
      </c>
      <c r="C32" s="314">
        <v>1</v>
      </c>
      <c r="D32" s="308" t="s">
        <v>508</v>
      </c>
      <c r="E32" s="78" t="s">
        <v>487</v>
      </c>
      <c r="F32" s="316">
        <f>C32*$A$32</f>
        <v>4</v>
      </c>
      <c r="G32" s="317">
        <v>100</v>
      </c>
      <c r="H32" s="318">
        <f>ROUND(F32*G32,2)</f>
        <v>400</v>
      </c>
      <c r="J32" s="319"/>
      <c r="K32" s="39"/>
      <c r="L32" s="39"/>
      <c r="M32" s="39"/>
      <c r="N32" s="39"/>
      <c r="O32" s="39"/>
    </row>
    <row r="33" spans="1:16" x14ac:dyDescent="0.25">
      <c r="A33" s="674" t="s">
        <v>494</v>
      </c>
      <c r="B33" s="674"/>
      <c r="C33" s="674"/>
      <c r="D33" s="674"/>
      <c r="E33" s="674"/>
      <c r="F33" s="674"/>
      <c r="G33" s="674"/>
      <c r="H33" s="348">
        <f>SUM(H30:H32)</f>
        <v>1980</v>
      </c>
      <c r="N33" s="4"/>
      <c r="O33" s="4"/>
      <c r="P33" s="120"/>
    </row>
    <row r="34" spans="1:16" ht="15.75" x14ac:dyDescent="0.25">
      <c r="A34" s="672" t="s">
        <v>509</v>
      </c>
      <c r="B34" s="672"/>
      <c r="C34" s="672"/>
      <c r="D34" s="672"/>
      <c r="E34" s="672"/>
      <c r="F34" s="672"/>
      <c r="G34" s="322"/>
      <c r="H34" s="323">
        <f>ROUND(H33/A32/12,2)</f>
        <v>41.25</v>
      </c>
    </row>
  </sheetData>
  <mergeCells count="20">
    <mergeCell ref="J1:O4"/>
    <mergeCell ref="A4:H4"/>
    <mergeCell ref="A5:H5"/>
    <mergeCell ref="J5:J8"/>
    <mergeCell ref="K5:K8"/>
    <mergeCell ref="L5:L8"/>
    <mergeCell ref="M5:M8"/>
    <mergeCell ref="N5:N8"/>
    <mergeCell ref="O5:O8"/>
    <mergeCell ref="A6:H6"/>
    <mergeCell ref="A12:G12"/>
    <mergeCell ref="A13:F13"/>
    <mergeCell ref="A16:A17"/>
    <mergeCell ref="B19:G19"/>
    <mergeCell ref="A20:F20"/>
    <mergeCell ref="A26:G26"/>
    <mergeCell ref="A27:F27"/>
    <mergeCell ref="A28:H28"/>
    <mergeCell ref="A33:G33"/>
    <mergeCell ref="A34:F34"/>
  </mergeCells>
  <printOptions horizontalCentered="1" verticalCentered="1"/>
  <pageMargins left="0.51181102362204722" right="0.51181102362204722" top="0.78740157480314965" bottom="0.78740157480314965" header="0.51181102362204722" footer="0.51181102362204722"/>
  <pageSetup paperSize="9" scale="35" firstPageNumber="0" orientation="portrait" r:id="rId1"/>
  <drawing r:id="rId2"/>
</worksheet>
</file>

<file path=docProps/app.xml><?xml version="1.0" encoding="utf-8"?>
<Properties xmlns="http://schemas.openxmlformats.org/officeDocument/2006/extended-properties" xmlns:vt="http://schemas.openxmlformats.org/officeDocument/2006/docPropsVTypes">
  <Template/>
  <TotalTime>148</TotalTime>
  <Application>Microsoft Excel</Application>
  <DocSecurity>0</DocSecurity>
  <ScaleCrop>false</ScaleCrop>
  <HeadingPairs>
    <vt:vector size="4" baseType="variant">
      <vt:variant>
        <vt:lpstr>Planilhas</vt:lpstr>
      </vt:variant>
      <vt:variant>
        <vt:i4>17</vt:i4>
      </vt:variant>
      <vt:variant>
        <vt:lpstr>Intervalos Nomeados</vt:lpstr>
      </vt:variant>
      <vt:variant>
        <vt:i4>19</vt:i4>
      </vt:variant>
    </vt:vector>
  </HeadingPairs>
  <TitlesOfParts>
    <vt:vector size="36" baseType="lpstr">
      <vt:lpstr>Ocorrências Mensais - FAT</vt:lpstr>
      <vt:lpstr>Receita </vt:lpstr>
      <vt:lpstr>INSTRUÇÕES</vt:lpstr>
      <vt:lpstr>Dados</vt:lpstr>
      <vt:lpstr>Encargos</vt:lpstr>
      <vt:lpstr>Mat</vt:lpstr>
      <vt:lpstr>EPI</vt:lpstr>
      <vt:lpstr>Equip</vt:lpstr>
      <vt:lpstr>Unif</vt:lpstr>
      <vt:lpstr>Serv Ins</vt:lpstr>
      <vt:lpstr>Serv Copeira</vt:lpstr>
      <vt:lpstr>Serv</vt:lpstr>
      <vt:lpstr>Porteiro</vt:lpstr>
      <vt:lpstr>Auxiliar Adm</vt:lpstr>
      <vt:lpstr>Resumo</vt:lpstr>
      <vt:lpstr>Custo Estimado Substituto</vt:lpstr>
      <vt:lpstr>IPCA</vt:lpstr>
      <vt:lpstr>'Auxiliar Adm'!Area_de_impressao</vt:lpstr>
      <vt:lpstr>Dados!Area_de_impressao</vt:lpstr>
      <vt:lpstr>Encargos!Area_de_impressao</vt:lpstr>
      <vt:lpstr>Mat!Area_de_impressao</vt:lpstr>
      <vt:lpstr>Porteiro!Area_de_impressao</vt:lpstr>
      <vt:lpstr>Resumo!Area_de_impressao</vt:lpstr>
      <vt:lpstr>Serv!Area_de_impressao</vt:lpstr>
      <vt:lpstr>'Serv Copeira'!Area_de_impressao</vt:lpstr>
      <vt:lpstr>'Serv Ins'!Area_de_impressao</vt:lpstr>
      <vt:lpstr>Unif!Area_de_impressao</vt:lpstr>
      <vt:lpstr>'Auxiliar Adm'!Print_Area_0</vt:lpstr>
      <vt:lpstr>Dados!Print_Area_0</vt:lpstr>
      <vt:lpstr>Encargos!Print_Area_0</vt:lpstr>
      <vt:lpstr>Mat!Print_Area_0</vt:lpstr>
      <vt:lpstr>Porteiro!Print_Area_0</vt:lpstr>
      <vt:lpstr>Serv!Print_Area_0</vt:lpstr>
      <vt:lpstr>'Serv Copeira'!Print_Area_0</vt:lpstr>
      <vt:lpstr>'Serv Ins'!Print_Area_0</vt:lpstr>
      <vt:lpstr>Unif!Print_Area_0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Fábio Lucas Gouveia dos Santos</dc:creator>
  <dc:description/>
  <cp:lastModifiedBy>Administrativo05</cp:lastModifiedBy>
  <cp:revision>16</cp:revision>
  <cp:lastPrinted>2024-12-04T16:37:04Z</cp:lastPrinted>
  <dcterms:created xsi:type="dcterms:W3CDTF">2015-06-05T18:17:20Z</dcterms:created>
  <dcterms:modified xsi:type="dcterms:W3CDTF">2024-12-04T16:39:07Z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ProgId">
    <vt:lpwstr>Excel.Sheet</vt:lpwstr>
  </property>
  <property fmtid="{D5CDD505-2E9C-101B-9397-08002B2CF9AE}" pid="7" name="ScaleCrop">
    <vt:bool>false</vt:bool>
  </property>
  <property fmtid="{D5CDD505-2E9C-101B-9397-08002B2CF9AE}" pid="8" name="ShareDoc">
    <vt:bool>false</vt:bool>
  </property>
</Properties>
</file>